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U:\Isabella\Stakeholder Initiatives\Current\2021-2022 TPP\9.27\"/>
    </mc:Choice>
  </mc:AlternateContent>
  <bookViews>
    <workbookView xWindow="0" yWindow="0" windowWidth="28800" windowHeight="12000" tabRatio="449"/>
  </bookViews>
  <sheets>
    <sheet name="Summary" sheetId="5" r:id="rId1"/>
    <sheet name="Existing" sheetId="21" r:id="rId2"/>
    <sheet name="Reliability" sheetId="2" r:id="rId3"/>
    <sheet name="2020-21 Policy and Econ" sheetId="13" r:id="rId4"/>
    <sheet name="WOD" sheetId="15" r:id="rId5"/>
    <sheet name="ClrdoRvr" sheetId="9" r:id="rId6"/>
    <sheet name="Red Bluff 2AA Bank" sheetId="10" r:id="rId7"/>
    <sheet name="Calcite" sheetId="18" r:id="rId8"/>
    <sheet name="New Project 10" sheetId="11" r:id="rId9"/>
    <sheet name="New Project 11" sheetId="12" r:id="rId10"/>
    <sheet name="New Project 12" sheetId="20" r:id="rId11"/>
    <sheet name="Tehachapi" sheetId="17" r:id="rId12"/>
    <sheet name="CW-Lugo" sheetId="14" r:id="rId13"/>
    <sheet name="South CC" sheetId="19" r:id="rId14"/>
  </sheets>
  <definedNames>
    <definedName name="_xlnm._FilterDatabase" localSheetId="0" hidden="1">Summary!$I$1:$W$79</definedName>
    <definedName name="CIQWBGuid" hidden="1">"0c0e6f01-36d0-4b48-9c14-a99f9f3d7915"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'2020-21 Policy and Econ'!$I$1:$R$89</definedName>
    <definedName name="_xlnm.Print_Area" localSheetId="7">Calcite!$I$1:$R$89</definedName>
    <definedName name="_xlnm.Print_Area" localSheetId="5">ClrdoRvr!$I$1:$R$89</definedName>
    <definedName name="_xlnm.Print_Area" localSheetId="12">'CW-Lugo'!$I$1:$R$89</definedName>
    <definedName name="_xlnm.Print_Area" localSheetId="1">Existing!$I$1:$R$186</definedName>
    <definedName name="_xlnm.Print_Area" localSheetId="8">'New Project 10'!$I$1:$R$89</definedName>
    <definedName name="_xlnm.Print_Area" localSheetId="9">'New Project 11'!$I$1:$R$89</definedName>
    <definedName name="_xlnm.Print_Area" localSheetId="10">'New Project 12'!$I$1:$R$89</definedName>
    <definedName name="_xlnm.Print_Area" localSheetId="6">'Red Bluff 2AA Bank'!$I$1:$R$89</definedName>
    <definedName name="_xlnm.Print_Area" localSheetId="2">Reliability!$I$1:$R$89</definedName>
    <definedName name="_xlnm.Print_Area" localSheetId="13">'South CC'!$I$1:$R$89</definedName>
    <definedName name="_xlnm.Print_Area" localSheetId="0">Summary!$I$1:$R$79</definedName>
    <definedName name="_xlnm.Print_Area" localSheetId="11">Tehachapi!$I$1:$R$89</definedName>
    <definedName name="_xlnm.Print_Area" localSheetId="4">WOD!$I$1:$R$89</definedName>
    <definedName name="_xlnm.Print_Titles" localSheetId="3">'2020-21 Policy and Econ'!$A:$G,'2020-21 Policy and Econ'!$1:$5</definedName>
    <definedName name="_xlnm.Print_Titles" localSheetId="7">Calcite!$A:$G,Calcite!$1:$5</definedName>
    <definedName name="_xlnm.Print_Titles" localSheetId="5">ClrdoRvr!$A:$G,ClrdoRvr!$1:$5</definedName>
    <definedName name="_xlnm.Print_Titles" localSheetId="12">'CW-Lugo'!$A:$G,'CW-Lugo'!$1:$5</definedName>
    <definedName name="_xlnm.Print_Titles" localSheetId="1">Existing!$A:$G,Existing!$1:$5</definedName>
    <definedName name="_xlnm.Print_Titles" localSheetId="8">'New Project 10'!$A:$G,'New Project 10'!$1:$5</definedName>
    <definedName name="_xlnm.Print_Titles" localSheetId="9">'New Project 11'!$A:$G,'New Project 11'!$1:$5</definedName>
    <definedName name="_xlnm.Print_Titles" localSheetId="10">'New Project 12'!$A:$G,'New Project 12'!$1:$5</definedName>
    <definedName name="_xlnm.Print_Titles" localSheetId="6">'Red Bluff 2AA Bank'!$A:$G,'Red Bluff 2AA Bank'!$1:$5</definedName>
    <definedName name="_xlnm.Print_Titles" localSheetId="2">Reliability!$A:$G,Reliability!$1:$5</definedName>
    <definedName name="_xlnm.Print_Titles" localSheetId="13">'South CC'!$A:$G,'South CC'!$1:$5</definedName>
    <definedName name="_xlnm.Print_Titles" localSheetId="0">Summary!$A:$G,Summary!$1:$5</definedName>
    <definedName name="_xlnm.Print_Titles" localSheetId="11">Tehachapi!$A:$G,Tehachapi!$1:$5</definedName>
    <definedName name="_xlnm.Print_Titles" localSheetId="4">WOD!$A:$G,WOD!$1:$5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3" i="21" l="1"/>
  <c r="F152" i="21" l="1"/>
  <c r="F124" i="21" l="1"/>
  <c r="F144" i="21" l="1"/>
  <c r="F146" i="21" l="1"/>
  <c r="F142" i="21"/>
  <c r="F140" i="21"/>
  <c r="F139" i="21"/>
  <c r="F136" i="21" l="1"/>
  <c r="I132" i="21" l="1"/>
  <c r="I133" i="21"/>
  <c r="I134" i="21"/>
  <c r="I130" i="21"/>
  <c r="I129" i="21"/>
  <c r="I136" i="21" l="1"/>
  <c r="F134" i="21"/>
  <c r="F133" i="21"/>
  <c r="F132" i="21"/>
  <c r="F130" i="21"/>
  <c r="F129" i="21" l="1"/>
  <c r="F123" i="21" l="1"/>
  <c r="F122" i="21"/>
  <c r="F120" i="21"/>
  <c r="F119" i="21"/>
  <c r="H13" i="2" l="1"/>
  <c r="I126" i="21" l="1"/>
  <c r="F126" i="21" s="1"/>
  <c r="I123" i="21" l="1"/>
  <c r="I122" i="21"/>
  <c r="I119" i="21"/>
  <c r="I120" i="21"/>
  <c r="I124" i="21"/>
  <c r="F165" i="21" l="1"/>
  <c r="F155" i="21"/>
  <c r="F145" i="21"/>
  <c r="H3" i="18" l="1"/>
  <c r="D9" i="5"/>
  <c r="D12" i="5"/>
  <c r="H3" i="10"/>
  <c r="H3" i="9"/>
  <c r="H3" i="15"/>
  <c r="H3" i="13"/>
  <c r="H3" i="2"/>
  <c r="I3" i="5" l="1"/>
  <c r="J3" i="5" l="1"/>
  <c r="I3" i="10"/>
  <c r="K3" i="5" l="1"/>
  <c r="J3" i="10"/>
  <c r="D37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W15" i="20"/>
  <c r="W18" i="20" s="1"/>
  <c r="V15" i="20"/>
  <c r="U15" i="20"/>
  <c r="U18" i="20" s="1"/>
  <c r="T15" i="20"/>
  <c r="S15" i="20"/>
  <c r="R15" i="20"/>
  <c r="R18" i="20" s="1"/>
  <c r="Q15" i="20"/>
  <c r="Q18" i="20" s="1"/>
  <c r="P15" i="20"/>
  <c r="O15" i="20"/>
  <c r="O18" i="20" s="1"/>
  <c r="N15" i="20"/>
  <c r="N18" i="20" s="1"/>
  <c r="M15" i="20"/>
  <c r="L15" i="20"/>
  <c r="L18" i="20" s="1"/>
  <c r="K15" i="20"/>
  <c r="J15" i="20"/>
  <c r="I15" i="20"/>
  <c r="I18" i="20" s="1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A10" i="20"/>
  <c r="A11" i="20" s="1"/>
  <c r="A13" i="20" s="1"/>
  <c r="A15" i="20" s="1"/>
  <c r="A16" i="20" s="1"/>
  <c r="A18" i="20" s="1"/>
  <c r="A19" i="20" s="1"/>
  <c r="A21" i="20" s="1"/>
  <c r="A23" i="20" s="1"/>
  <c r="A24" i="20" s="1"/>
  <c r="A25" i="20" s="1"/>
  <c r="A27" i="20" s="1"/>
  <c r="A28" i="20" s="1"/>
  <c r="A29" i="20" s="1"/>
  <c r="A31" i="20" s="1"/>
  <c r="A32" i="20" s="1"/>
  <c r="A35" i="20" s="1"/>
  <c r="A36" i="20" s="1"/>
  <c r="A37" i="20" s="1"/>
  <c r="A38" i="20" s="1"/>
  <c r="A39" i="20" s="1"/>
  <c r="A40" i="20" s="1"/>
  <c r="A43" i="20" s="1"/>
  <c r="A44" i="20" s="1"/>
  <c r="A45" i="20" s="1"/>
  <c r="A46" i="20" s="1"/>
  <c r="A47" i="20" s="1"/>
  <c r="A50" i="20" s="1"/>
  <c r="A51" i="20" s="1"/>
  <c r="A52" i="20" s="1"/>
  <c r="A53" i="20" s="1"/>
  <c r="A54" i="20" s="1"/>
  <c r="A57" i="20" s="1"/>
  <c r="A58" i="20" s="1"/>
  <c r="A59" i="20" s="1"/>
  <c r="A60" i="20" s="1"/>
  <c r="A63" i="20" s="1"/>
  <c r="A64" i="20" s="1"/>
  <c r="A65" i="20" s="1"/>
  <c r="A66" i="20" s="1"/>
  <c r="A69" i="20" s="1"/>
  <c r="A70" i="20" s="1"/>
  <c r="A71" i="20" s="1"/>
  <c r="A72" i="20" s="1"/>
  <c r="A73" i="20" s="1"/>
  <c r="A76" i="20" s="1"/>
  <c r="A77" i="20" s="1"/>
  <c r="A78" i="20" s="1"/>
  <c r="A79" i="20" s="1"/>
  <c r="A80" i="20" s="1"/>
  <c r="A83" i="20" s="1"/>
  <c r="A84" i="20" s="1"/>
  <c r="A85" i="20" s="1"/>
  <c r="A86" i="20" s="1"/>
  <c r="A87" i="20" s="1"/>
  <c r="A88" i="20" s="1"/>
  <c r="A89" i="20" s="1"/>
  <c r="A8" i="20"/>
  <c r="J4" i="20"/>
  <c r="K4" i="20" s="1"/>
  <c r="L4" i="20" s="1"/>
  <c r="M4" i="20" s="1"/>
  <c r="J3" i="20"/>
  <c r="K3" i="20" s="1"/>
  <c r="L3" i="20" s="1"/>
  <c r="D37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W15" i="12"/>
  <c r="V15" i="12"/>
  <c r="V18" i="12" s="1"/>
  <c r="U15" i="12"/>
  <c r="T15" i="12"/>
  <c r="S15" i="12"/>
  <c r="S18" i="12" s="1"/>
  <c r="R15" i="12"/>
  <c r="R18" i="12" s="1"/>
  <c r="Q15" i="12"/>
  <c r="P15" i="12"/>
  <c r="P18" i="12" s="1"/>
  <c r="O15" i="12"/>
  <c r="O18" i="12" s="1"/>
  <c r="N15" i="12"/>
  <c r="M15" i="12"/>
  <c r="M18" i="12" s="1"/>
  <c r="L15" i="12"/>
  <c r="K15" i="12"/>
  <c r="J15" i="12"/>
  <c r="J18" i="12" s="1"/>
  <c r="I15" i="12"/>
  <c r="I18" i="12" s="1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A8" i="12"/>
  <c r="A10" i="12" s="1"/>
  <c r="A11" i="12" s="1"/>
  <c r="A13" i="12" s="1"/>
  <c r="A15" i="12" s="1"/>
  <c r="A16" i="12" s="1"/>
  <c r="A18" i="12" s="1"/>
  <c r="A19" i="12" s="1"/>
  <c r="A21" i="12" s="1"/>
  <c r="A23" i="12" s="1"/>
  <c r="A24" i="12" s="1"/>
  <c r="A25" i="12" s="1"/>
  <c r="A27" i="12" s="1"/>
  <c r="A28" i="12" s="1"/>
  <c r="A29" i="12" s="1"/>
  <c r="A31" i="12" s="1"/>
  <c r="A32" i="12" s="1"/>
  <c r="A35" i="12" s="1"/>
  <c r="A36" i="12" s="1"/>
  <c r="A37" i="12" s="1"/>
  <c r="A38" i="12" s="1"/>
  <c r="A39" i="12" s="1"/>
  <c r="A40" i="12" s="1"/>
  <c r="A43" i="12" s="1"/>
  <c r="A44" i="12" s="1"/>
  <c r="A45" i="12" s="1"/>
  <c r="A46" i="12" s="1"/>
  <c r="A47" i="12" s="1"/>
  <c r="A50" i="12" s="1"/>
  <c r="A51" i="12" s="1"/>
  <c r="A52" i="12" s="1"/>
  <c r="A53" i="12" s="1"/>
  <c r="A54" i="12" s="1"/>
  <c r="A57" i="12" s="1"/>
  <c r="A58" i="12" s="1"/>
  <c r="A59" i="12" s="1"/>
  <c r="A60" i="12" s="1"/>
  <c r="A63" i="12" s="1"/>
  <c r="A64" i="12" s="1"/>
  <c r="A65" i="12" s="1"/>
  <c r="A66" i="12" s="1"/>
  <c r="A69" i="12" s="1"/>
  <c r="A70" i="12" s="1"/>
  <c r="A71" i="12" s="1"/>
  <c r="A72" i="12" s="1"/>
  <c r="A73" i="12" s="1"/>
  <c r="A76" i="12" s="1"/>
  <c r="A77" i="12" s="1"/>
  <c r="A78" i="12" s="1"/>
  <c r="A79" i="12" s="1"/>
  <c r="A80" i="12" s="1"/>
  <c r="A83" i="12" s="1"/>
  <c r="A84" i="12" s="1"/>
  <c r="A85" i="12" s="1"/>
  <c r="A86" i="12" s="1"/>
  <c r="A87" i="12" s="1"/>
  <c r="A88" i="12" s="1"/>
  <c r="A89" i="12" s="1"/>
  <c r="J4" i="12"/>
  <c r="J23" i="12" s="1"/>
  <c r="J3" i="12"/>
  <c r="D37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W15" i="11"/>
  <c r="W18" i="11" s="1"/>
  <c r="V15" i="11"/>
  <c r="V18" i="11" s="1"/>
  <c r="U15" i="11"/>
  <c r="T15" i="11"/>
  <c r="S15" i="11"/>
  <c r="S18" i="11" s="1"/>
  <c r="R15" i="11"/>
  <c r="R18" i="11" s="1"/>
  <c r="Q15" i="11"/>
  <c r="P15" i="11"/>
  <c r="O15" i="11"/>
  <c r="O18" i="11" s="1"/>
  <c r="N15" i="11"/>
  <c r="M15" i="11"/>
  <c r="M18" i="11" s="1"/>
  <c r="L15" i="11"/>
  <c r="K15" i="11"/>
  <c r="J15" i="11"/>
  <c r="J18" i="11" s="1"/>
  <c r="I15" i="11"/>
  <c r="I18" i="11" s="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A8" i="11"/>
  <c r="A10" i="11" s="1"/>
  <c r="A11" i="11" s="1"/>
  <c r="A13" i="11" s="1"/>
  <c r="A15" i="11" s="1"/>
  <c r="A16" i="11" s="1"/>
  <c r="A18" i="11" s="1"/>
  <c r="A19" i="11" s="1"/>
  <c r="A21" i="11" s="1"/>
  <c r="A23" i="11" s="1"/>
  <c r="A24" i="11" s="1"/>
  <c r="A25" i="11" s="1"/>
  <c r="A27" i="11" s="1"/>
  <c r="A28" i="11" s="1"/>
  <c r="A29" i="11" s="1"/>
  <c r="A31" i="11" s="1"/>
  <c r="A32" i="11" s="1"/>
  <c r="A35" i="11" s="1"/>
  <c r="A36" i="11" s="1"/>
  <c r="A37" i="11" s="1"/>
  <c r="A38" i="11" s="1"/>
  <c r="A39" i="11" s="1"/>
  <c r="A40" i="11" s="1"/>
  <c r="A43" i="11" s="1"/>
  <c r="A44" i="11" s="1"/>
  <c r="A45" i="11" s="1"/>
  <c r="A46" i="11" s="1"/>
  <c r="A47" i="11" s="1"/>
  <c r="A50" i="11" s="1"/>
  <c r="A51" i="11" s="1"/>
  <c r="A52" i="11" s="1"/>
  <c r="A53" i="11" s="1"/>
  <c r="A54" i="11" s="1"/>
  <c r="A57" i="11" s="1"/>
  <c r="A58" i="11" s="1"/>
  <c r="A59" i="11" s="1"/>
  <c r="A60" i="11" s="1"/>
  <c r="A63" i="11" s="1"/>
  <c r="A64" i="11" s="1"/>
  <c r="A65" i="11" s="1"/>
  <c r="A66" i="11" s="1"/>
  <c r="A69" i="11" s="1"/>
  <c r="A70" i="11" s="1"/>
  <c r="A71" i="11" s="1"/>
  <c r="A72" i="11" s="1"/>
  <c r="A73" i="11" s="1"/>
  <c r="A76" i="11" s="1"/>
  <c r="A77" i="11" s="1"/>
  <c r="A78" i="11" s="1"/>
  <c r="A79" i="11" s="1"/>
  <c r="A80" i="11" s="1"/>
  <c r="A83" i="11" s="1"/>
  <c r="A84" i="11" s="1"/>
  <c r="A85" i="11" s="1"/>
  <c r="A86" i="11" s="1"/>
  <c r="A87" i="11" s="1"/>
  <c r="A88" i="11" s="1"/>
  <c r="A89" i="11" s="1"/>
  <c r="J4" i="11"/>
  <c r="J23" i="11" s="1"/>
  <c r="J3" i="11"/>
  <c r="D37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W15" i="18"/>
  <c r="W18" i="18" s="1"/>
  <c r="V15" i="18"/>
  <c r="U15" i="18"/>
  <c r="U18" i="18" s="1"/>
  <c r="T15" i="18"/>
  <c r="T18" i="18" s="1"/>
  <c r="S15" i="18"/>
  <c r="S18" i="18" s="1"/>
  <c r="R15" i="18"/>
  <c r="Q15" i="18"/>
  <c r="Q18" i="18" s="1"/>
  <c r="P15" i="18"/>
  <c r="P18" i="18" s="1"/>
  <c r="O15" i="18"/>
  <c r="O18" i="18" s="1"/>
  <c r="N15" i="18"/>
  <c r="N18" i="18" s="1"/>
  <c r="M15" i="18"/>
  <c r="L15" i="18"/>
  <c r="L18" i="18" s="1"/>
  <c r="K15" i="18"/>
  <c r="J15" i="18"/>
  <c r="J18" i="18" s="1"/>
  <c r="I15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A8" i="18"/>
  <c r="A10" i="18" s="1"/>
  <c r="A11" i="18" s="1"/>
  <c r="A13" i="18" s="1"/>
  <c r="A15" i="18" s="1"/>
  <c r="A16" i="18" s="1"/>
  <c r="A18" i="18" s="1"/>
  <c r="A19" i="18" s="1"/>
  <c r="A21" i="18" s="1"/>
  <c r="A23" i="18" s="1"/>
  <c r="A24" i="18" s="1"/>
  <c r="A25" i="18" s="1"/>
  <c r="A27" i="18" s="1"/>
  <c r="A28" i="18" s="1"/>
  <c r="A29" i="18" s="1"/>
  <c r="A31" i="18" s="1"/>
  <c r="A32" i="18" s="1"/>
  <c r="A35" i="18" s="1"/>
  <c r="A36" i="18" s="1"/>
  <c r="A37" i="18" s="1"/>
  <c r="A38" i="18" s="1"/>
  <c r="A39" i="18" s="1"/>
  <c r="A40" i="18" s="1"/>
  <c r="A43" i="18" s="1"/>
  <c r="A44" i="18" s="1"/>
  <c r="A45" i="18" s="1"/>
  <c r="A46" i="18" s="1"/>
  <c r="A47" i="18" s="1"/>
  <c r="A50" i="18" s="1"/>
  <c r="A51" i="18" s="1"/>
  <c r="A52" i="18" s="1"/>
  <c r="A53" i="18" s="1"/>
  <c r="A54" i="18" s="1"/>
  <c r="A57" i="18" s="1"/>
  <c r="A58" i="18" s="1"/>
  <c r="A59" i="18" s="1"/>
  <c r="A60" i="18" s="1"/>
  <c r="A63" i="18" s="1"/>
  <c r="A64" i="18" s="1"/>
  <c r="A65" i="18" s="1"/>
  <c r="A66" i="18" s="1"/>
  <c r="A69" i="18" s="1"/>
  <c r="A70" i="18" s="1"/>
  <c r="A71" i="18" s="1"/>
  <c r="A72" i="18" s="1"/>
  <c r="A73" i="18" s="1"/>
  <c r="A76" i="18" s="1"/>
  <c r="A77" i="18" s="1"/>
  <c r="A78" i="18" s="1"/>
  <c r="A79" i="18" s="1"/>
  <c r="A80" i="18" s="1"/>
  <c r="A83" i="18" s="1"/>
  <c r="A84" i="18" s="1"/>
  <c r="A85" i="18" s="1"/>
  <c r="A86" i="18" s="1"/>
  <c r="A87" i="18" s="1"/>
  <c r="A88" i="18" s="1"/>
  <c r="A89" i="18" s="1"/>
  <c r="J4" i="18"/>
  <c r="J23" i="18" s="1"/>
  <c r="D37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W15" i="10"/>
  <c r="W18" i="10" s="1"/>
  <c r="V15" i="10"/>
  <c r="U15" i="10"/>
  <c r="U18" i="10" s="1"/>
  <c r="T15" i="10"/>
  <c r="T18" i="10" s="1"/>
  <c r="S15" i="10"/>
  <c r="R15" i="10"/>
  <c r="Q15" i="10"/>
  <c r="Q18" i="10" s="1"/>
  <c r="P15" i="10"/>
  <c r="P18" i="10" s="1"/>
  <c r="O15" i="10"/>
  <c r="N15" i="10"/>
  <c r="N18" i="10" s="1"/>
  <c r="M15" i="10"/>
  <c r="L15" i="10"/>
  <c r="L18" i="10" s="1"/>
  <c r="K15" i="10"/>
  <c r="K18" i="10" s="1"/>
  <c r="J15" i="10"/>
  <c r="I15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A8" i="10"/>
  <c r="A10" i="10" s="1"/>
  <c r="A11" i="10" s="1"/>
  <c r="A13" i="10" s="1"/>
  <c r="A15" i="10" s="1"/>
  <c r="A16" i="10" s="1"/>
  <c r="A18" i="10" s="1"/>
  <c r="A19" i="10" s="1"/>
  <c r="A21" i="10" s="1"/>
  <c r="A23" i="10" s="1"/>
  <c r="A24" i="10" s="1"/>
  <c r="A25" i="10" s="1"/>
  <c r="A27" i="10" s="1"/>
  <c r="A28" i="10" s="1"/>
  <c r="A29" i="10" s="1"/>
  <c r="A31" i="10" s="1"/>
  <c r="A32" i="10" s="1"/>
  <c r="A35" i="10" s="1"/>
  <c r="A36" i="10" s="1"/>
  <c r="A37" i="10" s="1"/>
  <c r="A38" i="10" s="1"/>
  <c r="A39" i="10" s="1"/>
  <c r="A40" i="10" s="1"/>
  <c r="A43" i="10" s="1"/>
  <c r="A44" i="10" s="1"/>
  <c r="A45" i="10" s="1"/>
  <c r="A46" i="10" s="1"/>
  <c r="A47" i="10" s="1"/>
  <c r="A50" i="10" s="1"/>
  <c r="A51" i="10" s="1"/>
  <c r="A52" i="10" s="1"/>
  <c r="A53" i="10" s="1"/>
  <c r="A54" i="10" s="1"/>
  <c r="A57" i="10" s="1"/>
  <c r="A58" i="10" s="1"/>
  <c r="A59" i="10" s="1"/>
  <c r="A60" i="10" s="1"/>
  <c r="A63" i="10" s="1"/>
  <c r="A64" i="10" s="1"/>
  <c r="A65" i="10" s="1"/>
  <c r="A66" i="10" s="1"/>
  <c r="A69" i="10" s="1"/>
  <c r="A70" i="10" s="1"/>
  <c r="A71" i="10" s="1"/>
  <c r="A72" i="10" s="1"/>
  <c r="A73" i="10" s="1"/>
  <c r="A76" i="10" s="1"/>
  <c r="A77" i="10" s="1"/>
  <c r="A78" i="10" s="1"/>
  <c r="A79" i="10" s="1"/>
  <c r="A80" i="10" s="1"/>
  <c r="A83" i="10" s="1"/>
  <c r="A84" i="10" s="1"/>
  <c r="A85" i="10" s="1"/>
  <c r="A86" i="10" s="1"/>
  <c r="A87" i="10" s="1"/>
  <c r="A88" i="10" s="1"/>
  <c r="A89" i="10" s="1"/>
  <c r="J4" i="10"/>
  <c r="D37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W19" i="13"/>
  <c r="V19" i="13"/>
  <c r="V21" i="13" s="1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W15" i="13"/>
  <c r="V15" i="13"/>
  <c r="V18" i="13" s="1"/>
  <c r="U15" i="13"/>
  <c r="T15" i="13"/>
  <c r="T18" i="13" s="1"/>
  <c r="S15" i="13"/>
  <c r="S18" i="13" s="1"/>
  <c r="R15" i="13"/>
  <c r="R18" i="13" s="1"/>
  <c r="Q15" i="13"/>
  <c r="P15" i="13"/>
  <c r="P18" i="13" s="1"/>
  <c r="O15" i="13"/>
  <c r="O18" i="13" s="1"/>
  <c r="N15" i="13"/>
  <c r="M15" i="13"/>
  <c r="M18" i="13" s="1"/>
  <c r="L15" i="13"/>
  <c r="L18" i="13" s="1"/>
  <c r="K15" i="13"/>
  <c r="J15" i="13"/>
  <c r="J18" i="13" s="1"/>
  <c r="I15" i="13"/>
  <c r="I18" i="13" s="1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A8" i="13"/>
  <c r="A10" i="13" s="1"/>
  <c r="A11" i="13" s="1"/>
  <c r="A13" i="13" s="1"/>
  <c r="A15" i="13" s="1"/>
  <c r="A16" i="13" s="1"/>
  <c r="A18" i="13" s="1"/>
  <c r="A19" i="13" s="1"/>
  <c r="A21" i="13" s="1"/>
  <c r="A23" i="13" s="1"/>
  <c r="A24" i="13" s="1"/>
  <c r="A25" i="13" s="1"/>
  <c r="A27" i="13" s="1"/>
  <c r="A28" i="13" s="1"/>
  <c r="A29" i="13" s="1"/>
  <c r="A31" i="13" s="1"/>
  <c r="A32" i="13" s="1"/>
  <c r="A35" i="13" s="1"/>
  <c r="A36" i="13" s="1"/>
  <c r="A37" i="13" s="1"/>
  <c r="A38" i="13" s="1"/>
  <c r="A39" i="13" s="1"/>
  <c r="A40" i="13" s="1"/>
  <c r="A43" i="13" s="1"/>
  <c r="A44" i="13" s="1"/>
  <c r="A45" i="13" s="1"/>
  <c r="A46" i="13" s="1"/>
  <c r="A47" i="13" s="1"/>
  <c r="A50" i="13" s="1"/>
  <c r="A51" i="13" s="1"/>
  <c r="A52" i="13" s="1"/>
  <c r="A53" i="13" s="1"/>
  <c r="A54" i="13" s="1"/>
  <c r="A57" i="13" s="1"/>
  <c r="A58" i="13" s="1"/>
  <c r="A59" i="13" s="1"/>
  <c r="A60" i="13" s="1"/>
  <c r="A63" i="13" s="1"/>
  <c r="A64" i="13" s="1"/>
  <c r="A65" i="13" s="1"/>
  <c r="A66" i="13" s="1"/>
  <c r="A69" i="13" s="1"/>
  <c r="A70" i="13" s="1"/>
  <c r="A71" i="13" s="1"/>
  <c r="A72" i="13" s="1"/>
  <c r="A73" i="13" s="1"/>
  <c r="A76" i="13" s="1"/>
  <c r="A77" i="13" s="1"/>
  <c r="A78" i="13" s="1"/>
  <c r="A79" i="13" s="1"/>
  <c r="A80" i="13" s="1"/>
  <c r="A83" i="13" s="1"/>
  <c r="A84" i="13" s="1"/>
  <c r="A85" i="13" s="1"/>
  <c r="A86" i="13" s="1"/>
  <c r="A87" i="13" s="1"/>
  <c r="A88" i="13" s="1"/>
  <c r="A89" i="13" s="1"/>
  <c r="J4" i="13"/>
  <c r="D37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U18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W15" i="9"/>
  <c r="W18" i="9" s="1"/>
  <c r="V15" i="9"/>
  <c r="V18" i="9" s="1"/>
  <c r="V21" i="9" s="1"/>
  <c r="U15" i="9"/>
  <c r="T15" i="9"/>
  <c r="T18" i="9" s="1"/>
  <c r="S15" i="9"/>
  <c r="R15" i="9"/>
  <c r="Q15" i="9"/>
  <c r="Q18" i="9" s="1"/>
  <c r="P15" i="9"/>
  <c r="P18" i="9" s="1"/>
  <c r="O15" i="9"/>
  <c r="N15" i="9"/>
  <c r="M15" i="9"/>
  <c r="M18" i="9" s="1"/>
  <c r="L15" i="9"/>
  <c r="K15" i="9"/>
  <c r="J15" i="9"/>
  <c r="I15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A8" i="9"/>
  <c r="A10" i="9" s="1"/>
  <c r="A11" i="9" s="1"/>
  <c r="A13" i="9" s="1"/>
  <c r="A15" i="9" s="1"/>
  <c r="A16" i="9" s="1"/>
  <c r="A18" i="9" s="1"/>
  <c r="A19" i="9" s="1"/>
  <c r="A21" i="9" s="1"/>
  <c r="A23" i="9" s="1"/>
  <c r="A24" i="9" s="1"/>
  <c r="A25" i="9" s="1"/>
  <c r="A27" i="9" s="1"/>
  <c r="A28" i="9" s="1"/>
  <c r="A29" i="9" s="1"/>
  <c r="A31" i="9" s="1"/>
  <c r="A32" i="9" s="1"/>
  <c r="A35" i="9" s="1"/>
  <c r="A36" i="9" s="1"/>
  <c r="A37" i="9" s="1"/>
  <c r="A38" i="9" s="1"/>
  <c r="A39" i="9" s="1"/>
  <c r="A40" i="9" s="1"/>
  <c r="A43" i="9" s="1"/>
  <c r="A44" i="9" s="1"/>
  <c r="A45" i="9" s="1"/>
  <c r="A46" i="9" s="1"/>
  <c r="A47" i="9" s="1"/>
  <c r="A50" i="9" s="1"/>
  <c r="A51" i="9" s="1"/>
  <c r="A52" i="9" s="1"/>
  <c r="A53" i="9" s="1"/>
  <c r="A54" i="9" s="1"/>
  <c r="A57" i="9" s="1"/>
  <c r="A58" i="9" s="1"/>
  <c r="A59" i="9" s="1"/>
  <c r="A60" i="9" s="1"/>
  <c r="A63" i="9" s="1"/>
  <c r="A64" i="9" s="1"/>
  <c r="A65" i="9" s="1"/>
  <c r="A66" i="9" s="1"/>
  <c r="A69" i="9" s="1"/>
  <c r="A70" i="9" s="1"/>
  <c r="A71" i="9" s="1"/>
  <c r="A72" i="9" s="1"/>
  <c r="A73" i="9" s="1"/>
  <c r="A76" i="9" s="1"/>
  <c r="A77" i="9" s="1"/>
  <c r="A78" i="9" s="1"/>
  <c r="A79" i="9" s="1"/>
  <c r="A80" i="9" s="1"/>
  <c r="A83" i="9" s="1"/>
  <c r="A84" i="9" s="1"/>
  <c r="A85" i="9" s="1"/>
  <c r="A86" i="9" s="1"/>
  <c r="A87" i="9" s="1"/>
  <c r="A88" i="9" s="1"/>
  <c r="A89" i="9" s="1"/>
  <c r="K4" i="9"/>
  <c r="J4" i="9"/>
  <c r="J23" i="9" s="1"/>
  <c r="I38" i="14"/>
  <c r="I64" i="14" s="1"/>
  <c r="H38" i="14"/>
  <c r="H64" i="14" s="1"/>
  <c r="D37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W15" i="14"/>
  <c r="V15" i="14"/>
  <c r="V18" i="14" s="1"/>
  <c r="U15" i="14"/>
  <c r="T15" i="14"/>
  <c r="S15" i="14"/>
  <c r="S18" i="14" s="1"/>
  <c r="R15" i="14"/>
  <c r="R18" i="14" s="1"/>
  <c r="Q15" i="14"/>
  <c r="P15" i="14"/>
  <c r="P18" i="14" s="1"/>
  <c r="O15" i="14"/>
  <c r="O18" i="14" s="1"/>
  <c r="N15" i="14"/>
  <c r="M15" i="14"/>
  <c r="M18" i="14" s="1"/>
  <c r="L15" i="14"/>
  <c r="L18" i="14" s="1"/>
  <c r="K15" i="14"/>
  <c r="K18" i="14" s="1"/>
  <c r="J15" i="14"/>
  <c r="J18" i="14" s="1"/>
  <c r="I15" i="14"/>
  <c r="I18" i="14" s="1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A8" i="14"/>
  <c r="A10" i="14" s="1"/>
  <c r="A11" i="14" s="1"/>
  <c r="A13" i="14" s="1"/>
  <c r="A15" i="14" s="1"/>
  <c r="A16" i="14" s="1"/>
  <c r="A18" i="14" s="1"/>
  <c r="A19" i="14" s="1"/>
  <c r="A21" i="14" s="1"/>
  <c r="A23" i="14" s="1"/>
  <c r="A24" i="14" s="1"/>
  <c r="A25" i="14" s="1"/>
  <c r="A27" i="14" s="1"/>
  <c r="A28" i="14" s="1"/>
  <c r="A29" i="14" s="1"/>
  <c r="A31" i="14" s="1"/>
  <c r="A32" i="14" s="1"/>
  <c r="A35" i="14" s="1"/>
  <c r="A36" i="14" s="1"/>
  <c r="A37" i="14" s="1"/>
  <c r="A38" i="14" s="1"/>
  <c r="A39" i="14" s="1"/>
  <c r="A40" i="14" s="1"/>
  <c r="A43" i="14" s="1"/>
  <c r="A44" i="14" s="1"/>
  <c r="A45" i="14" s="1"/>
  <c r="A46" i="14" s="1"/>
  <c r="A47" i="14" s="1"/>
  <c r="A50" i="14" s="1"/>
  <c r="A51" i="14" s="1"/>
  <c r="A52" i="14" s="1"/>
  <c r="A53" i="14" s="1"/>
  <c r="A54" i="14" s="1"/>
  <c r="A57" i="14" s="1"/>
  <c r="A58" i="14" s="1"/>
  <c r="A59" i="14" s="1"/>
  <c r="A60" i="14" s="1"/>
  <c r="A63" i="14" s="1"/>
  <c r="A64" i="14" s="1"/>
  <c r="A65" i="14" s="1"/>
  <c r="A66" i="14" s="1"/>
  <c r="A69" i="14" s="1"/>
  <c r="A70" i="14" s="1"/>
  <c r="A71" i="14" s="1"/>
  <c r="A72" i="14" s="1"/>
  <c r="A73" i="14" s="1"/>
  <c r="A76" i="14" s="1"/>
  <c r="A77" i="14" s="1"/>
  <c r="A78" i="14" s="1"/>
  <c r="A79" i="14" s="1"/>
  <c r="A80" i="14" s="1"/>
  <c r="A83" i="14" s="1"/>
  <c r="A84" i="14" s="1"/>
  <c r="A85" i="14" s="1"/>
  <c r="A86" i="14" s="1"/>
  <c r="A87" i="14" s="1"/>
  <c r="A88" i="14" s="1"/>
  <c r="A89" i="14" s="1"/>
  <c r="J4" i="14"/>
  <c r="K4" i="14" s="1"/>
  <c r="J3" i="14"/>
  <c r="H38" i="15"/>
  <c r="D37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W15" i="15"/>
  <c r="W18" i="15" s="1"/>
  <c r="V15" i="15"/>
  <c r="V18" i="15" s="1"/>
  <c r="U15" i="15"/>
  <c r="T15" i="15"/>
  <c r="T18" i="15" s="1"/>
  <c r="S15" i="15"/>
  <c r="R15" i="15"/>
  <c r="Q15" i="15"/>
  <c r="Q18" i="15" s="1"/>
  <c r="P15" i="15"/>
  <c r="P18" i="15" s="1"/>
  <c r="O15" i="15"/>
  <c r="N15" i="15"/>
  <c r="N18" i="15" s="1"/>
  <c r="M15" i="15"/>
  <c r="M18" i="15" s="1"/>
  <c r="L15" i="15"/>
  <c r="K15" i="15"/>
  <c r="K18" i="15" s="1"/>
  <c r="J15" i="15"/>
  <c r="J18" i="15" s="1"/>
  <c r="I15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A8" i="15"/>
  <c r="A10" i="15" s="1"/>
  <c r="A11" i="15" s="1"/>
  <c r="A13" i="15" s="1"/>
  <c r="A15" i="15" s="1"/>
  <c r="A16" i="15" s="1"/>
  <c r="A18" i="15" s="1"/>
  <c r="A19" i="15" s="1"/>
  <c r="A21" i="15" s="1"/>
  <c r="A23" i="15" s="1"/>
  <c r="A24" i="15" s="1"/>
  <c r="A25" i="15" s="1"/>
  <c r="A27" i="15" s="1"/>
  <c r="A28" i="15" s="1"/>
  <c r="A29" i="15" s="1"/>
  <c r="A31" i="15" s="1"/>
  <c r="A32" i="15" s="1"/>
  <c r="A35" i="15" s="1"/>
  <c r="A36" i="15" s="1"/>
  <c r="A37" i="15" s="1"/>
  <c r="A38" i="15" s="1"/>
  <c r="A39" i="15" s="1"/>
  <c r="A40" i="15" s="1"/>
  <c r="A43" i="15" s="1"/>
  <c r="A44" i="15" s="1"/>
  <c r="A45" i="15" s="1"/>
  <c r="A46" i="15" s="1"/>
  <c r="A47" i="15" s="1"/>
  <c r="A50" i="15" s="1"/>
  <c r="A51" i="15" s="1"/>
  <c r="A52" i="15" s="1"/>
  <c r="A53" i="15" s="1"/>
  <c r="A54" i="15" s="1"/>
  <c r="A57" i="15" s="1"/>
  <c r="A58" i="15" s="1"/>
  <c r="A59" i="15" s="1"/>
  <c r="A60" i="15" s="1"/>
  <c r="A63" i="15" s="1"/>
  <c r="A64" i="15" s="1"/>
  <c r="A65" i="15" s="1"/>
  <c r="A66" i="15" s="1"/>
  <c r="A69" i="15" s="1"/>
  <c r="A70" i="15" s="1"/>
  <c r="A71" i="15" s="1"/>
  <c r="A72" i="15" s="1"/>
  <c r="A73" i="15" s="1"/>
  <c r="A76" i="15" s="1"/>
  <c r="A77" i="15" s="1"/>
  <c r="A78" i="15" s="1"/>
  <c r="A79" i="15" s="1"/>
  <c r="A80" i="15" s="1"/>
  <c r="A83" i="15" s="1"/>
  <c r="A84" i="15" s="1"/>
  <c r="A85" i="15" s="1"/>
  <c r="A86" i="15" s="1"/>
  <c r="A87" i="15" s="1"/>
  <c r="A88" i="15" s="1"/>
  <c r="A89" i="15" s="1"/>
  <c r="J4" i="15"/>
  <c r="J23" i="15" s="1"/>
  <c r="D37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W15" i="17"/>
  <c r="W18" i="17" s="1"/>
  <c r="V15" i="17"/>
  <c r="V18" i="17" s="1"/>
  <c r="U15" i="17"/>
  <c r="U18" i="17" s="1"/>
  <c r="T15" i="17"/>
  <c r="T18" i="17" s="1"/>
  <c r="S15" i="17"/>
  <c r="S18" i="17" s="1"/>
  <c r="R15" i="17"/>
  <c r="R18" i="17" s="1"/>
  <c r="Q15" i="17"/>
  <c r="Q18" i="17" s="1"/>
  <c r="P15" i="17"/>
  <c r="O15" i="17"/>
  <c r="O18" i="17" s="1"/>
  <c r="N15" i="17"/>
  <c r="N18" i="17" s="1"/>
  <c r="M15" i="17"/>
  <c r="M18" i="17" s="1"/>
  <c r="L15" i="17"/>
  <c r="L18" i="17" s="1"/>
  <c r="K15" i="17"/>
  <c r="K18" i="17" s="1"/>
  <c r="J15" i="17"/>
  <c r="I15" i="17"/>
  <c r="I18" i="17" s="1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A8" i="17"/>
  <c r="A10" i="17" s="1"/>
  <c r="A11" i="17" s="1"/>
  <c r="A13" i="17" s="1"/>
  <c r="A15" i="17" s="1"/>
  <c r="A16" i="17" s="1"/>
  <c r="A18" i="17" s="1"/>
  <c r="A19" i="17" s="1"/>
  <c r="A21" i="17" s="1"/>
  <c r="A23" i="17" s="1"/>
  <c r="A24" i="17" s="1"/>
  <c r="A25" i="17" s="1"/>
  <c r="A27" i="17" s="1"/>
  <c r="A28" i="17" s="1"/>
  <c r="A29" i="17" s="1"/>
  <c r="A31" i="17" s="1"/>
  <c r="A32" i="17" s="1"/>
  <c r="A35" i="17" s="1"/>
  <c r="A36" i="17" s="1"/>
  <c r="A37" i="17" s="1"/>
  <c r="A38" i="17" s="1"/>
  <c r="A39" i="17" s="1"/>
  <c r="A40" i="17" s="1"/>
  <c r="A43" i="17" s="1"/>
  <c r="A44" i="17" s="1"/>
  <c r="A45" i="17" s="1"/>
  <c r="A46" i="17" s="1"/>
  <c r="A47" i="17" s="1"/>
  <c r="A50" i="17" s="1"/>
  <c r="A51" i="17" s="1"/>
  <c r="A52" i="17" s="1"/>
  <c r="A53" i="17" s="1"/>
  <c r="A54" i="17" s="1"/>
  <c r="A57" i="17" s="1"/>
  <c r="A58" i="17" s="1"/>
  <c r="A59" i="17" s="1"/>
  <c r="A60" i="17" s="1"/>
  <c r="A63" i="17" s="1"/>
  <c r="A64" i="17" s="1"/>
  <c r="A65" i="17" s="1"/>
  <c r="A66" i="17" s="1"/>
  <c r="A69" i="17" s="1"/>
  <c r="A70" i="17" s="1"/>
  <c r="A71" i="17" s="1"/>
  <c r="A72" i="17" s="1"/>
  <c r="A73" i="17" s="1"/>
  <c r="A76" i="17" s="1"/>
  <c r="A77" i="17" s="1"/>
  <c r="A78" i="17" s="1"/>
  <c r="A79" i="17" s="1"/>
  <c r="A80" i="17" s="1"/>
  <c r="A83" i="17" s="1"/>
  <c r="A84" i="17" s="1"/>
  <c r="A85" i="17" s="1"/>
  <c r="A86" i="17" s="1"/>
  <c r="A87" i="17" s="1"/>
  <c r="A88" i="17" s="1"/>
  <c r="A89" i="17" s="1"/>
  <c r="J4" i="17"/>
  <c r="D37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W15" i="19"/>
  <c r="W18" i="19" s="1"/>
  <c r="V15" i="19"/>
  <c r="V18" i="19" s="1"/>
  <c r="U15" i="19"/>
  <c r="U18" i="19" s="1"/>
  <c r="T15" i="19"/>
  <c r="T18" i="19" s="1"/>
  <c r="S15" i="19"/>
  <c r="S18" i="19" s="1"/>
  <c r="R15" i="19"/>
  <c r="R18" i="19" s="1"/>
  <c r="Q15" i="19"/>
  <c r="Q18" i="19" s="1"/>
  <c r="P15" i="19"/>
  <c r="P18" i="19" s="1"/>
  <c r="O15" i="19"/>
  <c r="O18" i="19" s="1"/>
  <c r="N15" i="19"/>
  <c r="N18" i="19" s="1"/>
  <c r="M15" i="19"/>
  <c r="M18" i="19" s="1"/>
  <c r="L15" i="19"/>
  <c r="L18" i="19" s="1"/>
  <c r="K15" i="19"/>
  <c r="K18" i="19" s="1"/>
  <c r="J15" i="19"/>
  <c r="J18" i="19" s="1"/>
  <c r="I15" i="19"/>
  <c r="I18" i="19" s="1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A8" i="19"/>
  <c r="A10" i="19" s="1"/>
  <c r="A11" i="19" s="1"/>
  <c r="A13" i="19" s="1"/>
  <c r="A15" i="19" s="1"/>
  <c r="A16" i="19" s="1"/>
  <c r="A18" i="19" s="1"/>
  <c r="A19" i="19" s="1"/>
  <c r="A21" i="19" s="1"/>
  <c r="A23" i="19" s="1"/>
  <c r="A24" i="19" s="1"/>
  <c r="A25" i="19" s="1"/>
  <c r="A27" i="19" s="1"/>
  <c r="A28" i="19" s="1"/>
  <c r="A29" i="19" s="1"/>
  <c r="A31" i="19" s="1"/>
  <c r="A32" i="19" s="1"/>
  <c r="A35" i="19" s="1"/>
  <c r="A36" i="19" s="1"/>
  <c r="A37" i="19" s="1"/>
  <c r="A38" i="19" s="1"/>
  <c r="A39" i="19" s="1"/>
  <c r="A40" i="19" s="1"/>
  <c r="A43" i="19" s="1"/>
  <c r="A44" i="19" s="1"/>
  <c r="A45" i="19" s="1"/>
  <c r="A46" i="19" s="1"/>
  <c r="A47" i="19" s="1"/>
  <c r="A50" i="19" s="1"/>
  <c r="A51" i="19" s="1"/>
  <c r="A52" i="19" s="1"/>
  <c r="A53" i="19" s="1"/>
  <c r="A54" i="19" s="1"/>
  <c r="A57" i="19" s="1"/>
  <c r="A58" i="19" s="1"/>
  <c r="A59" i="19" s="1"/>
  <c r="A60" i="19" s="1"/>
  <c r="A63" i="19" s="1"/>
  <c r="A64" i="19" s="1"/>
  <c r="A65" i="19" s="1"/>
  <c r="A66" i="19" s="1"/>
  <c r="A69" i="19" s="1"/>
  <c r="A70" i="19" s="1"/>
  <c r="A71" i="19" s="1"/>
  <c r="A72" i="19" s="1"/>
  <c r="A73" i="19" s="1"/>
  <c r="A76" i="19" s="1"/>
  <c r="A77" i="19" s="1"/>
  <c r="A78" i="19" s="1"/>
  <c r="A79" i="19" s="1"/>
  <c r="A80" i="19" s="1"/>
  <c r="A83" i="19" s="1"/>
  <c r="A84" i="19" s="1"/>
  <c r="A85" i="19" s="1"/>
  <c r="A86" i="19" s="1"/>
  <c r="A87" i="19" s="1"/>
  <c r="A88" i="19" s="1"/>
  <c r="A89" i="19" s="1"/>
  <c r="J4" i="19"/>
  <c r="J23" i="19" s="1"/>
  <c r="J3" i="19"/>
  <c r="K3" i="19" s="1"/>
  <c r="L3" i="19" s="1"/>
  <c r="D37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H37" i="2" s="1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W15" i="2"/>
  <c r="W18" i="2" s="1"/>
  <c r="V15" i="2"/>
  <c r="V18" i="2" s="1"/>
  <c r="U15" i="2"/>
  <c r="U18" i="2" s="1"/>
  <c r="T15" i="2"/>
  <c r="T18" i="2" s="1"/>
  <c r="S15" i="2"/>
  <c r="S18" i="2" s="1"/>
  <c r="R15" i="2"/>
  <c r="R18" i="2" s="1"/>
  <c r="Q15" i="2"/>
  <c r="Q18" i="2" s="1"/>
  <c r="P15" i="2"/>
  <c r="P18" i="2" s="1"/>
  <c r="O15" i="2"/>
  <c r="O18" i="2" s="1"/>
  <c r="N15" i="2"/>
  <c r="N18" i="2" s="1"/>
  <c r="M15" i="2"/>
  <c r="M18" i="2" s="1"/>
  <c r="L15" i="2"/>
  <c r="L18" i="2" s="1"/>
  <c r="K15" i="2"/>
  <c r="K18" i="2" s="1"/>
  <c r="J15" i="2"/>
  <c r="J18" i="2" s="1"/>
  <c r="I15" i="2"/>
  <c r="I18" i="2" s="1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A8" i="2"/>
  <c r="A10" i="2" s="1"/>
  <c r="A11" i="2" s="1"/>
  <c r="A13" i="2" s="1"/>
  <c r="A15" i="2" s="1"/>
  <c r="A16" i="2" s="1"/>
  <c r="A18" i="2" s="1"/>
  <c r="A19" i="2" s="1"/>
  <c r="A21" i="2" s="1"/>
  <c r="A23" i="2" s="1"/>
  <c r="A24" i="2" s="1"/>
  <c r="A25" i="2" s="1"/>
  <c r="A27" i="2" s="1"/>
  <c r="A28" i="2" s="1"/>
  <c r="A29" i="2" s="1"/>
  <c r="A31" i="2" s="1"/>
  <c r="A32" i="2" s="1"/>
  <c r="A35" i="2" s="1"/>
  <c r="A36" i="2" s="1"/>
  <c r="A37" i="2" s="1"/>
  <c r="A38" i="2" s="1"/>
  <c r="A39" i="2" s="1"/>
  <c r="A40" i="2" s="1"/>
  <c r="A43" i="2" s="1"/>
  <c r="A44" i="2" s="1"/>
  <c r="A45" i="2" s="1"/>
  <c r="A46" i="2" s="1"/>
  <c r="A47" i="2" s="1"/>
  <c r="A50" i="2" s="1"/>
  <c r="A51" i="2" s="1"/>
  <c r="A52" i="2" s="1"/>
  <c r="A53" i="2" s="1"/>
  <c r="A54" i="2" s="1"/>
  <c r="A57" i="2" s="1"/>
  <c r="A58" i="2" s="1"/>
  <c r="A59" i="2" s="1"/>
  <c r="A60" i="2" s="1"/>
  <c r="A63" i="2" s="1"/>
  <c r="A64" i="2" s="1"/>
  <c r="A65" i="2" s="1"/>
  <c r="A66" i="2" s="1"/>
  <c r="A69" i="2" s="1"/>
  <c r="A70" i="2" s="1"/>
  <c r="A71" i="2" s="1"/>
  <c r="A72" i="2" s="1"/>
  <c r="A73" i="2" s="1"/>
  <c r="A76" i="2" s="1"/>
  <c r="A77" i="2" s="1"/>
  <c r="A78" i="2" s="1"/>
  <c r="A79" i="2" s="1"/>
  <c r="A80" i="2" s="1"/>
  <c r="A83" i="2" s="1"/>
  <c r="A84" i="2" s="1"/>
  <c r="A85" i="2" s="1"/>
  <c r="A86" i="2" s="1"/>
  <c r="A87" i="2" s="1"/>
  <c r="A88" i="2" s="1"/>
  <c r="A89" i="2" s="1"/>
  <c r="J4" i="2"/>
  <c r="J23" i="2" s="1"/>
  <c r="I177" i="21"/>
  <c r="I166" i="21"/>
  <c r="I163" i="21" s="1"/>
  <c r="I156" i="21"/>
  <c r="I154" i="21" s="1"/>
  <c r="I146" i="21"/>
  <c r="I144" i="21" s="1"/>
  <c r="F135" i="21"/>
  <c r="I135" i="21" s="1"/>
  <c r="F125" i="21"/>
  <c r="I125" i="21" s="1"/>
  <c r="D116" i="21"/>
  <c r="D115" i="21"/>
  <c r="D114" i="21"/>
  <c r="D113" i="21"/>
  <c r="D112" i="21"/>
  <c r="D111" i="21"/>
  <c r="D110" i="21"/>
  <c r="D109" i="21"/>
  <c r="D108" i="21"/>
  <c r="D107" i="21"/>
  <c r="D106" i="21"/>
  <c r="I101" i="21"/>
  <c r="D100" i="21"/>
  <c r="D99" i="21"/>
  <c r="D98" i="21"/>
  <c r="D97" i="21"/>
  <c r="D96" i="21"/>
  <c r="D95" i="21"/>
  <c r="D94" i="21"/>
  <c r="D93" i="21"/>
  <c r="D92" i="21"/>
  <c r="D91" i="21"/>
  <c r="D90" i="21"/>
  <c r="D89" i="21"/>
  <c r="D88" i="21"/>
  <c r="D87" i="21"/>
  <c r="D86" i="21"/>
  <c r="I82" i="21"/>
  <c r="I116" i="21" s="1"/>
  <c r="D82" i="21"/>
  <c r="I81" i="21"/>
  <c r="I115" i="21" s="1"/>
  <c r="D81" i="21"/>
  <c r="I80" i="21"/>
  <c r="D80" i="21"/>
  <c r="I79" i="21"/>
  <c r="D79" i="21"/>
  <c r="I78" i="21"/>
  <c r="D78" i="21"/>
  <c r="I77" i="21"/>
  <c r="D77" i="21"/>
  <c r="I76" i="21"/>
  <c r="I114" i="21" s="1"/>
  <c r="D76" i="21"/>
  <c r="I75" i="21"/>
  <c r="I113" i="21" s="1"/>
  <c r="D75" i="21"/>
  <c r="I74" i="21"/>
  <c r="I112" i="21" s="1"/>
  <c r="D74" i="21"/>
  <c r="I73" i="21"/>
  <c r="I111" i="21" s="1"/>
  <c r="D73" i="21"/>
  <c r="I72" i="21"/>
  <c r="I110" i="21" s="1"/>
  <c r="D72" i="21"/>
  <c r="I71" i="21"/>
  <c r="I109" i="21" s="1"/>
  <c r="D71" i="21"/>
  <c r="I70" i="21"/>
  <c r="I108" i="21" s="1"/>
  <c r="D70" i="21"/>
  <c r="I69" i="21"/>
  <c r="I107" i="21" s="1"/>
  <c r="D69" i="21"/>
  <c r="I68" i="21"/>
  <c r="I106" i="21" s="1"/>
  <c r="D68" i="21"/>
  <c r="I65" i="21"/>
  <c r="D64" i="21"/>
  <c r="D63" i="21"/>
  <c r="D62" i="21"/>
  <c r="D61" i="21"/>
  <c r="D60" i="21"/>
  <c r="D59" i="21"/>
  <c r="D58" i="21"/>
  <c r="D57" i="21"/>
  <c r="D56" i="21"/>
  <c r="D55" i="21"/>
  <c r="D54" i="21"/>
  <c r="D53" i="21"/>
  <c r="D52" i="21"/>
  <c r="D51" i="21"/>
  <c r="D50" i="21"/>
  <c r="I47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I29" i="21"/>
  <c r="I30" i="21" s="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A8" i="21"/>
  <c r="A9" i="21" s="1"/>
  <c r="A10" i="21" s="1"/>
  <c r="A11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3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9" i="21" s="1"/>
  <c r="A120" i="21" s="1"/>
  <c r="A122" i="21" s="1"/>
  <c r="A123" i="21" s="1"/>
  <c r="A124" i="21" s="1"/>
  <c r="A125" i="21" s="1"/>
  <c r="A126" i="21" s="1"/>
  <c r="A129" i="21" s="1"/>
  <c r="A130" i="21" s="1"/>
  <c r="A132" i="21" s="1"/>
  <c r="A133" i="21" s="1"/>
  <c r="A134" i="21" s="1"/>
  <c r="A135" i="21" s="1"/>
  <c r="A136" i="21" s="1"/>
  <c r="A139" i="21" s="1"/>
  <c r="A140" i="21" s="1"/>
  <c r="A142" i="21" s="1"/>
  <c r="A143" i="21" s="1"/>
  <c r="A144" i="21" s="1"/>
  <c r="A145" i="21" s="1"/>
  <c r="A146" i="21" s="1"/>
  <c r="A149" i="21" s="1"/>
  <c r="A150" i="21" s="1"/>
  <c r="A152" i="21" s="1"/>
  <c r="A153" i="21" s="1"/>
  <c r="A154" i="21" s="1"/>
  <c r="A155" i="21" s="1"/>
  <c r="A156" i="21" s="1"/>
  <c r="A159" i="21" s="1"/>
  <c r="A160" i="21" s="1"/>
  <c r="A162" i="21" s="1"/>
  <c r="A163" i="21" s="1"/>
  <c r="A164" i="21" s="1"/>
  <c r="A165" i="21" s="1"/>
  <c r="A166" i="21" s="1"/>
  <c r="A169" i="21" s="1"/>
  <c r="A170" i="21" s="1"/>
  <c r="A172" i="21" s="1"/>
  <c r="A173" i="21" s="1"/>
  <c r="A174" i="21" s="1"/>
  <c r="A175" i="21" s="1"/>
  <c r="A176" i="21" s="1"/>
  <c r="A177" i="21" s="1"/>
  <c r="A178" i="21" s="1"/>
  <c r="A181" i="21" s="1"/>
  <c r="A182" i="21" s="1"/>
  <c r="A183" i="21" s="1"/>
  <c r="A184" i="21" s="1"/>
  <c r="A185" i="21" s="1"/>
  <c r="A186" i="21" s="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J4" i="21"/>
  <c r="K4" i="21" s="1"/>
  <c r="L4" i="21" s="1"/>
  <c r="M4" i="21" s="1"/>
  <c r="N4" i="21" s="1"/>
  <c r="O4" i="21" s="1"/>
  <c r="P4" i="21" s="1"/>
  <c r="Q4" i="21" s="1"/>
  <c r="R4" i="21" s="1"/>
  <c r="S4" i="21" s="1"/>
  <c r="T4" i="21" s="1"/>
  <c r="U4" i="21" s="1"/>
  <c r="V4" i="21" s="1"/>
  <c r="W4" i="21" s="1"/>
  <c r="I3" i="21"/>
  <c r="D78" i="5"/>
  <c r="I77" i="5"/>
  <c r="I76" i="5"/>
  <c r="I75" i="5"/>
  <c r="I74" i="5"/>
  <c r="I73" i="5"/>
  <c r="I72" i="5"/>
  <c r="D65" i="5"/>
  <c r="D61" i="5"/>
  <c r="D53" i="5"/>
  <c r="D50" i="5"/>
  <c r="D48" i="5"/>
  <c r="D44" i="5"/>
  <c r="D31" i="5"/>
  <c r="D19" i="5"/>
  <c r="D43" i="5" s="1"/>
  <c r="D18" i="5"/>
  <c r="D42" i="5" s="1"/>
  <c r="D17" i="5"/>
  <c r="D16" i="5"/>
  <c r="D74" i="5" s="1"/>
  <c r="D15" i="5"/>
  <c r="D39" i="5" s="1"/>
  <c r="D14" i="5"/>
  <c r="D13" i="5"/>
  <c r="D71" i="5" s="1"/>
  <c r="D70" i="5"/>
  <c r="D11" i="5"/>
  <c r="D10" i="5"/>
  <c r="D68" i="5" s="1"/>
  <c r="D67" i="5"/>
  <c r="D8" i="5"/>
  <c r="D49" i="5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3" i="5" s="1"/>
  <c r="A24" i="5" s="1"/>
  <c r="A26" i="5" s="1"/>
  <c r="A27" i="5" s="1"/>
  <c r="A28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J4" i="5"/>
  <c r="K4" i="5" s="1"/>
  <c r="L4" i="5" s="1"/>
  <c r="M4" i="5" s="1"/>
  <c r="N4" i="5" s="1"/>
  <c r="O4" i="5" s="1"/>
  <c r="P4" i="5" s="1"/>
  <c r="Q4" i="5" s="1"/>
  <c r="R4" i="5" s="1"/>
  <c r="S4" i="5" s="1"/>
  <c r="T4" i="5" s="1"/>
  <c r="U4" i="5" s="1"/>
  <c r="V4" i="5" s="1"/>
  <c r="W4" i="5" s="1"/>
  <c r="N21" i="17" l="1"/>
  <c r="W21" i="17"/>
  <c r="W21" i="15"/>
  <c r="P21" i="14"/>
  <c r="J18" i="9"/>
  <c r="J21" i="9" s="1"/>
  <c r="U18" i="13"/>
  <c r="U21" i="13" s="1"/>
  <c r="W21" i="11"/>
  <c r="P21" i="12"/>
  <c r="R21" i="14"/>
  <c r="L21" i="18"/>
  <c r="S21" i="2"/>
  <c r="J23" i="14"/>
  <c r="M21" i="13"/>
  <c r="Q21" i="18"/>
  <c r="V21" i="11"/>
  <c r="I139" i="21"/>
  <c r="I143" i="21"/>
  <c r="J3" i="21"/>
  <c r="I3" i="9"/>
  <c r="I38" i="9" s="1"/>
  <c r="I44" i="9" s="1"/>
  <c r="I51" i="9" s="1"/>
  <c r="I45" i="9" s="1"/>
  <c r="I52" i="9" s="1"/>
  <c r="I3" i="18"/>
  <c r="I3" i="15"/>
  <c r="I38" i="15" s="1"/>
  <c r="I58" i="15" s="1"/>
  <c r="I3" i="13"/>
  <c r="I3" i="2"/>
  <c r="K4" i="2"/>
  <c r="R21" i="20"/>
  <c r="I164" i="21"/>
  <c r="I162" i="21"/>
  <c r="Q21" i="19"/>
  <c r="S18" i="15"/>
  <c r="S21" i="15" s="1"/>
  <c r="K21" i="10"/>
  <c r="W21" i="10"/>
  <c r="K4" i="18"/>
  <c r="K23" i="18" s="1"/>
  <c r="T21" i="18"/>
  <c r="K18" i="18"/>
  <c r="K21" i="18" s="1"/>
  <c r="H65" i="14"/>
  <c r="U18" i="14"/>
  <c r="U21" i="14" s="1"/>
  <c r="J23" i="10"/>
  <c r="K4" i="10"/>
  <c r="L4" i="10" s="1"/>
  <c r="M4" i="10" s="1"/>
  <c r="D77" i="5"/>
  <c r="J21" i="15"/>
  <c r="H58" i="14"/>
  <c r="H44" i="14"/>
  <c r="H51" i="14" s="1"/>
  <c r="H45" i="14" s="1"/>
  <c r="H52" i="14" s="1"/>
  <c r="H53" i="14" s="1"/>
  <c r="S18" i="9"/>
  <c r="S21" i="9" s="1"/>
  <c r="W21" i="9"/>
  <c r="K4" i="11"/>
  <c r="K23" i="11" s="1"/>
  <c r="J21" i="11"/>
  <c r="O21" i="20"/>
  <c r="D51" i="5"/>
  <c r="J101" i="21"/>
  <c r="J23" i="5" s="1"/>
  <c r="I159" i="21"/>
  <c r="J21" i="2"/>
  <c r="V21" i="2"/>
  <c r="N21" i="19"/>
  <c r="T21" i="17"/>
  <c r="L21" i="14"/>
  <c r="M21" i="14"/>
  <c r="M21" i="9"/>
  <c r="P18" i="11"/>
  <c r="P21" i="11" s="1"/>
  <c r="S21" i="12"/>
  <c r="P21" i="2"/>
  <c r="K21" i="19"/>
  <c r="W21" i="19"/>
  <c r="O21" i="14"/>
  <c r="Q21" i="10"/>
  <c r="L21" i="10"/>
  <c r="N21" i="18"/>
  <c r="J47" i="21"/>
  <c r="K47" i="21" s="1"/>
  <c r="L47" i="21" s="1"/>
  <c r="M47" i="21" s="1"/>
  <c r="N47" i="21" s="1"/>
  <c r="O47" i="21" s="1"/>
  <c r="P47" i="21" s="1"/>
  <c r="Q47" i="21" s="1"/>
  <c r="R47" i="21" s="1"/>
  <c r="S47" i="21" s="1"/>
  <c r="T47" i="21" s="1"/>
  <c r="U47" i="21" s="1"/>
  <c r="V47" i="21" s="1"/>
  <c r="W47" i="21" s="1"/>
  <c r="J65" i="21"/>
  <c r="K65" i="21" s="1"/>
  <c r="L65" i="21" s="1"/>
  <c r="M65" i="21" s="1"/>
  <c r="N65" i="21" s="1"/>
  <c r="O65" i="21" s="1"/>
  <c r="P65" i="21" s="1"/>
  <c r="Q65" i="21" s="1"/>
  <c r="R65" i="21" s="1"/>
  <c r="S65" i="21" s="1"/>
  <c r="T65" i="21" s="1"/>
  <c r="U65" i="21" s="1"/>
  <c r="V65" i="21" s="1"/>
  <c r="W65" i="21" s="1"/>
  <c r="M21" i="2"/>
  <c r="T21" i="19"/>
  <c r="K21" i="17"/>
  <c r="V21" i="14"/>
  <c r="P21" i="13"/>
  <c r="N21" i="10"/>
  <c r="K4" i="12"/>
  <c r="L4" i="12" s="1"/>
  <c r="J21" i="12"/>
  <c r="V21" i="12"/>
  <c r="L3" i="5"/>
  <c r="K3" i="10"/>
  <c r="D40" i="5"/>
  <c r="H38" i="2"/>
  <c r="H39" i="2" s="1"/>
  <c r="I21" i="19"/>
  <c r="L21" i="19"/>
  <c r="O21" i="19"/>
  <c r="R21" i="19"/>
  <c r="U21" i="19"/>
  <c r="D32" i="5"/>
  <c r="K21" i="2"/>
  <c r="N21" i="2"/>
  <c r="Q21" i="2"/>
  <c r="T21" i="2"/>
  <c r="W21" i="2"/>
  <c r="R21" i="17"/>
  <c r="H37" i="17"/>
  <c r="I18" i="15"/>
  <c r="I21" i="15" s="1"/>
  <c r="L18" i="15"/>
  <c r="L21" i="15" s="1"/>
  <c r="O18" i="15"/>
  <c r="O21" i="15" s="1"/>
  <c r="R18" i="15"/>
  <c r="R21" i="15" s="1"/>
  <c r="U18" i="15"/>
  <c r="U21" i="15" s="1"/>
  <c r="K21" i="15"/>
  <c r="T21" i="15"/>
  <c r="K4" i="13"/>
  <c r="J23" i="13"/>
  <c r="K18" i="11"/>
  <c r="K21" i="11" s="1"/>
  <c r="N18" i="11"/>
  <c r="N21" i="11" s="1"/>
  <c r="Q18" i="11"/>
  <c r="Q21" i="11" s="1"/>
  <c r="T18" i="11"/>
  <c r="T21" i="11" s="1"/>
  <c r="D34" i="5"/>
  <c r="D52" i="5"/>
  <c r="D57" i="5"/>
  <c r="D60" i="5"/>
  <c r="I176" i="21"/>
  <c r="I178" i="21" s="1"/>
  <c r="I142" i="21"/>
  <c r="I160" i="21"/>
  <c r="I21" i="2"/>
  <c r="L21" i="2"/>
  <c r="O21" i="2"/>
  <c r="R21" i="2"/>
  <c r="U21" i="2"/>
  <c r="M3" i="19"/>
  <c r="K4" i="19"/>
  <c r="J21" i="19"/>
  <c r="M21" i="19"/>
  <c r="P21" i="19"/>
  <c r="S21" i="19"/>
  <c r="V21" i="19"/>
  <c r="J23" i="17"/>
  <c r="K4" i="17"/>
  <c r="J18" i="17"/>
  <c r="J21" i="17" s="1"/>
  <c r="O21" i="17"/>
  <c r="H38" i="17"/>
  <c r="M21" i="15"/>
  <c r="P21" i="15"/>
  <c r="V21" i="15"/>
  <c r="N21" i="15"/>
  <c r="H64" i="15"/>
  <c r="H65" i="15" s="1"/>
  <c r="H58" i="15"/>
  <c r="H44" i="15"/>
  <c r="H51" i="15" s="1"/>
  <c r="K23" i="14"/>
  <c r="L4" i="14"/>
  <c r="K18" i="9"/>
  <c r="K21" i="9" s="1"/>
  <c r="N18" i="9"/>
  <c r="N21" i="9" s="1"/>
  <c r="Q21" i="9"/>
  <c r="I21" i="13"/>
  <c r="L21" i="13"/>
  <c r="O21" i="13"/>
  <c r="R21" i="13"/>
  <c r="D35" i="5"/>
  <c r="D55" i="5"/>
  <c r="D58" i="5"/>
  <c r="H37" i="19"/>
  <c r="M21" i="17"/>
  <c r="S21" i="17"/>
  <c r="V21" i="17"/>
  <c r="I21" i="17"/>
  <c r="D33" i="5"/>
  <c r="D36" i="5"/>
  <c r="D38" i="5"/>
  <c r="D41" i="5"/>
  <c r="D56" i="5"/>
  <c r="D59" i="5"/>
  <c r="D66" i="5"/>
  <c r="D69" i="5"/>
  <c r="D72" i="5"/>
  <c r="D73" i="5"/>
  <c r="D75" i="5"/>
  <c r="D76" i="5"/>
  <c r="I140" i="21"/>
  <c r="J177" i="21"/>
  <c r="K177" i="21" s="1"/>
  <c r="L177" i="21" s="1"/>
  <c r="M177" i="21" s="1"/>
  <c r="N177" i="21" s="1"/>
  <c r="O177" i="21" s="1"/>
  <c r="P177" i="21" s="1"/>
  <c r="Q177" i="21" s="1"/>
  <c r="R177" i="21" s="1"/>
  <c r="S177" i="21" s="1"/>
  <c r="T177" i="21" s="1"/>
  <c r="U177" i="21" s="1"/>
  <c r="V177" i="21" s="1"/>
  <c r="W177" i="21" s="1"/>
  <c r="P18" i="17"/>
  <c r="P21" i="17" s="1"/>
  <c r="L21" i="17"/>
  <c r="Q21" i="17"/>
  <c r="U21" i="17"/>
  <c r="Q21" i="15"/>
  <c r="K21" i="14"/>
  <c r="N18" i="14"/>
  <c r="N21" i="14" s="1"/>
  <c r="Q18" i="14"/>
  <c r="Q21" i="14" s="1"/>
  <c r="W18" i="14"/>
  <c r="W21" i="14" s="1"/>
  <c r="T18" i="14"/>
  <c r="T21" i="14" s="1"/>
  <c r="H37" i="14"/>
  <c r="H39" i="14" s="1"/>
  <c r="L4" i="9"/>
  <c r="K23" i="9"/>
  <c r="H37" i="13"/>
  <c r="H38" i="13" s="1"/>
  <c r="J18" i="20"/>
  <c r="J21" i="20" s="1"/>
  <c r="M18" i="20"/>
  <c r="M21" i="20" s="1"/>
  <c r="P18" i="20"/>
  <c r="P21" i="20" s="1"/>
  <c r="S18" i="20"/>
  <c r="S21" i="20" s="1"/>
  <c r="V18" i="20"/>
  <c r="V21" i="20" s="1"/>
  <c r="H37" i="15"/>
  <c r="H39" i="15" s="1"/>
  <c r="K3" i="14"/>
  <c r="I21" i="14"/>
  <c r="I44" i="14"/>
  <c r="O18" i="9"/>
  <c r="O21" i="9" s="1"/>
  <c r="U21" i="9"/>
  <c r="L18" i="9"/>
  <c r="L21" i="9" s="1"/>
  <c r="R18" i="9"/>
  <c r="R21" i="9" s="1"/>
  <c r="I18" i="10"/>
  <c r="I21" i="10" s="1"/>
  <c r="I37" i="10" s="1"/>
  <c r="O18" i="10"/>
  <c r="O21" i="10" s="1"/>
  <c r="R18" i="10"/>
  <c r="R21" i="10" s="1"/>
  <c r="T21" i="10"/>
  <c r="K4" i="15"/>
  <c r="J21" i="14"/>
  <c r="S21" i="14"/>
  <c r="J38" i="14"/>
  <c r="I58" i="14"/>
  <c r="I18" i="9"/>
  <c r="I21" i="9" s="1"/>
  <c r="I37" i="9" s="1"/>
  <c r="N18" i="13"/>
  <c r="N21" i="13" s="1"/>
  <c r="T21" i="13"/>
  <c r="W18" i="13"/>
  <c r="W21" i="13" s="1"/>
  <c r="K18" i="13"/>
  <c r="K21" i="13" s="1"/>
  <c r="Q18" i="13"/>
  <c r="Q21" i="13" s="1"/>
  <c r="U21" i="10"/>
  <c r="L4" i="18"/>
  <c r="P21" i="10"/>
  <c r="M18" i="10"/>
  <c r="M21" i="10" s="1"/>
  <c r="V18" i="10"/>
  <c r="V21" i="10" s="1"/>
  <c r="K18" i="12"/>
  <c r="K21" i="12" s="1"/>
  <c r="N18" i="12"/>
  <c r="N21" i="12" s="1"/>
  <c r="Q18" i="12"/>
  <c r="Q21" i="12" s="1"/>
  <c r="T18" i="12"/>
  <c r="T21" i="12"/>
  <c r="W18" i="12"/>
  <c r="W21" i="12" s="1"/>
  <c r="P21" i="9"/>
  <c r="T21" i="9"/>
  <c r="J21" i="13"/>
  <c r="S21" i="13"/>
  <c r="J18" i="10"/>
  <c r="J21" i="10" s="1"/>
  <c r="S18" i="10"/>
  <c r="S21" i="10" s="1"/>
  <c r="I18" i="18"/>
  <c r="I21" i="18" s="1"/>
  <c r="R18" i="18"/>
  <c r="R21" i="18" s="1"/>
  <c r="W21" i="18"/>
  <c r="O21" i="18"/>
  <c r="U21" i="18"/>
  <c r="S21" i="11"/>
  <c r="K3" i="12"/>
  <c r="K3" i="11"/>
  <c r="M21" i="11"/>
  <c r="K23" i="12"/>
  <c r="M21" i="12"/>
  <c r="M3" i="20"/>
  <c r="N4" i="20"/>
  <c r="J21" i="18"/>
  <c r="P21" i="18"/>
  <c r="S21" i="18"/>
  <c r="M18" i="18"/>
  <c r="M21" i="18" s="1"/>
  <c r="V18" i="18"/>
  <c r="V21" i="18" s="1"/>
  <c r="I21" i="11"/>
  <c r="I37" i="11" s="1"/>
  <c r="O21" i="11"/>
  <c r="R21" i="11"/>
  <c r="L18" i="11"/>
  <c r="L21" i="11" s="1"/>
  <c r="U18" i="11"/>
  <c r="U21" i="11" s="1"/>
  <c r="I21" i="12"/>
  <c r="I37" i="12" s="1"/>
  <c r="I38" i="12" s="1"/>
  <c r="O21" i="12"/>
  <c r="R21" i="12"/>
  <c r="L18" i="12"/>
  <c r="L21" i="12" s="1"/>
  <c r="U18" i="12"/>
  <c r="U21" i="12" s="1"/>
  <c r="L21" i="20"/>
  <c r="U21" i="20"/>
  <c r="I21" i="20"/>
  <c r="I37" i="20" s="1"/>
  <c r="N21" i="20"/>
  <c r="Q21" i="20"/>
  <c r="W21" i="20"/>
  <c r="K18" i="20"/>
  <c r="K21" i="20" s="1"/>
  <c r="T18" i="20"/>
  <c r="T21" i="20" s="1"/>
  <c r="J23" i="20"/>
  <c r="I165" i="21"/>
  <c r="I145" i="21"/>
  <c r="I174" i="21"/>
  <c r="I23" i="5"/>
  <c r="I150" i="21"/>
  <c r="I153" i="21"/>
  <c r="I83" i="21"/>
  <c r="I155" i="21"/>
  <c r="I149" i="21"/>
  <c r="I152" i="21"/>
  <c r="D37" i="5"/>
  <c r="D54" i="5"/>
  <c r="I175" i="21" l="1"/>
  <c r="J175" i="21" s="1"/>
  <c r="I173" i="21"/>
  <c r="L4" i="11"/>
  <c r="I170" i="21"/>
  <c r="F174" i="21" s="1"/>
  <c r="I39" i="9"/>
  <c r="J35" i="9" s="1"/>
  <c r="I58" i="9"/>
  <c r="I59" i="9" s="1"/>
  <c r="I64" i="9"/>
  <c r="I65" i="9" s="1"/>
  <c r="I71" i="9" s="1"/>
  <c r="I64" i="15"/>
  <c r="K101" i="21"/>
  <c r="K23" i="5" s="1"/>
  <c r="K24" i="5" s="1"/>
  <c r="I37" i="18"/>
  <c r="I59" i="14"/>
  <c r="H39" i="17"/>
  <c r="I44" i="15"/>
  <c r="H71" i="14"/>
  <c r="H66" i="14"/>
  <c r="I63" i="14" s="1"/>
  <c r="H59" i="14"/>
  <c r="K23" i="2"/>
  <c r="L4" i="2"/>
  <c r="K23" i="10"/>
  <c r="L23" i="10" s="1"/>
  <c r="K3" i="21"/>
  <c r="J3" i="9"/>
  <c r="J3" i="18"/>
  <c r="J3" i="15"/>
  <c r="J3" i="13"/>
  <c r="J3" i="2"/>
  <c r="M3" i="5"/>
  <c r="L3" i="10"/>
  <c r="I38" i="20"/>
  <c r="I39" i="20" s="1"/>
  <c r="H44" i="13"/>
  <c r="H64" i="13"/>
  <c r="H58" i="13"/>
  <c r="H39" i="13"/>
  <c r="I44" i="12"/>
  <c r="I64" i="12"/>
  <c r="I58" i="12"/>
  <c r="I35" i="14"/>
  <c r="H40" i="14"/>
  <c r="H78" i="14" s="1"/>
  <c r="I38" i="18"/>
  <c r="I38" i="10"/>
  <c r="I39" i="10" s="1"/>
  <c r="I37" i="14"/>
  <c r="H40" i="15"/>
  <c r="H78" i="15" s="1"/>
  <c r="I35" i="15"/>
  <c r="I50" i="14"/>
  <c r="H54" i="14"/>
  <c r="H77" i="14" s="1"/>
  <c r="L23" i="12"/>
  <c r="M4" i="12"/>
  <c r="K23" i="19"/>
  <c r="L4" i="19"/>
  <c r="M23" i="10"/>
  <c r="N4" i="10"/>
  <c r="H40" i="17"/>
  <c r="H78" i="17" s="1"/>
  <c r="I35" i="17"/>
  <c r="I37" i="17" s="1"/>
  <c r="I35" i="2"/>
  <c r="H40" i="2"/>
  <c r="H78" i="2" s="1"/>
  <c r="H38" i="19"/>
  <c r="K23" i="20"/>
  <c r="L23" i="20" s="1"/>
  <c r="N3" i="20"/>
  <c r="I38" i="11"/>
  <c r="I39" i="11" s="1"/>
  <c r="M4" i="18"/>
  <c r="L23" i="18"/>
  <c r="I46" i="9"/>
  <c r="K38" i="14"/>
  <c r="L3" i="14"/>
  <c r="L23" i="9"/>
  <c r="M4" i="9"/>
  <c r="L23" i="14"/>
  <c r="M4" i="14"/>
  <c r="H66" i="15"/>
  <c r="I63" i="15" s="1"/>
  <c r="N3" i="19"/>
  <c r="J58" i="14"/>
  <c r="J59" i="14" s="1"/>
  <c r="J44" i="14"/>
  <c r="J64" i="14"/>
  <c r="K23" i="15"/>
  <c r="L4" i="15"/>
  <c r="H59" i="15"/>
  <c r="H60" i="15" s="1"/>
  <c r="I57" i="15" s="1"/>
  <c r="I39" i="12"/>
  <c r="O4" i="20"/>
  <c r="L3" i="11"/>
  <c r="L3" i="12"/>
  <c r="L23" i="11"/>
  <c r="M4" i="11"/>
  <c r="I65" i="14"/>
  <c r="I59" i="15"/>
  <c r="H71" i="15"/>
  <c r="I53" i="9"/>
  <c r="I83" i="9"/>
  <c r="H46" i="14"/>
  <c r="H45" i="15"/>
  <c r="H52" i="15" s="1"/>
  <c r="H53" i="15" s="1"/>
  <c r="H64" i="17"/>
  <c r="H58" i="17"/>
  <c r="H44" i="17"/>
  <c r="K23" i="17"/>
  <c r="L4" i="17"/>
  <c r="K23" i="13"/>
  <c r="L4" i="13"/>
  <c r="H64" i="2"/>
  <c r="H58" i="2"/>
  <c r="H44" i="2"/>
  <c r="I169" i="21"/>
  <c r="I31" i="5" s="1"/>
  <c r="J24" i="5"/>
  <c r="I172" i="21"/>
  <c r="I103" i="21"/>
  <c r="I7" i="5"/>
  <c r="L101" i="21" l="1"/>
  <c r="M101" i="21" s="1"/>
  <c r="I70" i="9"/>
  <c r="I72" i="9" s="1"/>
  <c r="J69" i="9" s="1"/>
  <c r="I40" i="9"/>
  <c r="I78" i="9" s="1"/>
  <c r="I66" i="9"/>
  <c r="J63" i="9" s="1"/>
  <c r="I60" i="9"/>
  <c r="J57" i="9" s="1"/>
  <c r="I39" i="18"/>
  <c r="J35" i="18" s="1"/>
  <c r="H70" i="14"/>
  <c r="H72" i="14" s="1"/>
  <c r="H73" i="14" s="1"/>
  <c r="H79" i="14" s="1"/>
  <c r="I66" i="14"/>
  <c r="J63" i="14" s="1"/>
  <c r="J65" i="14" s="1"/>
  <c r="F172" i="21"/>
  <c r="F173" i="21"/>
  <c r="J169" i="21"/>
  <c r="J31" i="5" s="1"/>
  <c r="I69" i="14"/>
  <c r="L23" i="2"/>
  <c r="M4" i="2"/>
  <c r="I48" i="5"/>
  <c r="M23" i="20"/>
  <c r="L3" i="21"/>
  <c r="K3" i="15"/>
  <c r="K3" i="13"/>
  <c r="K3" i="2"/>
  <c r="K3" i="9"/>
  <c r="K3" i="18"/>
  <c r="H60" i="14"/>
  <c r="I57" i="14" s="1"/>
  <c r="I60" i="14" s="1"/>
  <c r="J57" i="14" s="1"/>
  <c r="N3" i="5"/>
  <c r="M3" i="10"/>
  <c r="I60" i="15"/>
  <c r="J57" i="15" s="1"/>
  <c r="H54" i="15"/>
  <c r="H77" i="15" s="1"/>
  <c r="I50" i="15"/>
  <c r="H59" i="2"/>
  <c r="L23" i="17"/>
  <c r="M4" i="17"/>
  <c r="H59" i="17"/>
  <c r="M3" i="12"/>
  <c r="M3" i="11"/>
  <c r="P4" i="20"/>
  <c r="L23" i="15"/>
  <c r="M4" i="15"/>
  <c r="I65" i="15"/>
  <c r="K44" i="14"/>
  <c r="K64" i="14"/>
  <c r="K58" i="14"/>
  <c r="K59" i="14" s="1"/>
  <c r="J35" i="11"/>
  <c r="I40" i="11"/>
  <c r="I78" i="11" s="1"/>
  <c r="N23" i="10"/>
  <c r="O4" i="10"/>
  <c r="M4" i="19"/>
  <c r="L23" i="19"/>
  <c r="J37" i="9"/>
  <c r="I40" i="10"/>
  <c r="I78" i="10" s="1"/>
  <c r="J35" i="10"/>
  <c r="I51" i="12"/>
  <c r="I45" i="12" s="1"/>
  <c r="I35" i="13"/>
  <c r="H40" i="13"/>
  <c r="H78" i="13" s="1"/>
  <c r="H51" i="13"/>
  <c r="I65" i="5"/>
  <c r="H65" i="2"/>
  <c r="H66" i="2" s="1"/>
  <c r="I63" i="2" s="1"/>
  <c r="H65" i="17"/>
  <c r="H46" i="15"/>
  <c r="I54" i="9"/>
  <c r="I77" i="9" s="1"/>
  <c r="J50" i="9"/>
  <c r="M23" i="11"/>
  <c r="N4" i="11"/>
  <c r="N23" i="20"/>
  <c r="O23" i="20" s="1"/>
  <c r="M23" i="14"/>
  <c r="N4" i="14"/>
  <c r="M3" i="14"/>
  <c r="M23" i="18"/>
  <c r="N4" i="18"/>
  <c r="O3" i="20"/>
  <c r="H64" i="19"/>
  <c r="H58" i="19"/>
  <c r="H44" i="19"/>
  <c r="I38" i="17"/>
  <c r="I39" i="17" s="1"/>
  <c r="J35" i="17" s="1"/>
  <c r="I58" i="18"/>
  <c r="I64" i="18"/>
  <c r="I44" i="18"/>
  <c r="H39" i="19"/>
  <c r="I39" i="14"/>
  <c r="J35" i="14" s="1"/>
  <c r="I59" i="12"/>
  <c r="H59" i="13"/>
  <c r="H60" i="13" s="1"/>
  <c r="I57" i="13" s="1"/>
  <c r="I40" i="20"/>
  <c r="I78" i="20" s="1"/>
  <c r="J35" i="20"/>
  <c r="H51" i="2"/>
  <c r="M4" i="13"/>
  <c r="L23" i="13"/>
  <c r="H51" i="17"/>
  <c r="H45" i="17" s="1"/>
  <c r="H52" i="17" s="1"/>
  <c r="I43" i="14"/>
  <c r="H47" i="14"/>
  <c r="H76" i="14" s="1"/>
  <c r="J35" i="12"/>
  <c r="I40" i="12"/>
  <c r="I78" i="12" s="1"/>
  <c r="H70" i="15"/>
  <c r="H72" i="15" s="1"/>
  <c r="J60" i="14"/>
  <c r="K57" i="14" s="1"/>
  <c r="K60" i="14" s="1"/>
  <c r="L57" i="14" s="1"/>
  <c r="O3" i="19"/>
  <c r="M23" i="9"/>
  <c r="N4" i="9"/>
  <c r="I47" i="9"/>
  <c r="J43" i="9"/>
  <c r="I44" i="11"/>
  <c r="I64" i="11"/>
  <c r="I58" i="11"/>
  <c r="I37" i="2"/>
  <c r="N4" i="12"/>
  <c r="M23" i="12"/>
  <c r="I37" i="15"/>
  <c r="I39" i="15" s="1"/>
  <c r="I64" i="10"/>
  <c r="I58" i="10"/>
  <c r="I44" i="10"/>
  <c r="I65" i="12"/>
  <c r="I66" i="12" s="1"/>
  <c r="J63" i="12" s="1"/>
  <c r="H65" i="13"/>
  <c r="I58" i="20"/>
  <c r="I44" i="20"/>
  <c r="I64" i="20"/>
  <c r="K175" i="21"/>
  <c r="J65" i="5"/>
  <c r="L23" i="5" l="1"/>
  <c r="L24" i="5" s="1"/>
  <c r="H80" i="14"/>
  <c r="I73" i="9"/>
  <c r="I79" i="9" s="1"/>
  <c r="I40" i="18"/>
  <c r="I78" i="18" s="1"/>
  <c r="J38" i="9"/>
  <c r="I40" i="14"/>
  <c r="I78" i="14" s="1"/>
  <c r="K169" i="21"/>
  <c r="K172" i="21" s="1"/>
  <c r="J172" i="21"/>
  <c r="J170" i="21" s="1"/>
  <c r="I52" i="12"/>
  <c r="I53" i="12" s="1"/>
  <c r="I46" i="12"/>
  <c r="M3" i="21"/>
  <c r="L3" i="18"/>
  <c r="L3" i="15"/>
  <c r="L3" i="13"/>
  <c r="L3" i="2"/>
  <c r="L3" i="9"/>
  <c r="I71" i="12"/>
  <c r="I70" i="12" s="1"/>
  <c r="I72" i="12" s="1"/>
  <c r="N4" i="2"/>
  <c r="M23" i="2"/>
  <c r="O3" i="5"/>
  <c r="N3" i="10"/>
  <c r="H71" i="13"/>
  <c r="H70" i="13" s="1"/>
  <c r="H72" i="13" s="1"/>
  <c r="H71" i="17"/>
  <c r="H70" i="17" s="1"/>
  <c r="H72" i="17" s="1"/>
  <c r="I40" i="17"/>
  <c r="I78" i="17" s="1"/>
  <c r="J35" i="15"/>
  <c r="I40" i="15"/>
  <c r="I78" i="15" s="1"/>
  <c r="I65" i="20"/>
  <c r="I65" i="10"/>
  <c r="I66" i="10" s="1"/>
  <c r="J63" i="10" s="1"/>
  <c r="I51" i="11"/>
  <c r="I45" i="11" s="1"/>
  <c r="I52" i="11" s="1"/>
  <c r="O4" i="9"/>
  <c r="N23" i="9"/>
  <c r="M23" i="13"/>
  <c r="N4" i="13"/>
  <c r="I35" i="19"/>
  <c r="H40" i="19"/>
  <c r="H78" i="19" s="1"/>
  <c r="I65" i="18"/>
  <c r="I66" i="18" s="1"/>
  <c r="J63" i="18" s="1"/>
  <c r="H65" i="19"/>
  <c r="H66" i="19" s="1"/>
  <c r="I63" i="19" s="1"/>
  <c r="O4" i="11"/>
  <c r="N23" i="11"/>
  <c r="I47" i="12"/>
  <c r="J43" i="12"/>
  <c r="J37" i="18"/>
  <c r="J38" i="18" s="1"/>
  <c r="P4" i="10"/>
  <c r="O23" i="10"/>
  <c r="I38" i="2"/>
  <c r="I39" i="2" s="1"/>
  <c r="J37" i="11"/>
  <c r="M23" i="15"/>
  <c r="N4" i="15"/>
  <c r="Q4" i="20"/>
  <c r="P23" i="20"/>
  <c r="N3" i="11"/>
  <c r="N3" i="12"/>
  <c r="I51" i="20"/>
  <c r="H66" i="13"/>
  <c r="I63" i="13" s="1"/>
  <c r="I51" i="10"/>
  <c r="I45" i="10" s="1"/>
  <c r="I52" i="10" s="1"/>
  <c r="I59" i="11"/>
  <c r="I60" i="11"/>
  <c r="J57" i="11" s="1"/>
  <c r="J37" i="12"/>
  <c r="J38" i="12" s="1"/>
  <c r="I51" i="14"/>
  <c r="I45" i="14" s="1"/>
  <c r="I52" i="14" s="1"/>
  <c r="H46" i="17"/>
  <c r="J37" i="20"/>
  <c r="J38" i="20" s="1"/>
  <c r="I59" i="18"/>
  <c r="I60" i="18" s="1"/>
  <c r="J57" i="18" s="1"/>
  <c r="J37" i="17"/>
  <c r="J38" i="17" s="1"/>
  <c r="H51" i="19"/>
  <c r="H45" i="19" s="1"/>
  <c r="P3" i="20"/>
  <c r="N23" i="18"/>
  <c r="O4" i="18"/>
  <c r="N3" i="14"/>
  <c r="N23" i="14"/>
  <c r="O4" i="14"/>
  <c r="H66" i="17"/>
  <c r="I63" i="17" s="1"/>
  <c r="I37" i="13"/>
  <c r="J37" i="10"/>
  <c r="J38" i="10" s="1"/>
  <c r="H60" i="17"/>
  <c r="I57" i="17" s="1"/>
  <c r="I59" i="20"/>
  <c r="I59" i="10"/>
  <c r="I60" i="10" s="1"/>
  <c r="J57" i="10" s="1"/>
  <c r="O4" i="12"/>
  <c r="N23" i="12"/>
  <c r="I65" i="11"/>
  <c r="I71" i="11" s="1"/>
  <c r="I76" i="9"/>
  <c r="I38" i="5"/>
  <c r="P3" i="19"/>
  <c r="I69" i="15"/>
  <c r="H73" i="15"/>
  <c r="H79" i="15" s="1"/>
  <c r="H53" i="17"/>
  <c r="H45" i="2"/>
  <c r="I60" i="12"/>
  <c r="J57" i="12" s="1"/>
  <c r="J37" i="14"/>
  <c r="J39" i="14" s="1"/>
  <c r="I51" i="18"/>
  <c r="I45" i="18" s="1"/>
  <c r="J66" i="14"/>
  <c r="K63" i="14" s="1"/>
  <c r="I58" i="17"/>
  <c r="I59" i="17" s="1"/>
  <c r="I44" i="17"/>
  <c r="I64" i="17"/>
  <c r="H59" i="19"/>
  <c r="H47" i="15"/>
  <c r="H76" i="15" s="1"/>
  <c r="I43" i="15"/>
  <c r="H71" i="2"/>
  <c r="H70" i="2" s="1"/>
  <c r="H72" i="2" s="1"/>
  <c r="H45" i="13"/>
  <c r="I83" i="12"/>
  <c r="M23" i="19"/>
  <c r="N4" i="19"/>
  <c r="I66" i="15"/>
  <c r="J63" i="15" s="1"/>
  <c r="M23" i="17"/>
  <c r="N4" i="17"/>
  <c r="H60" i="2"/>
  <c r="I57" i="2" s="1"/>
  <c r="N101" i="21"/>
  <c r="M23" i="5"/>
  <c r="L175" i="21"/>
  <c r="K65" i="5"/>
  <c r="M24" i="5" l="1"/>
  <c r="I80" i="9"/>
  <c r="I84" i="9" s="1"/>
  <c r="J44" i="9"/>
  <c r="J51" i="9" s="1"/>
  <c r="J45" i="9" s="1"/>
  <c r="J52" i="9" s="1"/>
  <c r="J53" i="9" s="1"/>
  <c r="J58" i="9"/>
  <c r="J64" i="9"/>
  <c r="J65" i="9" s="1"/>
  <c r="J66" i="9" s="1"/>
  <c r="K63" i="9" s="1"/>
  <c r="J39" i="9"/>
  <c r="I66" i="11"/>
  <c r="J63" i="11" s="1"/>
  <c r="K31" i="5"/>
  <c r="L169" i="21"/>
  <c r="L31" i="5" s="1"/>
  <c r="I73" i="12"/>
  <c r="I79" i="12" s="1"/>
  <c r="J69" i="12"/>
  <c r="N3" i="21"/>
  <c r="M3" i="9"/>
  <c r="M3" i="18"/>
  <c r="M3" i="15"/>
  <c r="M3" i="13"/>
  <c r="M3" i="2"/>
  <c r="N23" i="2"/>
  <c r="O4" i="2"/>
  <c r="P3" i="5"/>
  <c r="O3" i="10"/>
  <c r="H80" i="15"/>
  <c r="I38" i="13"/>
  <c r="I39" i="13" s="1"/>
  <c r="J35" i="13" s="1"/>
  <c r="J64" i="17"/>
  <c r="J58" i="17"/>
  <c r="J59" i="17" s="1"/>
  <c r="J44" i="17"/>
  <c r="I52" i="18"/>
  <c r="I53" i="18" s="1"/>
  <c r="I46" i="18"/>
  <c r="J44" i="10"/>
  <c r="J64" i="10"/>
  <c r="J65" i="10" s="1"/>
  <c r="J58" i="10"/>
  <c r="J59" i="10" s="1"/>
  <c r="J64" i="20"/>
  <c r="J58" i="20"/>
  <c r="J59" i="20" s="1"/>
  <c r="J44" i="20"/>
  <c r="J35" i="2"/>
  <c r="I40" i="2"/>
  <c r="I78" i="2" s="1"/>
  <c r="J44" i="18"/>
  <c r="J58" i="18"/>
  <c r="J59" i="18" s="1"/>
  <c r="J60" i="18" s="1"/>
  <c r="K57" i="18" s="1"/>
  <c r="J64" i="18"/>
  <c r="J65" i="18" s="1"/>
  <c r="I69" i="2"/>
  <c r="H73" i="2"/>
  <c r="H79" i="2" s="1"/>
  <c r="K35" i="14"/>
  <c r="J40" i="14"/>
  <c r="J78" i="14" s="1"/>
  <c r="H52" i="19"/>
  <c r="H46" i="19"/>
  <c r="J64" i="12"/>
  <c r="J58" i="12"/>
  <c r="J59" i="12" s="1"/>
  <c r="J44" i="12"/>
  <c r="J51" i="12" s="1"/>
  <c r="J83" i="12" s="1"/>
  <c r="H52" i="13"/>
  <c r="H53" i="13" s="1"/>
  <c r="H46" i="13"/>
  <c r="K65" i="14"/>
  <c r="K66" i="14" s="1"/>
  <c r="L63" i="14" s="1"/>
  <c r="H54" i="17"/>
  <c r="H77" i="17" s="1"/>
  <c r="I50" i="17"/>
  <c r="P4" i="14"/>
  <c r="O23" i="14"/>
  <c r="O3" i="14"/>
  <c r="J39" i="17"/>
  <c r="J39" i="20"/>
  <c r="I83" i="14"/>
  <c r="I71" i="14"/>
  <c r="I70" i="14" s="1"/>
  <c r="I72" i="14" s="1"/>
  <c r="I53" i="14"/>
  <c r="I46" i="14"/>
  <c r="J39" i="12"/>
  <c r="I53" i="10"/>
  <c r="I83" i="10"/>
  <c r="O3" i="12"/>
  <c r="O3" i="11"/>
  <c r="Q23" i="20"/>
  <c r="R4" i="20"/>
  <c r="J38" i="11"/>
  <c r="J39" i="11" s="1"/>
  <c r="P23" i="10"/>
  <c r="Q4" i="10"/>
  <c r="I76" i="12"/>
  <c r="I42" i="5"/>
  <c r="O23" i="11"/>
  <c r="P4" i="11"/>
  <c r="H71" i="19"/>
  <c r="H70" i="19" s="1"/>
  <c r="H72" i="19" s="1"/>
  <c r="N23" i="13"/>
  <c r="O4" i="13"/>
  <c r="I53" i="11"/>
  <c r="I83" i="11"/>
  <c r="I71" i="10"/>
  <c r="I70" i="10" s="1"/>
  <c r="I72" i="10" s="1"/>
  <c r="N23" i="17"/>
  <c r="O4" i="17"/>
  <c r="I83" i="18"/>
  <c r="I85" i="9"/>
  <c r="I65" i="17"/>
  <c r="I66" i="17" s="1"/>
  <c r="J63" i="17" s="1"/>
  <c r="I83" i="20"/>
  <c r="H73" i="17"/>
  <c r="H79" i="17" s="1"/>
  <c r="I69" i="17"/>
  <c r="O4" i="15"/>
  <c r="N23" i="15"/>
  <c r="I58" i="2"/>
  <c r="I59" i="2" s="1"/>
  <c r="I44" i="2"/>
  <c r="I64" i="2"/>
  <c r="J39" i="18"/>
  <c r="I71" i="20"/>
  <c r="I70" i="20" s="1"/>
  <c r="I72" i="20" s="1"/>
  <c r="I54" i="12"/>
  <c r="I77" i="12" s="1"/>
  <c r="I80" i="12" s="1"/>
  <c r="J50" i="12"/>
  <c r="Q3" i="19"/>
  <c r="J39" i="10"/>
  <c r="H53" i="19"/>
  <c r="N23" i="19"/>
  <c r="O4" i="19"/>
  <c r="I51" i="15"/>
  <c r="I45" i="15" s="1"/>
  <c r="I52" i="15" s="1"/>
  <c r="H60" i="19"/>
  <c r="I57" i="19" s="1"/>
  <c r="H52" i="2"/>
  <c r="H53" i="2" s="1"/>
  <c r="H46" i="2"/>
  <c r="O23" i="12"/>
  <c r="P4" i="12"/>
  <c r="I60" i="20"/>
  <c r="J57" i="20" s="1"/>
  <c r="I60" i="17"/>
  <c r="J57" i="17" s="1"/>
  <c r="P4" i="18"/>
  <c r="O23" i="18"/>
  <c r="Q3" i="20"/>
  <c r="H73" i="13"/>
  <c r="H79" i="13" s="1"/>
  <c r="I69" i="13"/>
  <c r="H47" i="17"/>
  <c r="H76" i="17" s="1"/>
  <c r="I43" i="17"/>
  <c r="I70" i="11"/>
  <c r="I72" i="11" s="1"/>
  <c r="I46" i="10"/>
  <c r="I45" i="20"/>
  <c r="I71" i="18"/>
  <c r="I70" i="18" s="1"/>
  <c r="I72" i="18" s="1"/>
  <c r="I37" i="19"/>
  <c r="O23" i="9"/>
  <c r="P4" i="9"/>
  <c r="I46" i="11"/>
  <c r="I66" i="20"/>
  <c r="J63" i="20" s="1"/>
  <c r="J37" i="15"/>
  <c r="N23" i="5"/>
  <c r="N24" i="5" s="1"/>
  <c r="O101" i="21"/>
  <c r="K170" i="21"/>
  <c r="J48" i="5"/>
  <c r="J173" i="21"/>
  <c r="J174" i="21"/>
  <c r="M175" i="21"/>
  <c r="L65" i="5"/>
  <c r="J46" i="9" l="1"/>
  <c r="J38" i="15"/>
  <c r="L172" i="21"/>
  <c r="L170" i="21" s="1"/>
  <c r="M169" i="21"/>
  <c r="M172" i="21" s="1"/>
  <c r="J60" i="20"/>
  <c r="K57" i="20" s="1"/>
  <c r="I55" i="5"/>
  <c r="J71" i="9"/>
  <c r="J83" i="9"/>
  <c r="J59" i="9"/>
  <c r="J40" i="9"/>
  <c r="J78" i="9" s="1"/>
  <c r="K35" i="9"/>
  <c r="K37" i="9" s="1"/>
  <c r="K38" i="9" s="1"/>
  <c r="J60" i="17"/>
  <c r="K57" i="17" s="1"/>
  <c r="O3" i="21"/>
  <c r="N3" i="9"/>
  <c r="N3" i="18"/>
  <c r="N3" i="15"/>
  <c r="N3" i="13"/>
  <c r="N3" i="2"/>
  <c r="H80" i="17"/>
  <c r="O23" i="2"/>
  <c r="P4" i="2"/>
  <c r="I38" i="19"/>
  <c r="I64" i="19" s="1"/>
  <c r="J45" i="12"/>
  <c r="J52" i="12" s="1"/>
  <c r="J53" i="12" s="1"/>
  <c r="K50" i="12" s="1"/>
  <c r="J60" i="12"/>
  <c r="K57" i="12" s="1"/>
  <c r="Q3" i="5"/>
  <c r="P3" i="10"/>
  <c r="I44" i="13"/>
  <c r="I58" i="13"/>
  <c r="I64" i="13"/>
  <c r="I65" i="13" s="1"/>
  <c r="I66" i="13" s="1"/>
  <c r="J63" i="13" s="1"/>
  <c r="I40" i="13"/>
  <c r="I78" i="13" s="1"/>
  <c r="J69" i="18"/>
  <c r="I73" i="18"/>
  <c r="I79" i="18" s="1"/>
  <c r="I59" i="5"/>
  <c r="I85" i="12"/>
  <c r="I84" i="12"/>
  <c r="J69" i="20"/>
  <c r="I73" i="20"/>
  <c r="I79" i="20" s="1"/>
  <c r="K35" i="11"/>
  <c r="J40" i="11"/>
  <c r="J78" i="11" s="1"/>
  <c r="J69" i="14"/>
  <c r="I73" i="14"/>
  <c r="I79" i="14" s="1"/>
  <c r="J65" i="20"/>
  <c r="H47" i="2"/>
  <c r="H76" i="2" s="1"/>
  <c r="I43" i="2"/>
  <c r="R3" i="19"/>
  <c r="I47" i="11"/>
  <c r="J43" i="11"/>
  <c r="J43" i="10"/>
  <c r="I47" i="10"/>
  <c r="H54" i="2"/>
  <c r="H77" i="2" s="1"/>
  <c r="I50" i="2"/>
  <c r="I83" i="15"/>
  <c r="I53" i="15"/>
  <c r="I71" i="15"/>
  <c r="I70" i="15" s="1"/>
  <c r="I72" i="15" s="1"/>
  <c r="K35" i="18"/>
  <c r="J40" i="18"/>
  <c r="J78" i="18" s="1"/>
  <c r="H73" i="19"/>
  <c r="H79" i="19" s="1"/>
  <c r="I69" i="19"/>
  <c r="P4" i="13"/>
  <c r="O23" i="13"/>
  <c r="K50" i="9"/>
  <c r="J54" i="9"/>
  <c r="J77" i="9" s="1"/>
  <c r="R4" i="10"/>
  <c r="Q23" i="10"/>
  <c r="S4" i="20"/>
  <c r="R23" i="20"/>
  <c r="P3" i="11"/>
  <c r="P3" i="12"/>
  <c r="K43" i="9"/>
  <c r="J47" i="9"/>
  <c r="J50" i="14"/>
  <c r="I54" i="14"/>
  <c r="I77" i="14" s="1"/>
  <c r="K35" i="17"/>
  <c r="J40" i="17"/>
  <c r="J78" i="17" s="1"/>
  <c r="P23" i="14"/>
  <c r="Q4" i="14"/>
  <c r="I50" i="13"/>
  <c r="H54" i="13"/>
  <c r="H77" i="13" s="1"/>
  <c r="I60" i="2"/>
  <c r="J57" i="2" s="1"/>
  <c r="J65" i="12"/>
  <c r="J71" i="12" s="1"/>
  <c r="J70" i="12" s="1"/>
  <c r="J72" i="12" s="1"/>
  <c r="K37" i="14"/>
  <c r="K39" i="14" s="1"/>
  <c r="L35" i="14" s="1"/>
  <c r="Q4" i="9"/>
  <c r="P23" i="9"/>
  <c r="I44" i="19"/>
  <c r="J69" i="11"/>
  <c r="I73" i="11"/>
  <c r="I79" i="11" s="1"/>
  <c r="R3" i="20"/>
  <c r="P23" i="18"/>
  <c r="Q4" i="18"/>
  <c r="P23" i="12"/>
  <c r="Q4" i="12"/>
  <c r="I46" i="15"/>
  <c r="O23" i="19"/>
  <c r="P4" i="19"/>
  <c r="H54" i="19"/>
  <c r="H77" i="19" s="1"/>
  <c r="I50" i="19"/>
  <c r="I65" i="2"/>
  <c r="I66" i="2" s="1"/>
  <c r="J63" i="2" s="1"/>
  <c r="J65" i="17"/>
  <c r="J66" i="17" s="1"/>
  <c r="K63" i="17" s="1"/>
  <c r="I86" i="9"/>
  <c r="I87" i="9" s="1"/>
  <c r="I89" i="9" s="1"/>
  <c r="I14" i="5" s="1"/>
  <c r="O23" i="17"/>
  <c r="P4" i="17"/>
  <c r="P23" i="11"/>
  <c r="Q4" i="11"/>
  <c r="K35" i="12"/>
  <c r="J40" i="12"/>
  <c r="J78" i="12" s="1"/>
  <c r="K35" i="20"/>
  <c r="J40" i="20"/>
  <c r="J78" i="20" s="1"/>
  <c r="I43" i="19"/>
  <c r="H47" i="19"/>
  <c r="H76" i="19" s="1"/>
  <c r="J37" i="13"/>
  <c r="J37" i="2"/>
  <c r="J38" i="2" s="1"/>
  <c r="I52" i="20"/>
  <c r="I53" i="20" s="1"/>
  <c r="I46" i="20"/>
  <c r="I51" i="17"/>
  <c r="I71" i="17" s="1"/>
  <c r="K35" i="10"/>
  <c r="J40" i="10"/>
  <c r="J78" i="10" s="1"/>
  <c r="J66" i="10"/>
  <c r="K63" i="10" s="1"/>
  <c r="O23" i="15"/>
  <c r="P4" i="15"/>
  <c r="I73" i="10"/>
  <c r="I79" i="10" s="1"/>
  <c r="J69" i="10"/>
  <c r="I54" i="18"/>
  <c r="I77" i="18" s="1"/>
  <c r="J50" i="18"/>
  <c r="I54" i="11"/>
  <c r="I77" i="11" s="1"/>
  <c r="J50" i="11"/>
  <c r="J66" i="18"/>
  <c r="K63" i="18" s="1"/>
  <c r="J64" i="11"/>
  <c r="J58" i="11"/>
  <c r="J44" i="11"/>
  <c r="I54" i="10"/>
  <c r="I77" i="10" s="1"/>
  <c r="J50" i="10"/>
  <c r="J43" i="14"/>
  <c r="I47" i="14"/>
  <c r="P3" i="14"/>
  <c r="I59" i="13"/>
  <c r="I60" i="13" s="1"/>
  <c r="J57" i="13" s="1"/>
  <c r="I43" i="13"/>
  <c r="H47" i="13"/>
  <c r="H76" i="13" s="1"/>
  <c r="I47" i="18"/>
  <c r="J43" i="18"/>
  <c r="J60" i="10"/>
  <c r="K57" i="10" s="1"/>
  <c r="O23" i="5"/>
  <c r="O24" i="5" s="1"/>
  <c r="P101" i="21"/>
  <c r="N175" i="21"/>
  <c r="M65" i="5"/>
  <c r="K48" i="5"/>
  <c r="K173" i="21"/>
  <c r="K174" i="21"/>
  <c r="J176" i="21"/>
  <c r="J178" i="21" s="1"/>
  <c r="J29" i="21" s="1"/>
  <c r="J83" i="21" s="1"/>
  <c r="J7" i="5" s="1"/>
  <c r="J64" i="15" l="1"/>
  <c r="J65" i="15" s="1"/>
  <c r="J66" i="15" s="1"/>
  <c r="K63" i="15" s="1"/>
  <c r="J44" i="15"/>
  <c r="J58" i="15"/>
  <c r="J39" i="15"/>
  <c r="M31" i="5"/>
  <c r="N169" i="21"/>
  <c r="O169" i="21" s="1"/>
  <c r="I58" i="19"/>
  <c r="J70" i="9"/>
  <c r="J72" i="9" s="1"/>
  <c r="K69" i="9" s="1"/>
  <c r="J60" i="9"/>
  <c r="K57" i="9" s="1"/>
  <c r="H80" i="2"/>
  <c r="J46" i="12"/>
  <c r="K43" i="12" s="1"/>
  <c r="I39" i="19"/>
  <c r="J66" i="12"/>
  <c r="K63" i="12" s="1"/>
  <c r="Q4" i="2"/>
  <c r="P23" i="2"/>
  <c r="P3" i="21"/>
  <c r="O3" i="15"/>
  <c r="O3" i="13"/>
  <c r="O3" i="2"/>
  <c r="O3" i="9"/>
  <c r="O3" i="18"/>
  <c r="R3" i="5"/>
  <c r="Q3" i="10"/>
  <c r="H80" i="13"/>
  <c r="J58" i="2"/>
  <c r="J59" i="2" s="1"/>
  <c r="J64" i="2"/>
  <c r="J65" i="2" s="1"/>
  <c r="J66" i="2" s="1"/>
  <c r="K63" i="2" s="1"/>
  <c r="J44" i="2"/>
  <c r="J69" i="15"/>
  <c r="I73" i="15"/>
  <c r="I79" i="15" s="1"/>
  <c r="J51" i="18"/>
  <c r="J51" i="14"/>
  <c r="J45" i="14" s="1"/>
  <c r="J65" i="11"/>
  <c r="P23" i="15"/>
  <c r="Q4" i="15"/>
  <c r="I45" i="17"/>
  <c r="I54" i="20"/>
  <c r="I77" i="20" s="1"/>
  <c r="J50" i="20"/>
  <c r="J39" i="2"/>
  <c r="J38" i="13"/>
  <c r="I51" i="19"/>
  <c r="I83" i="19" s="1"/>
  <c r="K37" i="20"/>
  <c r="K44" i="9"/>
  <c r="K51" i="9" s="1"/>
  <c r="K83" i="9" s="1"/>
  <c r="K58" i="9"/>
  <c r="K64" i="9"/>
  <c r="J54" i="12"/>
  <c r="J77" i="12" s="1"/>
  <c r="J43" i="15"/>
  <c r="I47" i="15"/>
  <c r="Q23" i="18"/>
  <c r="R4" i="18"/>
  <c r="I65" i="19"/>
  <c r="I66" i="19" s="1"/>
  <c r="J63" i="19" s="1"/>
  <c r="K40" i="14"/>
  <c r="K78" i="14" s="1"/>
  <c r="J51" i="10"/>
  <c r="J45" i="10" s="1"/>
  <c r="I76" i="11"/>
  <c r="I80" i="11" s="1"/>
  <c r="I41" i="5"/>
  <c r="I86" i="12"/>
  <c r="I87" i="12" s="1"/>
  <c r="I89" i="12" s="1"/>
  <c r="I76" i="18"/>
  <c r="I40" i="5"/>
  <c r="K37" i="10"/>
  <c r="K38" i="10" s="1"/>
  <c r="I83" i="17"/>
  <c r="I70" i="17"/>
  <c r="I72" i="17" s="1"/>
  <c r="R4" i="11"/>
  <c r="Q23" i="11"/>
  <c r="P23" i="17"/>
  <c r="Q4" i="17"/>
  <c r="P23" i="19"/>
  <c r="Q4" i="19"/>
  <c r="R4" i="12"/>
  <c r="Q23" i="12"/>
  <c r="R4" i="9"/>
  <c r="Q23" i="9"/>
  <c r="L37" i="14"/>
  <c r="L38" i="14" s="1"/>
  <c r="Q3" i="12"/>
  <c r="Q3" i="11"/>
  <c r="S4" i="10"/>
  <c r="R23" i="10"/>
  <c r="H80" i="19"/>
  <c r="S3" i="19"/>
  <c r="I51" i="2"/>
  <c r="I45" i="2" s="1"/>
  <c r="I52" i="2" s="1"/>
  <c r="I53" i="2" s="1"/>
  <c r="I80" i="18"/>
  <c r="K69" i="12"/>
  <c r="J73" i="12"/>
  <c r="J79" i="12" s="1"/>
  <c r="I51" i="13"/>
  <c r="I45" i="13" s="1"/>
  <c r="I52" i="13" s="1"/>
  <c r="Q3" i="14"/>
  <c r="I76" i="14"/>
  <c r="I80" i="14" s="1"/>
  <c r="I36" i="5"/>
  <c r="J59" i="11"/>
  <c r="J60" i="11" s="1"/>
  <c r="K57" i="11" s="1"/>
  <c r="I47" i="20"/>
  <c r="J43" i="20"/>
  <c r="K37" i="12"/>
  <c r="K38" i="12" s="1"/>
  <c r="S3" i="20"/>
  <c r="Q23" i="14"/>
  <c r="R4" i="14"/>
  <c r="K37" i="17"/>
  <c r="J76" i="9"/>
  <c r="J38" i="5"/>
  <c r="T4" i="20"/>
  <c r="S23" i="20"/>
  <c r="P23" i="13"/>
  <c r="Q4" i="13"/>
  <c r="K37" i="18"/>
  <c r="K38" i="18" s="1"/>
  <c r="J50" i="15"/>
  <c r="I54" i="15"/>
  <c r="I77" i="15" s="1"/>
  <c r="I76" i="10"/>
  <c r="I80" i="10" s="1"/>
  <c r="I39" i="5"/>
  <c r="J51" i="11"/>
  <c r="J83" i="11" s="1"/>
  <c r="J66" i="20"/>
  <c r="K63" i="20" s="1"/>
  <c r="K39" i="9"/>
  <c r="K37" i="11"/>
  <c r="P23" i="5"/>
  <c r="P24" i="5" s="1"/>
  <c r="Q101" i="21"/>
  <c r="M170" i="21"/>
  <c r="L48" i="5"/>
  <c r="L173" i="21"/>
  <c r="L174" i="21"/>
  <c r="K176" i="21"/>
  <c r="K178" i="21" s="1"/>
  <c r="K29" i="21" s="1"/>
  <c r="K83" i="21" s="1"/>
  <c r="K7" i="5" s="1"/>
  <c r="O175" i="21"/>
  <c r="N65" i="5"/>
  <c r="J59" i="15" l="1"/>
  <c r="J60" i="15"/>
  <c r="K57" i="15" s="1"/>
  <c r="K35" i="15"/>
  <c r="J40" i="15"/>
  <c r="J78" i="15" s="1"/>
  <c r="N172" i="21"/>
  <c r="N170" i="21" s="1"/>
  <c r="N31" i="5"/>
  <c r="J47" i="12"/>
  <c r="I59" i="19"/>
  <c r="I60" i="19"/>
  <c r="J57" i="19" s="1"/>
  <c r="J73" i="9"/>
  <c r="J79" i="9" s="1"/>
  <c r="J80" i="9" s="1"/>
  <c r="I71" i="19"/>
  <c r="I70" i="19" s="1"/>
  <c r="I72" i="19" s="1"/>
  <c r="Q3" i="21"/>
  <c r="P3" i="18"/>
  <c r="P3" i="15"/>
  <c r="P3" i="13"/>
  <c r="P3" i="2"/>
  <c r="P3" i="9"/>
  <c r="I40" i="19"/>
  <c r="I78" i="19" s="1"/>
  <c r="J35" i="19"/>
  <c r="J37" i="19" s="1"/>
  <c r="J38" i="19" s="1"/>
  <c r="J58" i="19" s="1"/>
  <c r="J45" i="11"/>
  <c r="J52" i="11" s="1"/>
  <c r="R4" i="2"/>
  <c r="Q23" i="2"/>
  <c r="S3" i="5"/>
  <c r="R3" i="10"/>
  <c r="J60" i="2"/>
  <c r="K57" i="2" s="1"/>
  <c r="I85" i="10"/>
  <c r="I84" i="10"/>
  <c r="I56" i="5"/>
  <c r="K64" i="18"/>
  <c r="K58" i="18"/>
  <c r="K44" i="18"/>
  <c r="J50" i="2"/>
  <c r="I54" i="2"/>
  <c r="I77" i="2" s="1"/>
  <c r="J52" i="14"/>
  <c r="J53" i="14" s="1"/>
  <c r="J46" i="14"/>
  <c r="I53" i="5"/>
  <c r="I84" i="14"/>
  <c r="I88" i="14"/>
  <c r="I70" i="5" s="1"/>
  <c r="I85" i="14"/>
  <c r="K58" i="10"/>
  <c r="K44" i="10"/>
  <c r="K64" i="10"/>
  <c r="L64" i="14"/>
  <c r="L58" i="14"/>
  <c r="L44" i="14"/>
  <c r="J52" i="10"/>
  <c r="J53" i="10" s="1"/>
  <c r="J46" i="10"/>
  <c r="K38" i="11"/>
  <c r="K39" i="11" s="1"/>
  <c r="J46" i="11"/>
  <c r="K39" i="18"/>
  <c r="K38" i="17"/>
  <c r="R23" i="14"/>
  <c r="S4" i="14"/>
  <c r="J51" i="20"/>
  <c r="J53" i="11"/>
  <c r="R3" i="14"/>
  <c r="I83" i="2"/>
  <c r="S23" i="10"/>
  <c r="T4" i="10"/>
  <c r="R23" i="9"/>
  <c r="S4" i="9"/>
  <c r="R23" i="12"/>
  <c r="S4" i="12"/>
  <c r="I71" i="2"/>
  <c r="I70" i="2" s="1"/>
  <c r="I72" i="2" s="1"/>
  <c r="K39" i="10"/>
  <c r="J39" i="19"/>
  <c r="I53" i="13"/>
  <c r="I76" i="15"/>
  <c r="I80" i="15" s="1"/>
  <c r="I35" i="5"/>
  <c r="K65" i="9"/>
  <c r="K71" i="9" s="1"/>
  <c r="K38" i="20"/>
  <c r="K35" i="2"/>
  <c r="J40" i="2"/>
  <c r="J78" i="2" s="1"/>
  <c r="I52" i="17"/>
  <c r="I53" i="17" s="1"/>
  <c r="I46" i="17"/>
  <c r="J71" i="11"/>
  <c r="J70" i="11" s="1"/>
  <c r="J72" i="11" s="1"/>
  <c r="J83" i="18"/>
  <c r="J71" i="18"/>
  <c r="J70" i="18" s="1"/>
  <c r="J72" i="18" s="1"/>
  <c r="I76" i="20"/>
  <c r="I80" i="20" s="1"/>
  <c r="I43" i="5"/>
  <c r="I57" i="5"/>
  <c r="I85" i="18"/>
  <c r="I84" i="18"/>
  <c r="T3" i="19"/>
  <c r="L39" i="14"/>
  <c r="I84" i="11"/>
  <c r="I58" i="5"/>
  <c r="I85" i="11"/>
  <c r="Q23" i="19"/>
  <c r="R4" i="19"/>
  <c r="Q23" i="17"/>
  <c r="R4" i="17"/>
  <c r="R23" i="11"/>
  <c r="S4" i="11"/>
  <c r="J76" i="12"/>
  <c r="J80" i="12" s="1"/>
  <c r="J42" i="5"/>
  <c r="K45" i="9"/>
  <c r="S4" i="18"/>
  <c r="R23" i="18"/>
  <c r="J51" i="15"/>
  <c r="K59" i="9"/>
  <c r="K60" i="9" s="1"/>
  <c r="L57" i="9" s="1"/>
  <c r="Q23" i="15"/>
  <c r="R4" i="15"/>
  <c r="J83" i="14"/>
  <c r="J71" i="14"/>
  <c r="J70" i="14" s="1"/>
  <c r="J72" i="14" s="1"/>
  <c r="L35" i="9"/>
  <c r="K40" i="9"/>
  <c r="K78" i="9" s="1"/>
  <c r="Q23" i="13"/>
  <c r="R4" i="13"/>
  <c r="T23" i="20"/>
  <c r="U4" i="20"/>
  <c r="T3" i="20"/>
  <c r="K64" i="12"/>
  <c r="K58" i="12"/>
  <c r="K44" i="12"/>
  <c r="K51" i="12" s="1"/>
  <c r="K39" i="12"/>
  <c r="I83" i="13"/>
  <c r="I71" i="13"/>
  <c r="I70" i="13" s="1"/>
  <c r="I72" i="13" s="1"/>
  <c r="I46" i="13"/>
  <c r="I46" i="2"/>
  <c r="R3" i="11"/>
  <c r="R3" i="12"/>
  <c r="J69" i="17"/>
  <c r="I73" i="17"/>
  <c r="I79" i="17" s="1"/>
  <c r="J83" i="10"/>
  <c r="J71" i="10"/>
  <c r="J70" i="10" s="1"/>
  <c r="J72" i="10" s="1"/>
  <c r="I45" i="19"/>
  <c r="J58" i="13"/>
  <c r="J44" i="13"/>
  <c r="J64" i="13"/>
  <c r="J66" i="11"/>
  <c r="K63" i="11" s="1"/>
  <c r="J45" i="18"/>
  <c r="J39" i="13"/>
  <c r="L176" i="21"/>
  <c r="L178" i="21" s="1"/>
  <c r="L29" i="21" s="1"/>
  <c r="L83" i="21" s="1"/>
  <c r="L7" i="5" s="1"/>
  <c r="R101" i="21"/>
  <c r="Q23" i="5"/>
  <c r="Q24" i="5" s="1"/>
  <c r="P175" i="21"/>
  <c r="O65" i="5"/>
  <c r="P169" i="21"/>
  <c r="O31" i="5"/>
  <c r="O172" i="21"/>
  <c r="M48" i="5"/>
  <c r="M174" i="21"/>
  <c r="M173" i="21"/>
  <c r="K37" i="15" l="1"/>
  <c r="K38" i="15" s="1"/>
  <c r="J84" i="9"/>
  <c r="J55" i="5"/>
  <c r="J88" i="9"/>
  <c r="J72" i="5" s="1"/>
  <c r="J85" i="9"/>
  <c r="J86" i="9" s="1"/>
  <c r="J87" i="9" s="1"/>
  <c r="I73" i="19"/>
  <c r="I79" i="19" s="1"/>
  <c r="J69" i="19"/>
  <c r="J64" i="19"/>
  <c r="J44" i="19"/>
  <c r="S4" i="2"/>
  <c r="R23" i="2"/>
  <c r="R3" i="21"/>
  <c r="Q3" i="9"/>
  <c r="Q3" i="18"/>
  <c r="Q3" i="15"/>
  <c r="Q3" i="13"/>
  <c r="Q3" i="2"/>
  <c r="T3" i="5"/>
  <c r="S3" i="10"/>
  <c r="K70" i="9"/>
  <c r="K72" i="9" s="1"/>
  <c r="L69" i="9" s="1"/>
  <c r="K69" i="10"/>
  <c r="J73" i="10"/>
  <c r="J79" i="10" s="1"/>
  <c r="J69" i="13"/>
  <c r="I73" i="13"/>
  <c r="I79" i="13" s="1"/>
  <c r="J84" i="12"/>
  <c r="J88" i="12"/>
  <c r="J76" i="5" s="1"/>
  <c r="J85" i="12"/>
  <c r="J59" i="5"/>
  <c r="K69" i="18"/>
  <c r="J73" i="18"/>
  <c r="J79" i="18" s="1"/>
  <c r="K69" i="14"/>
  <c r="J73" i="14"/>
  <c r="J79" i="14" s="1"/>
  <c r="J69" i="2"/>
  <c r="I73" i="2"/>
  <c r="I79" i="2" s="1"/>
  <c r="L35" i="11"/>
  <c r="K40" i="11"/>
  <c r="K78" i="11" s="1"/>
  <c r="J65" i="13"/>
  <c r="J66" i="13" s="1"/>
  <c r="K63" i="13" s="1"/>
  <c r="I52" i="19"/>
  <c r="I53" i="19" s="1"/>
  <c r="I46" i="19"/>
  <c r="L35" i="12"/>
  <c r="K40" i="12"/>
  <c r="K78" i="12" s="1"/>
  <c r="K65" i="12"/>
  <c r="K71" i="12" s="1"/>
  <c r="U3" i="20"/>
  <c r="L37" i="9"/>
  <c r="L38" i="9" s="1"/>
  <c r="I88" i="15"/>
  <c r="I69" i="5" s="1"/>
  <c r="I52" i="5"/>
  <c r="I85" i="15"/>
  <c r="I84" i="15"/>
  <c r="S23" i="18"/>
  <c r="T4" i="18"/>
  <c r="R23" i="17"/>
  <c r="S4" i="17"/>
  <c r="U3" i="19"/>
  <c r="I86" i="18"/>
  <c r="I60" i="5"/>
  <c r="I85" i="20"/>
  <c r="I84" i="20"/>
  <c r="J50" i="17"/>
  <c r="I54" i="17"/>
  <c r="I77" i="17" s="1"/>
  <c r="K64" i="20"/>
  <c r="K58" i="20"/>
  <c r="K44" i="20"/>
  <c r="K66" i="9"/>
  <c r="L63" i="9" s="1"/>
  <c r="L35" i="10"/>
  <c r="K40" i="10"/>
  <c r="K78" i="10" s="1"/>
  <c r="T4" i="12"/>
  <c r="S23" i="12"/>
  <c r="K64" i="17"/>
  <c r="K58" i="17"/>
  <c r="K44" i="17"/>
  <c r="K39" i="20"/>
  <c r="J59" i="19"/>
  <c r="J60" i="19"/>
  <c r="K57" i="19" s="1"/>
  <c r="K65" i="10"/>
  <c r="K66" i="10" s="1"/>
  <c r="L63" i="10" s="1"/>
  <c r="I86" i="14"/>
  <c r="I87" i="14" s="1"/>
  <c r="I89" i="14" s="1"/>
  <c r="K50" i="14"/>
  <c r="J54" i="14"/>
  <c r="J77" i="14" s="1"/>
  <c r="K35" i="13"/>
  <c r="J40" i="13"/>
  <c r="J78" i="13" s="1"/>
  <c r="J52" i="18"/>
  <c r="J53" i="18" s="1"/>
  <c r="J46" i="18"/>
  <c r="K83" i="12"/>
  <c r="K45" i="12"/>
  <c r="J43" i="2"/>
  <c r="I47" i="2"/>
  <c r="R23" i="13"/>
  <c r="S4" i="13"/>
  <c r="R23" i="15"/>
  <c r="S4" i="15"/>
  <c r="J83" i="15"/>
  <c r="J71" i="15"/>
  <c r="J70" i="15" s="1"/>
  <c r="J72" i="15" s="1"/>
  <c r="J45" i="15"/>
  <c r="K52" i="9"/>
  <c r="K53" i="9" s="1"/>
  <c r="K46" i="9"/>
  <c r="S23" i="11"/>
  <c r="T4" i="11"/>
  <c r="I86" i="11"/>
  <c r="I87" i="11" s="1"/>
  <c r="M35" i="14"/>
  <c r="L40" i="14"/>
  <c r="L78" i="14" s="1"/>
  <c r="J50" i="13"/>
  <c r="I54" i="13"/>
  <c r="I77" i="13" s="1"/>
  <c r="K50" i="11"/>
  <c r="J54" i="11"/>
  <c r="J77" i="11" s="1"/>
  <c r="T4" i="14"/>
  <c r="S23" i="14"/>
  <c r="L35" i="18"/>
  <c r="K40" i="18"/>
  <c r="K78" i="18" s="1"/>
  <c r="K43" i="11"/>
  <c r="J47" i="11"/>
  <c r="K43" i="10"/>
  <c r="J47" i="10"/>
  <c r="L59" i="14"/>
  <c r="L60" i="14" s="1"/>
  <c r="M57" i="14" s="1"/>
  <c r="K39" i="17"/>
  <c r="K59" i="18"/>
  <c r="K60" i="18" s="1"/>
  <c r="L57" i="18" s="1"/>
  <c r="J59" i="13"/>
  <c r="J60" i="13" s="1"/>
  <c r="K57" i="13" s="1"/>
  <c r="S3" i="12"/>
  <c r="S3" i="11"/>
  <c r="J43" i="13"/>
  <c r="I47" i="13"/>
  <c r="K69" i="11"/>
  <c r="J73" i="11"/>
  <c r="J79" i="11" s="1"/>
  <c r="K59" i="12"/>
  <c r="K60" i="12"/>
  <c r="L57" i="12" s="1"/>
  <c r="U23" i="20"/>
  <c r="V4" i="20"/>
  <c r="S4" i="19"/>
  <c r="R23" i="19"/>
  <c r="J43" i="17"/>
  <c r="I47" i="17"/>
  <c r="K37" i="2"/>
  <c r="K38" i="2" s="1"/>
  <c r="K35" i="19"/>
  <c r="J40" i="19"/>
  <c r="J78" i="19" s="1"/>
  <c r="S23" i="9"/>
  <c r="T4" i="9"/>
  <c r="U4" i="10"/>
  <c r="T23" i="10"/>
  <c r="S3" i="14"/>
  <c r="J83" i="20"/>
  <c r="J71" i="20"/>
  <c r="J70" i="20" s="1"/>
  <c r="J72" i="20" s="1"/>
  <c r="J45" i="20"/>
  <c r="K58" i="11"/>
  <c r="K44" i="11"/>
  <c r="K64" i="11"/>
  <c r="K50" i="10"/>
  <c r="J54" i="10"/>
  <c r="J77" i="10" s="1"/>
  <c r="L65" i="14"/>
  <c r="L66" i="14" s="1"/>
  <c r="M63" i="14" s="1"/>
  <c r="K59" i="10"/>
  <c r="K60" i="10" s="1"/>
  <c r="L57" i="10" s="1"/>
  <c r="K43" i="14"/>
  <c r="J47" i="14"/>
  <c r="K65" i="18"/>
  <c r="K66" i="18" s="1"/>
  <c r="L63" i="18" s="1"/>
  <c r="I86" i="10"/>
  <c r="I87" i="10" s="1"/>
  <c r="M176" i="21"/>
  <c r="M178" i="21" s="1"/>
  <c r="M29" i="21" s="1"/>
  <c r="M83" i="21" s="1"/>
  <c r="M7" i="5" s="1"/>
  <c r="R23" i="5"/>
  <c r="R24" i="5" s="1"/>
  <c r="S101" i="21"/>
  <c r="Q169" i="21"/>
  <c r="P31" i="5"/>
  <c r="P172" i="21"/>
  <c r="O170" i="21"/>
  <c r="N48" i="5"/>
  <c r="N173" i="21"/>
  <c r="N174" i="21"/>
  <c r="Q175" i="21"/>
  <c r="P65" i="5"/>
  <c r="K64" i="15" l="1"/>
  <c r="K65" i="15" s="1"/>
  <c r="K66" i="15" s="1"/>
  <c r="L63" i="15" s="1"/>
  <c r="K58" i="15"/>
  <c r="K59" i="15" s="1"/>
  <c r="K60" i="15" s="1"/>
  <c r="L57" i="15" s="1"/>
  <c r="K44" i="15"/>
  <c r="K39" i="15"/>
  <c r="J89" i="9"/>
  <c r="J14" i="5" s="1"/>
  <c r="S23" i="2"/>
  <c r="T4" i="2"/>
  <c r="K70" i="12"/>
  <c r="K72" i="12" s="1"/>
  <c r="L69" i="12" s="1"/>
  <c r="S3" i="21"/>
  <c r="R3" i="9"/>
  <c r="R3" i="18"/>
  <c r="R3" i="15"/>
  <c r="R3" i="13"/>
  <c r="R3" i="2"/>
  <c r="J65" i="19"/>
  <c r="J66" i="19" s="1"/>
  <c r="K63" i="19" s="1"/>
  <c r="U3" i="5"/>
  <c r="T3" i="10"/>
  <c r="K73" i="9"/>
  <c r="K79" i="9" s="1"/>
  <c r="K39" i="2"/>
  <c r="K40" i="2" s="1"/>
  <c r="K78" i="2" s="1"/>
  <c r="K69" i="20"/>
  <c r="J73" i="20"/>
  <c r="J79" i="20" s="1"/>
  <c r="L44" i="9"/>
  <c r="L58" i="9"/>
  <c r="L64" i="9"/>
  <c r="L65" i="9" s="1"/>
  <c r="I89" i="10"/>
  <c r="I15" i="5" s="1"/>
  <c r="K51" i="14"/>
  <c r="K59" i="11"/>
  <c r="V4" i="10"/>
  <c r="U23" i="10"/>
  <c r="I34" i="5"/>
  <c r="I76" i="17"/>
  <c r="I80" i="17" s="1"/>
  <c r="S23" i="19"/>
  <c r="T4" i="19"/>
  <c r="W4" i="20"/>
  <c r="V23" i="20"/>
  <c r="K73" i="12"/>
  <c r="K79" i="12" s="1"/>
  <c r="I76" i="13"/>
  <c r="I80" i="13" s="1"/>
  <c r="I37" i="5"/>
  <c r="J76" i="11"/>
  <c r="J80" i="11" s="1"/>
  <c r="J41" i="5"/>
  <c r="L37" i="18"/>
  <c r="I89" i="11"/>
  <c r="L43" i="9"/>
  <c r="K47" i="9"/>
  <c r="K38" i="5" s="1"/>
  <c r="S23" i="15"/>
  <c r="T4" i="15"/>
  <c r="T4" i="13"/>
  <c r="S23" i="13"/>
  <c r="I32" i="5"/>
  <c r="I76" i="2"/>
  <c r="I80" i="2" s="1"/>
  <c r="K43" i="18"/>
  <c r="J47" i="18"/>
  <c r="K37" i="13"/>
  <c r="K38" i="13" s="1"/>
  <c r="L35" i="20"/>
  <c r="K40" i="20"/>
  <c r="K78" i="20" s="1"/>
  <c r="K65" i="17"/>
  <c r="V3" i="19"/>
  <c r="S23" i="17"/>
  <c r="T4" i="17"/>
  <c r="L39" i="9"/>
  <c r="J43" i="19"/>
  <c r="I47" i="19"/>
  <c r="J52" i="20"/>
  <c r="J53" i="20" s="1"/>
  <c r="J46" i="20"/>
  <c r="U4" i="9"/>
  <c r="T23" i="9"/>
  <c r="K37" i="19"/>
  <c r="K64" i="2"/>
  <c r="K58" i="2"/>
  <c r="K44" i="2"/>
  <c r="J51" i="17"/>
  <c r="J51" i="13"/>
  <c r="J83" i="13" s="1"/>
  <c r="K65" i="11"/>
  <c r="L35" i="17"/>
  <c r="K40" i="17"/>
  <c r="K78" i="17" s="1"/>
  <c r="J76" i="10"/>
  <c r="J80" i="10" s="1"/>
  <c r="J39" i="5"/>
  <c r="K51" i="11"/>
  <c r="K83" i="11" s="1"/>
  <c r="M37" i="14"/>
  <c r="M38" i="14" s="1"/>
  <c r="U4" i="11"/>
  <c r="T23" i="11"/>
  <c r="L50" i="9"/>
  <c r="K54" i="9"/>
  <c r="K77" i="9" s="1"/>
  <c r="K69" i="15"/>
  <c r="J73" i="15"/>
  <c r="J79" i="15" s="1"/>
  <c r="J51" i="2"/>
  <c r="K50" i="18"/>
  <c r="J54" i="18"/>
  <c r="J77" i="18" s="1"/>
  <c r="L37" i="10"/>
  <c r="L38" i="10" s="1"/>
  <c r="K59" i="20"/>
  <c r="I86" i="15"/>
  <c r="I87" i="15" s="1"/>
  <c r="I89" i="15" s="1"/>
  <c r="J50" i="19"/>
  <c r="I54" i="19"/>
  <c r="I77" i="19" s="1"/>
  <c r="J76" i="14"/>
  <c r="J80" i="14" s="1"/>
  <c r="J36" i="5"/>
  <c r="T3" i="14"/>
  <c r="T3" i="11"/>
  <c r="T3" i="12"/>
  <c r="K51" i="10"/>
  <c r="K83" i="10" s="1"/>
  <c r="T23" i="14"/>
  <c r="U4" i="14"/>
  <c r="J52" i="15"/>
  <c r="J53" i="15" s="1"/>
  <c r="J46" i="15"/>
  <c r="K52" i="12"/>
  <c r="K53" i="12" s="1"/>
  <c r="K46" i="12"/>
  <c r="K59" i="17"/>
  <c r="U4" i="12"/>
  <c r="T23" i="12"/>
  <c r="K65" i="20"/>
  <c r="K66" i="20" s="1"/>
  <c r="L63" i="20" s="1"/>
  <c r="I86" i="20"/>
  <c r="I87" i="18"/>
  <c r="I89" i="18" s="1"/>
  <c r="I16" i="5" s="1"/>
  <c r="U4" i="18"/>
  <c r="T23" i="18"/>
  <c r="V3" i="20"/>
  <c r="K66" i="12"/>
  <c r="L63" i="12" s="1"/>
  <c r="L37" i="12"/>
  <c r="L37" i="11"/>
  <c r="L38" i="11"/>
  <c r="L39" i="11" s="1"/>
  <c r="J86" i="12"/>
  <c r="S23" i="5"/>
  <c r="S24" i="5" s="1"/>
  <c r="T101" i="21"/>
  <c r="R175" i="21"/>
  <c r="Q65" i="5"/>
  <c r="R169" i="21"/>
  <c r="Q31" i="5"/>
  <c r="Q172" i="21"/>
  <c r="P170" i="21"/>
  <c r="O48" i="5"/>
  <c r="O173" i="21"/>
  <c r="O174" i="21"/>
  <c r="N176" i="21"/>
  <c r="N178" i="21" s="1"/>
  <c r="N29" i="21" s="1"/>
  <c r="N83" i="21" s="1"/>
  <c r="N7" i="5" s="1"/>
  <c r="K40" i="15" l="1"/>
  <c r="K78" i="15" s="1"/>
  <c r="L35" i="15"/>
  <c r="W23" i="20"/>
  <c r="X23" i="20" s="1"/>
  <c r="K45" i="14"/>
  <c r="K52" i="14" s="1"/>
  <c r="K53" i="14" s="1"/>
  <c r="J71" i="13"/>
  <c r="J70" i="13" s="1"/>
  <c r="J72" i="13" s="1"/>
  <c r="K69" i="13" s="1"/>
  <c r="L35" i="2"/>
  <c r="L37" i="2" s="1"/>
  <c r="L38" i="2" s="1"/>
  <c r="L39" i="2" s="1"/>
  <c r="M35" i="2" s="1"/>
  <c r="T23" i="2"/>
  <c r="U4" i="2"/>
  <c r="T3" i="21"/>
  <c r="S3" i="15"/>
  <c r="S3" i="13"/>
  <c r="S3" i="2"/>
  <c r="S3" i="9"/>
  <c r="S3" i="18"/>
  <c r="K71" i="10"/>
  <c r="K70" i="10" s="1"/>
  <c r="K72" i="10" s="1"/>
  <c r="K73" i="10" s="1"/>
  <c r="K79" i="10" s="1"/>
  <c r="V3" i="5"/>
  <c r="U3" i="10"/>
  <c r="K45" i="10"/>
  <c r="K52" i="10" s="1"/>
  <c r="K53" i="10" s="1"/>
  <c r="J45" i="13"/>
  <c r="M35" i="11"/>
  <c r="L40" i="11"/>
  <c r="L78" i="11" s="1"/>
  <c r="M58" i="14"/>
  <c r="M44" i="14"/>
  <c r="M64" i="14"/>
  <c r="K64" i="13"/>
  <c r="K58" i="13"/>
  <c r="K44" i="13"/>
  <c r="L66" i="9"/>
  <c r="M63" i="9" s="1"/>
  <c r="J53" i="5"/>
  <c r="J85" i="14"/>
  <c r="J84" i="14"/>
  <c r="J88" i="14"/>
  <c r="J70" i="5" s="1"/>
  <c r="L64" i="10"/>
  <c r="L58" i="10"/>
  <c r="L44" i="10"/>
  <c r="L50" i="12"/>
  <c r="K54" i="12"/>
  <c r="K77" i="12" s="1"/>
  <c r="U3" i="11"/>
  <c r="U3" i="14"/>
  <c r="J84" i="10"/>
  <c r="J88" i="10"/>
  <c r="J73" i="5" s="1"/>
  <c r="J85" i="10"/>
  <c r="J86" i="10" s="1"/>
  <c r="J87" i="10" s="1"/>
  <c r="J56" i="5"/>
  <c r="L39" i="10"/>
  <c r="K45" i="11"/>
  <c r="K71" i="11"/>
  <c r="I84" i="13"/>
  <c r="I88" i="13"/>
  <c r="I71" i="5" s="1"/>
  <c r="I54" i="5"/>
  <c r="I85" i="13"/>
  <c r="I86" i="13" s="1"/>
  <c r="I87" i="13" s="1"/>
  <c r="L38" i="12"/>
  <c r="W3" i="20"/>
  <c r="K60" i="17"/>
  <c r="L57" i="17" s="1"/>
  <c r="L43" i="12"/>
  <c r="K47" i="12"/>
  <c r="K50" i="15"/>
  <c r="J54" i="15"/>
  <c r="J77" i="15" s="1"/>
  <c r="U23" i="14"/>
  <c r="V4" i="14"/>
  <c r="J83" i="2"/>
  <c r="J71" i="2"/>
  <c r="J70" i="2" s="1"/>
  <c r="J72" i="2" s="1"/>
  <c r="J45" i="2"/>
  <c r="U23" i="11"/>
  <c r="V4" i="11"/>
  <c r="M39" i="14"/>
  <c r="J85" i="11"/>
  <c r="J86" i="11" s="1"/>
  <c r="J87" i="11" s="1"/>
  <c r="J88" i="11"/>
  <c r="J75" i="5" s="1"/>
  <c r="J84" i="11"/>
  <c r="J58" i="5"/>
  <c r="K59" i="2"/>
  <c r="K60" i="2" s="1"/>
  <c r="L57" i="2" s="1"/>
  <c r="K43" i="20"/>
  <c r="J47" i="20"/>
  <c r="M35" i="9"/>
  <c r="L40" i="9"/>
  <c r="L78" i="9" s="1"/>
  <c r="K39" i="13"/>
  <c r="K51" i="18"/>
  <c r="L38" i="18"/>
  <c r="K70" i="11"/>
  <c r="K72" i="11" s="1"/>
  <c r="K83" i="14"/>
  <c r="K71" i="14"/>
  <c r="K70" i="14" s="1"/>
  <c r="K72" i="14" s="1"/>
  <c r="L44" i="11"/>
  <c r="L64" i="11"/>
  <c r="L58" i="11"/>
  <c r="L59" i="11" s="1"/>
  <c r="U3" i="12"/>
  <c r="J83" i="17"/>
  <c r="J71" i="17"/>
  <c r="J70" i="17" s="1"/>
  <c r="J72" i="17" s="1"/>
  <c r="J45" i="17"/>
  <c r="K65" i="2"/>
  <c r="U23" i="9"/>
  <c r="V4" i="9"/>
  <c r="K50" i="20"/>
  <c r="J54" i="20"/>
  <c r="J77" i="20" s="1"/>
  <c r="I84" i="2"/>
  <c r="I88" i="2"/>
  <c r="I66" i="5" s="1"/>
  <c r="I49" i="5"/>
  <c r="I85" i="2"/>
  <c r="I76" i="19"/>
  <c r="I80" i="19" s="1"/>
  <c r="I33" i="5"/>
  <c r="I44" i="5" s="1"/>
  <c r="L37" i="20"/>
  <c r="L38" i="20" s="1"/>
  <c r="T23" i="13"/>
  <c r="U4" i="13"/>
  <c r="K76" i="9"/>
  <c r="K80" i="9" s="1"/>
  <c r="I51" i="5"/>
  <c r="I84" i="17"/>
  <c r="I88" i="17"/>
  <c r="I68" i="5" s="1"/>
  <c r="I85" i="17"/>
  <c r="I86" i="17" s="1"/>
  <c r="I87" i="17" s="1"/>
  <c r="V23" i="10"/>
  <c r="W4" i="10"/>
  <c r="K66" i="11"/>
  <c r="L63" i="11" s="1"/>
  <c r="J87" i="12"/>
  <c r="J89" i="12" s="1"/>
  <c r="V4" i="18"/>
  <c r="U23" i="18"/>
  <c r="I87" i="20"/>
  <c r="I89" i="20" s="1"/>
  <c r="U23" i="12"/>
  <c r="V4" i="12"/>
  <c r="K43" i="15"/>
  <c r="J47" i="15"/>
  <c r="K60" i="20"/>
  <c r="L57" i="20" s="1"/>
  <c r="L37" i="17"/>
  <c r="K38" i="19"/>
  <c r="J51" i="19"/>
  <c r="J45" i="19" s="1"/>
  <c r="T23" i="17"/>
  <c r="U4" i="17"/>
  <c r="W3" i="19"/>
  <c r="K66" i="17"/>
  <c r="L63" i="17" s="1"/>
  <c r="J76" i="18"/>
  <c r="J80" i="18" s="1"/>
  <c r="J40" i="5"/>
  <c r="T23" i="15"/>
  <c r="U4" i="15"/>
  <c r="L51" i="9"/>
  <c r="L83" i="9" s="1"/>
  <c r="T23" i="19"/>
  <c r="U4" i="19"/>
  <c r="K60" i="11"/>
  <c r="L57" i="11" s="1"/>
  <c r="K46" i="14"/>
  <c r="L59" i="9"/>
  <c r="L60" i="9" s="1"/>
  <c r="M57" i="9" s="1"/>
  <c r="U101" i="21"/>
  <c r="T23" i="5"/>
  <c r="T24" i="5" s="1"/>
  <c r="S175" i="21"/>
  <c r="R65" i="5"/>
  <c r="O176" i="21"/>
  <c r="O178" i="21" s="1"/>
  <c r="O29" i="21" s="1"/>
  <c r="O83" i="21" s="1"/>
  <c r="O7" i="5" s="1"/>
  <c r="S169" i="21"/>
  <c r="R31" i="5"/>
  <c r="R172" i="21"/>
  <c r="Q170" i="21"/>
  <c r="P48" i="5"/>
  <c r="P173" i="21"/>
  <c r="P174" i="21"/>
  <c r="L37" i="15" l="1"/>
  <c r="L38" i="15" s="1"/>
  <c r="L39" i="15"/>
  <c r="L60" i="11"/>
  <c r="M57" i="11" s="1"/>
  <c r="L69" i="10"/>
  <c r="W23" i="10"/>
  <c r="X23" i="10" s="1"/>
  <c r="L50" i="14"/>
  <c r="K54" i="14"/>
  <c r="K77" i="14" s="1"/>
  <c r="U23" i="2"/>
  <c r="V4" i="2"/>
  <c r="U3" i="21"/>
  <c r="T3" i="18"/>
  <c r="T3" i="15"/>
  <c r="T3" i="13"/>
  <c r="T3" i="2"/>
  <c r="T3" i="9"/>
  <c r="K46" i="10"/>
  <c r="L43" i="10" s="1"/>
  <c r="W3" i="5"/>
  <c r="W3" i="10" s="1"/>
  <c r="V3" i="10"/>
  <c r="L45" i="9"/>
  <c r="L52" i="9" s="1"/>
  <c r="L53" i="9" s="1"/>
  <c r="L38" i="17"/>
  <c r="L39" i="17" s="1"/>
  <c r="J73" i="13"/>
  <c r="J79" i="13" s="1"/>
  <c r="J52" i="13"/>
  <c r="J53" i="13" s="1"/>
  <c r="J46" i="13"/>
  <c r="J52" i="19"/>
  <c r="J53" i="19" s="1"/>
  <c r="J46" i="19"/>
  <c r="L69" i="14"/>
  <c r="K73" i="14"/>
  <c r="K79" i="14" s="1"/>
  <c r="L43" i="14"/>
  <c r="K47" i="14"/>
  <c r="U23" i="19"/>
  <c r="V4" i="19"/>
  <c r="U23" i="15"/>
  <c r="V4" i="15"/>
  <c r="U23" i="17"/>
  <c r="V4" i="17"/>
  <c r="K64" i="19"/>
  <c r="K58" i="19"/>
  <c r="K44" i="19"/>
  <c r="L58" i="2"/>
  <c r="L59" i="2" s="1"/>
  <c r="L44" i="2"/>
  <c r="L64" i="2"/>
  <c r="L65" i="11"/>
  <c r="L66" i="11" s="1"/>
  <c r="M63" i="11" s="1"/>
  <c r="V4" i="13"/>
  <c r="U23" i="13"/>
  <c r="L44" i="20"/>
  <c r="L58" i="20"/>
  <c r="L59" i="20" s="1"/>
  <c r="L64" i="20"/>
  <c r="I86" i="2"/>
  <c r="I87" i="2" s="1"/>
  <c r="I89" i="2" s="1"/>
  <c r="I8" i="5" s="1"/>
  <c r="W4" i="9"/>
  <c r="V23" i="9"/>
  <c r="K69" i="17"/>
  <c r="J73" i="17"/>
  <c r="J79" i="17" s="1"/>
  <c r="K83" i="18"/>
  <c r="K71" i="18"/>
  <c r="K70" i="18" s="1"/>
  <c r="K72" i="18" s="1"/>
  <c r="M37" i="9"/>
  <c r="M38" i="9" s="1"/>
  <c r="N35" i="14"/>
  <c r="M40" i="14"/>
  <c r="M78" i="14" s="1"/>
  <c r="J52" i="2"/>
  <c r="J53" i="2" s="1"/>
  <c r="J46" i="2"/>
  <c r="K69" i="2"/>
  <c r="J73" i="2"/>
  <c r="J79" i="2" s="1"/>
  <c r="L44" i="12"/>
  <c r="L64" i="12"/>
  <c r="L58" i="12"/>
  <c r="M35" i="10"/>
  <c r="L40" i="10"/>
  <c r="L78" i="10" s="1"/>
  <c r="K39" i="19"/>
  <c r="M59" i="14"/>
  <c r="M60" i="14" s="1"/>
  <c r="N57" i="14" s="1"/>
  <c r="M37" i="11"/>
  <c r="M38" i="11" s="1"/>
  <c r="L50" i="10"/>
  <c r="K54" i="10"/>
  <c r="K77" i="10" s="1"/>
  <c r="J88" i="18"/>
  <c r="J74" i="5" s="1"/>
  <c r="J85" i="18"/>
  <c r="J86" i="18" s="1"/>
  <c r="J87" i="18" s="1"/>
  <c r="J57" i="5"/>
  <c r="J84" i="18"/>
  <c r="L58" i="17"/>
  <c r="L59" i="17" s="1"/>
  <c r="J76" i="15"/>
  <c r="J80" i="15" s="1"/>
  <c r="J35" i="5"/>
  <c r="V23" i="12"/>
  <c r="W4" i="12"/>
  <c r="W23" i="12" s="1"/>
  <c r="X23" i="12" s="1"/>
  <c r="M37" i="2"/>
  <c r="L39" i="20"/>
  <c r="J52" i="17"/>
  <c r="J53" i="17" s="1"/>
  <c r="J46" i="17"/>
  <c r="L69" i="11"/>
  <c r="K73" i="11"/>
  <c r="K79" i="11" s="1"/>
  <c r="L35" i="13"/>
  <c r="K40" i="13"/>
  <c r="K78" i="13" s="1"/>
  <c r="J76" i="20"/>
  <c r="J80" i="20" s="1"/>
  <c r="J43" i="5"/>
  <c r="W4" i="11"/>
  <c r="V23" i="11"/>
  <c r="V23" i="14"/>
  <c r="W4" i="14"/>
  <c r="I89" i="13"/>
  <c r="I13" i="5" s="1"/>
  <c r="J89" i="10"/>
  <c r="J15" i="5" s="1"/>
  <c r="L59" i="10"/>
  <c r="L60" i="10" s="1"/>
  <c r="M57" i="10" s="1"/>
  <c r="K59" i="13"/>
  <c r="M65" i="14"/>
  <c r="M66" i="14" s="1"/>
  <c r="N63" i="14" s="1"/>
  <c r="L39" i="12"/>
  <c r="J83" i="19"/>
  <c r="J71" i="19"/>
  <c r="J70" i="19"/>
  <c r="J72" i="19" s="1"/>
  <c r="K51" i="15"/>
  <c r="K45" i="15" s="1"/>
  <c r="K52" i="15" s="1"/>
  <c r="V23" i="18"/>
  <c r="W4" i="18"/>
  <c r="L40" i="2"/>
  <c r="L78" i="2" s="1"/>
  <c r="I89" i="17"/>
  <c r="K84" i="9"/>
  <c r="K55" i="5"/>
  <c r="K88" i="9"/>
  <c r="K72" i="5" s="1"/>
  <c r="K85" i="9"/>
  <c r="I85" i="19"/>
  <c r="I84" i="19"/>
  <c r="I88" i="19"/>
  <c r="I67" i="5" s="1"/>
  <c r="I78" i="5" s="1"/>
  <c r="I50" i="5"/>
  <c r="I61" i="5" s="1"/>
  <c r="K66" i="2"/>
  <c r="L63" i="2" s="1"/>
  <c r="V3" i="12"/>
  <c r="L64" i="18"/>
  <c r="L58" i="18"/>
  <c r="L44" i="18"/>
  <c r="K45" i="18"/>
  <c r="K51" i="20"/>
  <c r="J89" i="11"/>
  <c r="K76" i="12"/>
  <c r="K80" i="12" s="1"/>
  <c r="K42" i="5"/>
  <c r="K52" i="11"/>
  <c r="K53" i="11" s="1"/>
  <c r="K46" i="11"/>
  <c r="V3" i="14"/>
  <c r="V3" i="11"/>
  <c r="L39" i="18"/>
  <c r="L65" i="10"/>
  <c r="L66" i="10" s="1"/>
  <c r="M63" i="10" s="1"/>
  <c r="J86" i="14"/>
  <c r="J87" i="14" s="1"/>
  <c r="J89" i="14" s="1"/>
  <c r="L71" i="9"/>
  <c r="L70" i="9" s="1"/>
  <c r="L72" i="9" s="1"/>
  <c r="K65" i="13"/>
  <c r="K66" i="13" s="1"/>
  <c r="L63" i="13" s="1"/>
  <c r="V101" i="21"/>
  <c r="U23" i="5"/>
  <c r="U24" i="5" s="1"/>
  <c r="T169" i="21"/>
  <c r="S31" i="5"/>
  <c r="S172" i="21"/>
  <c r="R170" i="21"/>
  <c r="Q48" i="5"/>
  <c r="Q173" i="21"/>
  <c r="Q174" i="21"/>
  <c r="P176" i="21"/>
  <c r="P178" i="21" s="1"/>
  <c r="P29" i="21" s="1"/>
  <c r="P83" i="21" s="1"/>
  <c r="P7" i="5" s="1"/>
  <c r="T175" i="21"/>
  <c r="S65" i="5"/>
  <c r="M35" i="15" l="1"/>
  <c r="M37" i="15" s="1"/>
  <c r="M38" i="15" s="1"/>
  <c r="M64" i="15" s="1"/>
  <c r="L40" i="15"/>
  <c r="L78" i="15" s="1"/>
  <c r="L58" i="15"/>
  <c r="L59" i="15" s="1"/>
  <c r="L60" i="15" s="1"/>
  <c r="M57" i="15" s="1"/>
  <c r="L64" i="15"/>
  <c r="L65" i="15" s="1"/>
  <c r="L66" i="15" s="1"/>
  <c r="M63" i="15" s="1"/>
  <c r="L44" i="15"/>
  <c r="W23" i="18"/>
  <c r="X23" i="18" s="1"/>
  <c r="W23" i="14"/>
  <c r="X23" i="14" s="1"/>
  <c r="L64" i="17"/>
  <c r="L65" i="17" s="1"/>
  <c r="V23" i="2"/>
  <c r="W4" i="2"/>
  <c r="L51" i="12"/>
  <c r="W23" i="11"/>
  <c r="X23" i="11" s="1"/>
  <c r="L44" i="17"/>
  <c r="M39" i="11"/>
  <c r="V3" i="21"/>
  <c r="U3" i="9"/>
  <c r="U3" i="18"/>
  <c r="U3" i="15"/>
  <c r="U3" i="13"/>
  <c r="U3" i="2"/>
  <c r="K47" i="10"/>
  <c r="K76" i="10" s="1"/>
  <c r="K80" i="10" s="1"/>
  <c r="J89" i="18"/>
  <c r="J16" i="5" s="1"/>
  <c r="L46" i="9"/>
  <c r="M43" i="9" s="1"/>
  <c r="L40" i="17"/>
  <c r="L78" i="17" s="1"/>
  <c r="M35" i="17"/>
  <c r="M37" i="17" s="1"/>
  <c r="L60" i="17"/>
  <c r="M57" i="17" s="1"/>
  <c r="K50" i="13"/>
  <c r="J54" i="13"/>
  <c r="J77" i="13" s="1"/>
  <c r="K43" i="13"/>
  <c r="J47" i="13"/>
  <c r="N35" i="11"/>
  <c r="M40" i="11"/>
  <c r="M78" i="11" s="1"/>
  <c r="M64" i="9"/>
  <c r="M58" i="9"/>
  <c r="M44" i="9"/>
  <c r="M39" i="9"/>
  <c r="M69" i="9"/>
  <c r="L73" i="9"/>
  <c r="L79" i="9" s="1"/>
  <c r="W3" i="14"/>
  <c r="K69" i="19"/>
  <c r="J73" i="19"/>
  <c r="J79" i="19" s="1"/>
  <c r="W3" i="11"/>
  <c r="L43" i="11"/>
  <c r="K47" i="11"/>
  <c r="M35" i="18"/>
  <c r="L40" i="18"/>
  <c r="L78" i="18" s="1"/>
  <c r="L50" i="11"/>
  <c r="K54" i="11"/>
  <c r="K77" i="11" s="1"/>
  <c r="I86" i="19"/>
  <c r="I87" i="19" s="1"/>
  <c r="I89" i="19" s="1"/>
  <c r="K83" i="15"/>
  <c r="K71" i="15"/>
  <c r="K70" i="15" s="1"/>
  <c r="K72" i="15" s="1"/>
  <c r="K46" i="15"/>
  <c r="M35" i="12"/>
  <c r="L40" i="12"/>
  <c r="L78" i="12" s="1"/>
  <c r="K60" i="13"/>
  <c r="L57" i="13" s="1"/>
  <c r="K53" i="15"/>
  <c r="L37" i="13"/>
  <c r="K43" i="17"/>
  <c r="J47" i="17"/>
  <c r="M35" i="20"/>
  <c r="L40" i="20"/>
  <c r="L78" i="20" s="1"/>
  <c r="L51" i="10"/>
  <c r="L83" i="10" s="1"/>
  <c r="K43" i="2"/>
  <c r="J47" i="2"/>
  <c r="N37" i="14"/>
  <c r="N38" i="14" s="1"/>
  <c r="W23" i="9"/>
  <c r="X23" i="9" s="1"/>
  <c r="L65" i="20"/>
  <c r="L66" i="20" s="1"/>
  <c r="M63" i="20" s="1"/>
  <c r="K59" i="19"/>
  <c r="K60" i="19" s="1"/>
  <c r="L57" i="19" s="1"/>
  <c r="K36" i="5"/>
  <c r="K76" i="14"/>
  <c r="K80" i="14" s="1"/>
  <c r="M50" i="9"/>
  <c r="L54" i="9"/>
  <c r="L77" i="9" s="1"/>
  <c r="J88" i="20"/>
  <c r="J77" i="5" s="1"/>
  <c r="J85" i="20"/>
  <c r="J86" i="20" s="1"/>
  <c r="J87" i="20" s="1"/>
  <c r="J60" i="5"/>
  <c r="J84" i="20"/>
  <c r="J89" i="20" s="1"/>
  <c r="K50" i="17"/>
  <c r="J54" i="17"/>
  <c r="J77" i="17" s="1"/>
  <c r="M38" i="2"/>
  <c r="M39" i="2" s="1"/>
  <c r="L35" i="19"/>
  <c r="K40" i="19"/>
  <c r="K78" i="19" s="1"/>
  <c r="M37" i="10"/>
  <c r="L59" i="12"/>
  <c r="L60" i="12" s="1"/>
  <c r="M57" i="12" s="1"/>
  <c r="K50" i="2"/>
  <c r="J54" i="2"/>
  <c r="J77" i="2" s="1"/>
  <c r="V23" i="13"/>
  <c r="W4" i="13"/>
  <c r="L60" i="20"/>
  <c r="M57" i="20" s="1"/>
  <c r="K65" i="19"/>
  <c r="K66" i="19" s="1"/>
  <c r="L63" i="19" s="1"/>
  <c r="V23" i="15"/>
  <c r="W4" i="15"/>
  <c r="V23" i="19"/>
  <c r="W4" i="19"/>
  <c r="L51" i="14"/>
  <c r="L45" i="14" s="1"/>
  <c r="L52" i="14" s="1"/>
  <c r="K43" i="19"/>
  <c r="J47" i="19"/>
  <c r="K83" i="20"/>
  <c r="K71" i="20"/>
  <c r="K70" i="20" s="1"/>
  <c r="K72" i="20" s="1"/>
  <c r="L59" i="18"/>
  <c r="L60" i="18" s="1"/>
  <c r="M57" i="18" s="1"/>
  <c r="K50" i="19"/>
  <c r="J54" i="19"/>
  <c r="J77" i="19" s="1"/>
  <c r="K86" i="9"/>
  <c r="K87" i="9" s="1"/>
  <c r="K59" i="5"/>
  <c r="K85" i="12"/>
  <c r="K86" i="12" s="1"/>
  <c r="K87" i="12" s="1"/>
  <c r="K88" i="12"/>
  <c r="K76" i="5" s="1"/>
  <c r="K84" i="12"/>
  <c r="K45" i="20"/>
  <c r="K52" i="18"/>
  <c r="K53" i="18" s="1"/>
  <c r="K46" i="18"/>
  <c r="L65" i="18"/>
  <c r="W3" i="12"/>
  <c r="L65" i="2"/>
  <c r="L66" i="2" s="1"/>
  <c r="M63" i="2" s="1"/>
  <c r="J88" i="15"/>
  <c r="J69" i="5" s="1"/>
  <c r="J85" i="15"/>
  <c r="J84" i="15"/>
  <c r="J52" i="5"/>
  <c r="M64" i="11"/>
  <c r="M58" i="11"/>
  <c r="M44" i="11"/>
  <c r="L65" i="12"/>
  <c r="L71" i="12" s="1"/>
  <c r="L69" i="18"/>
  <c r="K73" i="18"/>
  <c r="K79" i="18" s="1"/>
  <c r="V23" i="17"/>
  <c r="W4" i="17"/>
  <c r="L60" i="2"/>
  <c r="M57" i="2" s="1"/>
  <c r="Q176" i="21"/>
  <c r="Q178" i="21" s="1"/>
  <c r="Q29" i="21" s="1"/>
  <c r="Q83" i="21" s="1"/>
  <c r="Q7" i="5" s="1"/>
  <c r="W101" i="21"/>
  <c r="W23" i="5" s="1"/>
  <c r="V23" i="5"/>
  <c r="V24" i="5" s="1"/>
  <c r="S170" i="21"/>
  <c r="R48" i="5"/>
  <c r="R173" i="21"/>
  <c r="R174" i="21"/>
  <c r="U169" i="21"/>
  <c r="T31" i="5"/>
  <c r="T172" i="21"/>
  <c r="U175" i="21"/>
  <c r="T65" i="5"/>
  <c r="M44" i="15" l="1"/>
  <c r="M65" i="15"/>
  <c r="M66" i="15" s="1"/>
  <c r="N63" i="15" s="1"/>
  <c r="M58" i="15"/>
  <c r="M39" i="15"/>
  <c r="M40" i="15" s="1"/>
  <c r="M78" i="15" s="1"/>
  <c r="W23" i="13"/>
  <c r="X23" i="13" s="1"/>
  <c r="L66" i="17"/>
  <c r="M63" i="17" s="1"/>
  <c r="W23" i="15"/>
  <c r="X23" i="15" s="1"/>
  <c r="W3" i="21"/>
  <c r="V3" i="9"/>
  <c r="V3" i="18"/>
  <c r="V3" i="15"/>
  <c r="V3" i="13"/>
  <c r="V3" i="2"/>
  <c r="L83" i="12"/>
  <c r="K89" i="12"/>
  <c r="W23" i="2"/>
  <c r="X23" i="2" s="1"/>
  <c r="L45" i="12"/>
  <c r="K39" i="5"/>
  <c r="L45" i="10"/>
  <c r="L52" i="10" s="1"/>
  <c r="L53" i="10" s="1"/>
  <c r="L54" i="10" s="1"/>
  <c r="L77" i="10" s="1"/>
  <c r="L47" i="9"/>
  <c r="L76" i="9" s="1"/>
  <c r="L80" i="9" s="1"/>
  <c r="M59" i="15"/>
  <c r="M60" i="15" s="1"/>
  <c r="N57" i="15" s="1"/>
  <c r="N35" i="15"/>
  <c r="K51" i="13"/>
  <c r="K45" i="13" s="1"/>
  <c r="J37" i="5"/>
  <c r="J76" i="13"/>
  <c r="J80" i="13" s="1"/>
  <c r="K88" i="14"/>
  <c r="K70" i="5" s="1"/>
  <c r="K53" i="5"/>
  <c r="K85" i="14"/>
  <c r="K86" i="14" s="1"/>
  <c r="K87" i="14" s="1"/>
  <c r="K84" i="14"/>
  <c r="L69" i="15"/>
  <c r="K73" i="15"/>
  <c r="K79" i="15" s="1"/>
  <c r="N35" i="2"/>
  <c r="M40" i="2"/>
  <c r="M78" i="2" s="1"/>
  <c r="N64" i="14"/>
  <c r="N58" i="14"/>
  <c r="N44" i="14"/>
  <c r="L66" i="12"/>
  <c r="M63" i="12" s="1"/>
  <c r="L50" i="18"/>
  <c r="K54" i="18"/>
  <c r="K77" i="18" s="1"/>
  <c r="K51" i="19"/>
  <c r="K83" i="19" s="1"/>
  <c r="L83" i="14"/>
  <c r="L71" i="14"/>
  <c r="L70" i="14" s="1"/>
  <c r="L72" i="14" s="1"/>
  <c r="L53" i="14"/>
  <c r="L46" i="14"/>
  <c r="M38" i="10"/>
  <c r="M38" i="17"/>
  <c r="M51" i="9"/>
  <c r="M83" i="9" s="1"/>
  <c r="N39" i="14"/>
  <c r="J76" i="17"/>
  <c r="J80" i="17" s="1"/>
  <c r="J34" i="5"/>
  <c r="L50" i="15"/>
  <c r="K54" i="15"/>
  <c r="K77" i="15" s="1"/>
  <c r="M37" i="12"/>
  <c r="M38" i="12" s="1"/>
  <c r="L71" i="10"/>
  <c r="L70" i="10" s="1"/>
  <c r="L72" i="10" s="1"/>
  <c r="M65" i="11"/>
  <c r="M66" i="11" s="1"/>
  <c r="N63" i="11" s="1"/>
  <c r="W24" i="5"/>
  <c r="W23" i="17"/>
  <c r="X23" i="17" s="1"/>
  <c r="K85" i="10"/>
  <c r="K84" i="10"/>
  <c r="K56" i="5"/>
  <c r="K88" i="10"/>
  <c r="K73" i="5" s="1"/>
  <c r="J86" i="15"/>
  <c r="J87" i="15" s="1"/>
  <c r="L66" i="18"/>
  <c r="M63" i="18" s="1"/>
  <c r="K52" i="20"/>
  <c r="K53" i="20" s="1"/>
  <c r="K46" i="20"/>
  <c r="W23" i="19"/>
  <c r="X23" i="19" s="1"/>
  <c r="L70" i="12"/>
  <c r="L72" i="12" s="1"/>
  <c r="L37" i="19"/>
  <c r="J32" i="5"/>
  <c r="J76" i="2"/>
  <c r="J80" i="2" s="1"/>
  <c r="K51" i="17"/>
  <c r="K45" i="17" s="1"/>
  <c r="K52" i="17" s="1"/>
  <c r="K53" i="17" s="1"/>
  <c r="L50" i="17" s="1"/>
  <c r="L38" i="13"/>
  <c r="L43" i="15"/>
  <c r="K47" i="15"/>
  <c r="K76" i="11"/>
  <c r="K80" i="11" s="1"/>
  <c r="K41" i="5"/>
  <c r="M59" i="9"/>
  <c r="M60" i="9" s="1"/>
  <c r="N57" i="9" s="1"/>
  <c r="N37" i="11"/>
  <c r="M59" i="11"/>
  <c r="L43" i="18"/>
  <c r="K47" i="18"/>
  <c r="K89" i="9"/>
  <c r="K14" i="5" s="1"/>
  <c r="L69" i="20"/>
  <c r="K73" i="20"/>
  <c r="K79" i="20" s="1"/>
  <c r="J76" i="19"/>
  <c r="J80" i="19" s="1"/>
  <c r="J33" i="5"/>
  <c r="M44" i="2"/>
  <c r="M64" i="2"/>
  <c r="M65" i="2" s="1"/>
  <c r="M58" i="2"/>
  <c r="M59" i="2" s="1"/>
  <c r="K51" i="2"/>
  <c r="M37" i="20"/>
  <c r="M37" i="18"/>
  <c r="L51" i="11"/>
  <c r="N35" i="9"/>
  <c r="M40" i="9"/>
  <c r="M78" i="9" s="1"/>
  <c r="M65" i="9"/>
  <c r="R176" i="21"/>
  <c r="R178" i="21" s="1"/>
  <c r="R29" i="21" s="1"/>
  <c r="R83" i="21" s="1"/>
  <c r="R7" i="5" s="1"/>
  <c r="V169" i="21"/>
  <c r="U31" i="5"/>
  <c r="U172" i="21"/>
  <c r="T170" i="21"/>
  <c r="S48" i="5"/>
  <c r="S174" i="21"/>
  <c r="S173" i="21"/>
  <c r="V175" i="21"/>
  <c r="U65" i="5"/>
  <c r="L38" i="5" l="1"/>
  <c r="M50" i="10"/>
  <c r="L52" i="12"/>
  <c r="L53" i="12" s="1"/>
  <c r="L46" i="12"/>
  <c r="K71" i="19"/>
  <c r="K70" i="19" s="1"/>
  <c r="K72" i="19" s="1"/>
  <c r="W3" i="15"/>
  <c r="W3" i="13"/>
  <c r="W3" i="2"/>
  <c r="W3" i="9"/>
  <c r="W3" i="18"/>
  <c r="L46" i="10"/>
  <c r="M43" i="10" s="1"/>
  <c r="M71" i="9"/>
  <c r="M70" i="9" s="1"/>
  <c r="M72" i="9" s="1"/>
  <c r="M45" i="9"/>
  <c r="M52" i="9" s="1"/>
  <c r="M53" i="9" s="1"/>
  <c r="M54" i="9" s="1"/>
  <c r="M77" i="9" s="1"/>
  <c r="N37" i="15"/>
  <c r="N38" i="15" s="1"/>
  <c r="K46" i="13"/>
  <c r="K52" i="13"/>
  <c r="K53" i="13" s="1"/>
  <c r="J44" i="5"/>
  <c r="J45" i="5" s="1"/>
  <c r="J54" i="5"/>
  <c r="J85" i="13"/>
  <c r="J86" i="13" s="1"/>
  <c r="J87" i="13" s="1"/>
  <c r="J88" i="13"/>
  <c r="J71" i="5" s="1"/>
  <c r="J84" i="13"/>
  <c r="K83" i="13"/>
  <c r="K71" i="13"/>
  <c r="K70" i="13" s="1"/>
  <c r="K72" i="13" s="1"/>
  <c r="L55" i="5"/>
  <c r="L85" i="9"/>
  <c r="L84" i="9"/>
  <c r="L88" i="9"/>
  <c r="L72" i="5" s="1"/>
  <c r="M66" i="2"/>
  <c r="N63" i="2" s="1"/>
  <c r="M69" i="14"/>
  <c r="L73" i="14"/>
  <c r="L79" i="14" s="1"/>
  <c r="J88" i="19"/>
  <c r="J67" i="5" s="1"/>
  <c r="J50" i="5"/>
  <c r="J85" i="19"/>
  <c r="J86" i="19" s="1"/>
  <c r="J87" i="19" s="1"/>
  <c r="J84" i="19"/>
  <c r="M64" i="12"/>
  <c r="M65" i="12" s="1"/>
  <c r="M58" i="12"/>
  <c r="M44" i="12"/>
  <c r="L83" i="11"/>
  <c r="L71" i="11"/>
  <c r="L70" i="11" s="1"/>
  <c r="L72" i="11" s="1"/>
  <c r="K76" i="15"/>
  <c r="K80" i="15" s="1"/>
  <c r="K35" i="5"/>
  <c r="M66" i="9"/>
  <c r="N63" i="9" s="1"/>
  <c r="N37" i="9"/>
  <c r="N38" i="9" s="1"/>
  <c r="M38" i="20"/>
  <c r="M39" i="20" s="1"/>
  <c r="K83" i="2"/>
  <c r="K71" i="2"/>
  <c r="K70" i="2" s="1"/>
  <c r="K72" i="2" s="1"/>
  <c r="N38" i="11"/>
  <c r="K85" i="11"/>
  <c r="K86" i="11" s="1"/>
  <c r="K87" i="11" s="1"/>
  <c r="K88" i="11"/>
  <c r="K75" i="5" s="1"/>
  <c r="K58" i="5"/>
  <c r="K84" i="11"/>
  <c r="J49" i="5"/>
  <c r="J84" i="2"/>
  <c r="J85" i="2"/>
  <c r="J88" i="2"/>
  <c r="J66" i="5" s="1"/>
  <c r="K54" i="17"/>
  <c r="K77" i="17" s="1"/>
  <c r="M69" i="12"/>
  <c r="L73" i="12"/>
  <c r="L79" i="12" s="1"/>
  <c r="L43" i="20"/>
  <c r="K47" i="20"/>
  <c r="J89" i="15"/>
  <c r="M39" i="12"/>
  <c r="M64" i="17"/>
  <c r="M44" i="17"/>
  <c r="M58" i="17"/>
  <c r="M43" i="14"/>
  <c r="L47" i="14"/>
  <c r="M60" i="2"/>
  <c r="N57" i="2" s="1"/>
  <c r="N59" i="14"/>
  <c r="N60" i="14"/>
  <c r="O57" i="14" s="1"/>
  <c r="L50" i="20"/>
  <c r="K54" i="20"/>
  <c r="K77" i="20" s="1"/>
  <c r="K86" i="10"/>
  <c r="K87" i="10" s="1"/>
  <c r="K89" i="10" s="1"/>
  <c r="K15" i="5" s="1"/>
  <c r="M69" i="10"/>
  <c r="L73" i="10"/>
  <c r="L79" i="10" s="1"/>
  <c r="O35" i="14"/>
  <c r="N40" i="14"/>
  <c r="N78" i="14" s="1"/>
  <c r="M64" i="10"/>
  <c r="M58" i="10"/>
  <c r="M44" i="10"/>
  <c r="M50" i="14"/>
  <c r="L54" i="14"/>
  <c r="L77" i="14" s="1"/>
  <c r="N65" i="14"/>
  <c r="N66" i="14" s="1"/>
  <c r="O63" i="14" s="1"/>
  <c r="N37" i="2"/>
  <c r="N38" i="2" s="1"/>
  <c r="K76" i="18"/>
  <c r="K80" i="18" s="1"/>
  <c r="K40" i="5"/>
  <c r="L64" i="13"/>
  <c r="L44" i="13"/>
  <c r="L58" i="13"/>
  <c r="L45" i="11"/>
  <c r="M38" i="18"/>
  <c r="K45" i="2"/>
  <c r="L51" i="18"/>
  <c r="M60" i="11"/>
  <c r="N57" i="11" s="1"/>
  <c r="L51" i="15"/>
  <c r="L45" i="15" s="1"/>
  <c r="L52" i="15" s="1"/>
  <c r="K83" i="17"/>
  <c r="K71" i="17"/>
  <c r="K70" i="17" s="1"/>
  <c r="K72" i="17" s="1"/>
  <c r="K46" i="17"/>
  <c r="L38" i="19"/>
  <c r="J85" i="17"/>
  <c r="J84" i="17"/>
  <c r="J88" i="17"/>
  <c r="J68" i="5" s="1"/>
  <c r="J51" i="5"/>
  <c r="K45" i="19"/>
  <c r="M39" i="17"/>
  <c r="M39" i="10"/>
  <c r="L39" i="13"/>
  <c r="K89" i="14"/>
  <c r="S176" i="21"/>
  <c r="S178" i="21" s="1"/>
  <c r="S29" i="21" s="1"/>
  <c r="S83" i="21" s="1"/>
  <c r="S7" i="5" s="1"/>
  <c r="U170" i="21"/>
  <c r="T48" i="5"/>
  <c r="T174" i="21"/>
  <c r="T173" i="21"/>
  <c r="W175" i="21"/>
  <c r="W65" i="5" s="1"/>
  <c r="V65" i="5"/>
  <c r="W169" i="21"/>
  <c r="V31" i="5"/>
  <c r="V172" i="21"/>
  <c r="I11" i="5"/>
  <c r="L69" i="19" l="1"/>
  <c r="K73" i="19"/>
  <c r="K79" i="19" s="1"/>
  <c r="M43" i="12"/>
  <c r="L47" i="12"/>
  <c r="J89" i="19"/>
  <c r="M50" i="12"/>
  <c r="L54" i="12"/>
  <c r="L77" i="12" s="1"/>
  <c r="N50" i="9"/>
  <c r="L47" i="10"/>
  <c r="L76" i="10" s="1"/>
  <c r="L80" i="10" s="1"/>
  <c r="M46" i="9"/>
  <c r="N43" i="9" s="1"/>
  <c r="L46" i="15"/>
  <c r="M43" i="15" s="1"/>
  <c r="N39" i="15"/>
  <c r="N58" i="15"/>
  <c r="N44" i="15"/>
  <c r="N64" i="15"/>
  <c r="N65" i="15" s="1"/>
  <c r="N66" i="15" s="1"/>
  <c r="O63" i="15" s="1"/>
  <c r="L53" i="15"/>
  <c r="L54" i="15" s="1"/>
  <c r="L77" i="15" s="1"/>
  <c r="J89" i="13"/>
  <c r="J13" i="5" s="1"/>
  <c r="L50" i="13"/>
  <c r="K54" i="13"/>
  <c r="K77" i="13" s="1"/>
  <c r="L69" i="13"/>
  <c r="K73" i="13"/>
  <c r="K79" i="13" s="1"/>
  <c r="K47" i="13"/>
  <c r="L43" i="13"/>
  <c r="L51" i="13" s="1"/>
  <c r="N35" i="20"/>
  <c r="M40" i="20"/>
  <c r="M78" i="20" s="1"/>
  <c r="M69" i="11"/>
  <c r="L73" i="11"/>
  <c r="L79" i="11" s="1"/>
  <c r="N64" i="2"/>
  <c r="N65" i="2" s="1"/>
  <c r="N66" i="2" s="1"/>
  <c r="O63" i="2" s="1"/>
  <c r="N58" i="2"/>
  <c r="N59" i="2" s="1"/>
  <c r="N44" i="2"/>
  <c r="N64" i="9"/>
  <c r="N65" i="9" s="1"/>
  <c r="N58" i="9"/>
  <c r="N44" i="9"/>
  <c r="M35" i="13"/>
  <c r="L40" i="13"/>
  <c r="L78" i="13" s="1"/>
  <c r="L58" i="19"/>
  <c r="L64" i="19"/>
  <c r="L44" i="19"/>
  <c r="L69" i="17"/>
  <c r="K73" i="17"/>
  <c r="K79" i="17" s="1"/>
  <c r="N69" i="9"/>
  <c r="M73" i="9"/>
  <c r="M79" i="9" s="1"/>
  <c r="K52" i="2"/>
  <c r="K53" i="2" s="1"/>
  <c r="K46" i="2"/>
  <c r="L59" i="13"/>
  <c r="L60" i="13" s="1"/>
  <c r="M57" i="13" s="1"/>
  <c r="L76" i="14"/>
  <c r="L80" i="14" s="1"/>
  <c r="L36" i="5"/>
  <c r="M51" i="10"/>
  <c r="M45" i="10" s="1"/>
  <c r="M52" i="10" s="1"/>
  <c r="N35" i="12"/>
  <c r="M40" i="12"/>
  <c r="M78" i="12" s="1"/>
  <c r="J78" i="5"/>
  <c r="J79" i="5" s="1"/>
  <c r="J61" i="5"/>
  <c r="J62" i="5" s="1"/>
  <c r="L69" i="2"/>
  <c r="K73" i="2"/>
  <c r="K79" i="2" s="1"/>
  <c r="N39" i="9"/>
  <c r="N35" i="10"/>
  <c r="M40" i="10"/>
  <c r="M78" i="10" s="1"/>
  <c r="L43" i="17"/>
  <c r="K47" i="17"/>
  <c r="L83" i="18"/>
  <c r="L71" i="18"/>
  <c r="L70" i="18" s="1"/>
  <c r="L72" i="18" s="1"/>
  <c r="L45" i="18"/>
  <c r="M44" i="18"/>
  <c r="M64" i="18"/>
  <c r="M58" i="18"/>
  <c r="N39" i="2"/>
  <c r="M59" i="10"/>
  <c r="M60" i="10" s="1"/>
  <c r="N57" i="10" s="1"/>
  <c r="O37" i="14"/>
  <c r="O38" i="14" s="1"/>
  <c r="M51" i="14"/>
  <c r="M65" i="17"/>
  <c r="K76" i="20"/>
  <c r="K80" i="20" s="1"/>
  <c r="K43" i="5"/>
  <c r="J86" i="2"/>
  <c r="J87" i="2" s="1"/>
  <c r="K89" i="11"/>
  <c r="L39" i="19"/>
  <c r="M39" i="18"/>
  <c r="L86" i="9"/>
  <c r="L87" i="9" s="1"/>
  <c r="L89" i="9" s="1"/>
  <c r="L14" i="5" s="1"/>
  <c r="N35" i="17"/>
  <c r="M40" i="17"/>
  <c r="M78" i="17" s="1"/>
  <c r="K52" i="19"/>
  <c r="K53" i="19" s="1"/>
  <c r="K46" i="19"/>
  <c r="J86" i="17"/>
  <c r="J87" i="17"/>
  <c r="J89" i="17" s="1"/>
  <c r="L83" i="15"/>
  <c r="L71" i="15"/>
  <c r="L70" i="15" s="1"/>
  <c r="L72" i="15" s="1"/>
  <c r="L52" i="11"/>
  <c r="L53" i="11" s="1"/>
  <c r="L46" i="11"/>
  <c r="L65" i="13"/>
  <c r="L66" i="13" s="1"/>
  <c r="M63" i="13" s="1"/>
  <c r="K85" i="18"/>
  <c r="K86" i="18" s="1"/>
  <c r="K87" i="18" s="1"/>
  <c r="K88" i="18"/>
  <c r="K74" i="5" s="1"/>
  <c r="K84" i="18"/>
  <c r="K57" i="5"/>
  <c r="M65" i="10"/>
  <c r="K84" i="15"/>
  <c r="K52" i="5"/>
  <c r="K85" i="15"/>
  <c r="K88" i="15"/>
  <c r="K69" i="5" s="1"/>
  <c r="M66" i="12"/>
  <c r="N63" i="12" s="1"/>
  <c r="M59" i="17"/>
  <c r="M60" i="17" s="1"/>
  <c r="N57" i="17" s="1"/>
  <c r="L51" i="20"/>
  <c r="N44" i="11"/>
  <c r="N64" i="11"/>
  <c r="N58" i="11"/>
  <c r="N59" i="11" s="1"/>
  <c r="M64" i="20"/>
  <c r="M58" i="20"/>
  <c r="M44" i="20"/>
  <c r="M59" i="12"/>
  <c r="M60" i="12" s="1"/>
  <c r="N57" i="12" s="1"/>
  <c r="N39" i="11"/>
  <c r="W31" i="5"/>
  <c r="W172" i="21"/>
  <c r="V170" i="21"/>
  <c r="U48" i="5"/>
  <c r="U173" i="21"/>
  <c r="U174" i="21"/>
  <c r="T176" i="21"/>
  <c r="T178" i="21" s="1"/>
  <c r="T29" i="21" s="1"/>
  <c r="T83" i="21" s="1"/>
  <c r="T7" i="5" s="1"/>
  <c r="I10" i="5"/>
  <c r="M51" i="12" l="1"/>
  <c r="M71" i="12" s="1"/>
  <c r="M45" i="14"/>
  <c r="M52" i="14" s="1"/>
  <c r="M53" i="14" s="1"/>
  <c r="L76" i="12"/>
  <c r="L80" i="12" s="1"/>
  <c r="L42" i="5"/>
  <c r="L39" i="5"/>
  <c r="M71" i="10"/>
  <c r="M70" i="10" s="1"/>
  <c r="M72" i="10" s="1"/>
  <c r="M66" i="10"/>
  <c r="N63" i="10" s="1"/>
  <c r="M47" i="9"/>
  <c r="M76" i="9" s="1"/>
  <c r="M80" i="9" s="1"/>
  <c r="L47" i="15"/>
  <c r="L76" i="15" s="1"/>
  <c r="M51" i="15"/>
  <c r="M71" i="15" s="1"/>
  <c r="M70" i="15" s="1"/>
  <c r="M50" i="15"/>
  <c r="N59" i="15"/>
  <c r="N60" i="15" s="1"/>
  <c r="O57" i="15" s="1"/>
  <c r="O35" i="15"/>
  <c r="N40" i="15"/>
  <c r="N78" i="15" s="1"/>
  <c r="K37" i="5"/>
  <c r="K76" i="13"/>
  <c r="K80" i="13" s="1"/>
  <c r="N60" i="2"/>
  <c r="O57" i="2" s="1"/>
  <c r="L56" i="5"/>
  <c r="L85" i="10"/>
  <c r="L86" i="10" s="1"/>
  <c r="L87" i="10" s="1"/>
  <c r="L88" i="10"/>
  <c r="L73" i="5" s="1"/>
  <c r="L84" i="10"/>
  <c r="O64" i="14"/>
  <c r="O44" i="14"/>
  <c r="O58" i="14"/>
  <c r="M59" i="20"/>
  <c r="M60" i="20" s="1"/>
  <c r="N57" i="20" s="1"/>
  <c r="N65" i="11"/>
  <c r="L83" i="20"/>
  <c r="L71" i="20"/>
  <c r="L70" i="20" s="1"/>
  <c r="L72" i="20" s="1"/>
  <c r="L83" i="13"/>
  <c r="M69" i="15"/>
  <c r="L73" i="15"/>
  <c r="L79" i="15" s="1"/>
  <c r="L50" i="19"/>
  <c r="K54" i="19"/>
  <c r="K77" i="19" s="1"/>
  <c r="M35" i="19"/>
  <c r="L40" i="19"/>
  <c r="L78" i="19" s="1"/>
  <c r="O39" i="14"/>
  <c r="O35" i="2"/>
  <c r="N40" i="2"/>
  <c r="N78" i="2" s="1"/>
  <c r="M65" i="18"/>
  <c r="M69" i="18"/>
  <c r="L73" i="18"/>
  <c r="L79" i="18" s="1"/>
  <c r="L51" i="17"/>
  <c r="L45" i="17" s="1"/>
  <c r="L52" i="17" s="1"/>
  <c r="M83" i="10"/>
  <c r="M53" i="10"/>
  <c r="M46" i="10"/>
  <c r="L50" i="2"/>
  <c r="K54" i="2"/>
  <c r="K77" i="2" s="1"/>
  <c r="L59" i="19"/>
  <c r="L60" i="19" s="1"/>
  <c r="M57" i="19" s="1"/>
  <c r="N59" i="9"/>
  <c r="L85" i="14"/>
  <c r="L86" i="14" s="1"/>
  <c r="L87" i="14" s="1"/>
  <c r="L84" i="14"/>
  <c r="L88" i="14"/>
  <c r="L70" i="5" s="1"/>
  <c r="L53" i="5"/>
  <c r="M70" i="12"/>
  <c r="M72" i="12" s="1"/>
  <c r="M65" i="20"/>
  <c r="L45" i="20"/>
  <c r="M43" i="11"/>
  <c r="L47" i="11"/>
  <c r="K88" i="20"/>
  <c r="K77" i="5" s="1"/>
  <c r="K84" i="20"/>
  <c r="K60" i="5"/>
  <c r="K85" i="20"/>
  <c r="M66" i="17"/>
  <c r="N63" i="17" s="1"/>
  <c r="M46" i="14"/>
  <c r="L52" i="18"/>
  <c r="L53" i="18" s="1"/>
  <c r="L46" i="18"/>
  <c r="O35" i="9"/>
  <c r="N40" i="9"/>
  <c r="N78" i="9" s="1"/>
  <c r="N60" i="11"/>
  <c r="O57" i="11" s="1"/>
  <c r="M37" i="13"/>
  <c r="O35" i="11"/>
  <c r="N40" i="11"/>
  <c r="N78" i="11" s="1"/>
  <c r="K86" i="15"/>
  <c r="K87" i="15" s="1"/>
  <c r="K89" i="15" s="1"/>
  <c r="K89" i="18"/>
  <c r="K16" i="5" s="1"/>
  <c r="L71" i="13"/>
  <c r="L70" i="13" s="1"/>
  <c r="L72" i="13" s="1"/>
  <c r="M50" i="11"/>
  <c r="L54" i="11"/>
  <c r="L77" i="11" s="1"/>
  <c r="L43" i="19"/>
  <c r="K47" i="19"/>
  <c r="N37" i="17"/>
  <c r="N35" i="18"/>
  <c r="M40" i="18"/>
  <c r="M78" i="18" s="1"/>
  <c r="N66" i="9"/>
  <c r="O63" i="9" s="1"/>
  <c r="J89" i="2"/>
  <c r="J8" i="5" s="1"/>
  <c r="L45" i="13"/>
  <c r="M83" i="14"/>
  <c r="M71" i="14"/>
  <c r="M70" i="14" s="1"/>
  <c r="M72" i="14" s="1"/>
  <c r="M59" i="18"/>
  <c r="M60" i="18" s="1"/>
  <c r="N57" i="18" s="1"/>
  <c r="K76" i="17"/>
  <c r="K80" i="17" s="1"/>
  <c r="K34" i="5"/>
  <c r="N37" i="10"/>
  <c r="N37" i="12"/>
  <c r="N38" i="12" s="1"/>
  <c r="L43" i="2"/>
  <c r="K47" i="2"/>
  <c r="L65" i="19"/>
  <c r="L66" i="19" s="1"/>
  <c r="M63" i="19" s="1"/>
  <c r="N51" i="9"/>
  <c r="N37" i="20"/>
  <c r="N38" i="20" s="1"/>
  <c r="U176" i="21"/>
  <c r="U178" i="21" s="1"/>
  <c r="U29" i="21" s="1"/>
  <c r="U83" i="21" s="1"/>
  <c r="U7" i="5" s="1"/>
  <c r="W170" i="21"/>
  <c r="V48" i="5"/>
  <c r="V173" i="21"/>
  <c r="V174" i="21"/>
  <c r="J11" i="5"/>
  <c r="M38" i="5" l="1"/>
  <c r="L89" i="14"/>
  <c r="N50" i="14"/>
  <c r="M54" i="14"/>
  <c r="M77" i="14" s="1"/>
  <c r="M83" i="15"/>
  <c r="M83" i="12"/>
  <c r="L59" i="5"/>
  <c r="L88" i="12"/>
  <c r="L76" i="5" s="1"/>
  <c r="L84" i="12"/>
  <c r="L85" i="12"/>
  <c r="L86" i="12" s="1"/>
  <c r="M45" i="12"/>
  <c r="M45" i="15"/>
  <c r="M52" i="15" s="1"/>
  <c r="M53" i="15" s="1"/>
  <c r="N50" i="15" s="1"/>
  <c r="L89" i="10"/>
  <c r="L15" i="5" s="1"/>
  <c r="L35" i="5"/>
  <c r="O37" i="15"/>
  <c r="O38" i="15" s="1"/>
  <c r="M38" i="13"/>
  <c r="M39" i="13" s="1"/>
  <c r="K84" i="13"/>
  <c r="K85" i="13"/>
  <c r="K86" i="13" s="1"/>
  <c r="K87" i="13" s="1"/>
  <c r="K54" i="5"/>
  <c r="K88" i="13"/>
  <c r="K71" i="5" s="1"/>
  <c r="N58" i="12"/>
  <c r="N44" i="12"/>
  <c r="N64" i="12"/>
  <c r="M69" i="13"/>
  <c r="L73" i="13"/>
  <c r="L79" i="13" s="1"/>
  <c r="N44" i="20"/>
  <c r="N64" i="20"/>
  <c r="N58" i="20"/>
  <c r="N59" i="20" s="1"/>
  <c r="N39" i="20"/>
  <c r="K76" i="2"/>
  <c r="K80" i="2" s="1"/>
  <c r="K32" i="5"/>
  <c r="N39" i="12"/>
  <c r="N38" i="10"/>
  <c r="N39" i="10" s="1"/>
  <c r="N38" i="17"/>
  <c r="K76" i="19"/>
  <c r="K80" i="19" s="1"/>
  <c r="K33" i="5"/>
  <c r="K86" i="20"/>
  <c r="K87" i="20" s="1"/>
  <c r="K89" i="20" s="1"/>
  <c r="L76" i="11"/>
  <c r="L80" i="11" s="1"/>
  <c r="L41" i="5"/>
  <c r="N50" i="10"/>
  <c r="M54" i="10"/>
  <c r="M77" i="10" s="1"/>
  <c r="O37" i="2"/>
  <c r="O38" i="2" s="1"/>
  <c r="O39" i="2" s="1"/>
  <c r="M69" i="20"/>
  <c r="L73" i="20"/>
  <c r="L79" i="20" s="1"/>
  <c r="N83" i="9"/>
  <c r="N45" i="9"/>
  <c r="K88" i="17"/>
  <c r="K68" i="5" s="1"/>
  <c r="K84" i="17"/>
  <c r="K51" i="5"/>
  <c r="K85" i="17"/>
  <c r="L51" i="2"/>
  <c r="N37" i="18"/>
  <c r="N38" i="18" s="1"/>
  <c r="L51" i="19"/>
  <c r="L83" i="19" s="1"/>
  <c r="O37" i="9"/>
  <c r="O38" i="9" s="1"/>
  <c r="M43" i="18"/>
  <c r="L47" i="18"/>
  <c r="N43" i="14"/>
  <c r="M47" i="14"/>
  <c r="N71" i="9"/>
  <c r="N70" i="9" s="1"/>
  <c r="N72" i="9" s="1"/>
  <c r="M51" i="11"/>
  <c r="M66" i="20"/>
  <c r="N63" i="20" s="1"/>
  <c r="L83" i="17"/>
  <c r="L71" i="17"/>
  <c r="L70" i="17" s="1"/>
  <c r="L72" i="17" s="1"/>
  <c r="L53" i="17"/>
  <c r="M66" i="18"/>
  <c r="N63" i="18" s="1"/>
  <c r="P35" i="14"/>
  <c r="O40" i="14"/>
  <c r="O78" i="14" s="1"/>
  <c r="M37" i="19"/>
  <c r="L80" i="15"/>
  <c r="O65" i="14"/>
  <c r="L71" i="19"/>
  <c r="M55" i="5"/>
  <c r="M85" i="9"/>
  <c r="M86" i="9" s="1"/>
  <c r="M87" i="9" s="1"/>
  <c r="M84" i="9"/>
  <c r="M88" i="9"/>
  <c r="M72" i="5" s="1"/>
  <c r="N69" i="10"/>
  <c r="M73" i="10"/>
  <c r="M79" i="10" s="1"/>
  <c r="N69" i="14"/>
  <c r="M73" i="14"/>
  <c r="M79" i="14" s="1"/>
  <c r="L52" i="13"/>
  <c r="L53" i="13" s="1"/>
  <c r="L46" i="13"/>
  <c r="O37" i="11"/>
  <c r="O38" i="11" s="1"/>
  <c r="M50" i="18"/>
  <c r="L54" i="18"/>
  <c r="L77" i="18" s="1"/>
  <c r="L52" i="20"/>
  <c r="L53" i="20" s="1"/>
  <c r="L46" i="20"/>
  <c r="N69" i="12"/>
  <c r="M73" i="12"/>
  <c r="M79" i="12" s="1"/>
  <c r="N60" i="9"/>
  <c r="O57" i="9" s="1"/>
  <c r="N43" i="10"/>
  <c r="M47" i="10"/>
  <c r="L87" i="12"/>
  <c r="L46" i="17"/>
  <c r="M72" i="15"/>
  <c r="N69" i="15" s="1"/>
  <c r="N66" i="11"/>
  <c r="O63" i="11" s="1"/>
  <c r="O59" i="14"/>
  <c r="O60" i="14" s="1"/>
  <c r="P57" i="14" s="1"/>
  <c r="V176" i="21"/>
  <c r="V178" i="21" s="1"/>
  <c r="V29" i="21" s="1"/>
  <c r="V83" i="21" s="1"/>
  <c r="V7" i="5" s="1"/>
  <c r="W48" i="5"/>
  <c r="W174" i="21"/>
  <c r="W173" i="21"/>
  <c r="I12" i="5"/>
  <c r="M58" i="13" l="1"/>
  <c r="M59" i="13" s="1"/>
  <c r="M38" i="19"/>
  <c r="M39" i="19" s="1"/>
  <c r="N60" i="20"/>
  <c r="O57" i="20" s="1"/>
  <c r="L45" i="19"/>
  <c r="L52" i="19" s="1"/>
  <c r="M46" i="15"/>
  <c r="M52" i="12"/>
  <c r="M53" i="12" s="1"/>
  <c r="M46" i="12"/>
  <c r="L89" i="12"/>
  <c r="L70" i="19"/>
  <c r="L72" i="19" s="1"/>
  <c r="M54" i="15"/>
  <c r="M77" i="15" s="1"/>
  <c r="N39" i="18"/>
  <c r="O35" i="18" s="1"/>
  <c r="O39" i="15"/>
  <c r="P35" i="15" s="1"/>
  <c r="O58" i="15"/>
  <c r="O64" i="15"/>
  <c r="O65" i="15" s="1"/>
  <c r="O66" i="15" s="1"/>
  <c r="P63" i="15" s="1"/>
  <c r="O44" i="15"/>
  <c r="M64" i="13"/>
  <c r="M65" i="13" s="1"/>
  <c r="M66" i="13" s="1"/>
  <c r="N63" i="13" s="1"/>
  <c r="M44" i="13"/>
  <c r="N35" i="13"/>
  <c r="N37" i="13" s="1"/>
  <c r="N38" i="13" s="1"/>
  <c r="N44" i="13" s="1"/>
  <c r="M40" i="13"/>
  <c r="M78" i="13" s="1"/>
  <c r="K89" i="13"/>
  <c r="K13" i="5" s="1"/>
  <c r="O69" i="9"/>
  <c r="N73" i="9"/>
  <c r="N79" i="9" s="1"/>
  <c r="O35" i="10"/>
  <c r="N40" i="10"/>
  <c r="N78" i="10" s="1"/>
  <c r="M69" i="17"/>
  <c r="L73" i="17"/>
  <c r="L79" i="17" s="1"/>
  <c r="P35" i="2"/>
  <c r="O40" i="2"/>
  <c r="O78" i="2" s="1"/>
  <c r="O44" i="9"/>
  <c r="O64" i="9"/>
  <c r="O58" i="9"/>
  <c r="O59" i="9" s="1"/>
  <c r="O60" i="9" s="1"/>
  <c r="P57" i="9" s="1"/>
  <c r="O39" i="9"/>
  <c r="M50" i="20"/>
  <c r="L54" i="20"/>
  <c r="L77" i="20" s="1"/>
  <c r="M50" i="17"/>
  <c r="L54" i="17"/>
  <c r="L77" i="17" s="1"/>
  <c r="M45" i="11"/>
  <c r="N51" i="14"/>
  <c r="L83" i="2"/>
  <c r="L71" i="2"/>
  <c r="L70" i="2" s="1"/>
  <c r="L72" i="2" s="1"/>
  <c r="N52" i="9"/>
  <c r="N53" i="9" s="1"/>
  <c r="N46" i="9"/>
  <c r="L53" i="19"/>
  <c r="N64" i="17"/>
  <c r="N58" i="17"/>
  <c r="N44" i="17"/>
  <c r="O35" i="12"/>
  <c r="N40" i="12"/>
  <c r="N78" i="12" s="1"/>
  <c r="O35" i="20"/>
  <c r="N40" i="20"/>
  <c r="N78" i="20" s="1"/>
  <c r="M76" i="10"/>
  <c r="M80" i="10" s="1"/>
  <c r="M39" i="5"/>
  <c r="O44" i="11"/>
  <c r="O64" i="11"/>
  <c r="O58" i="11"/>
  <c r="O39" i="11"/>
  <c r="M43" i="13"/>
  <c r="L47" i="13"/>
  <c r="L85" i="15"/>
  <c r="L52" i="5"/>
  <c r="L84" i="15"/>
  <c r="L88" i="15"/>
  <c r="L69" i="5" s="1"/>
  <c r="P37" i="14"/>
  <c r="P38" i="14" s="1"/>
  <c r="M83" i="11"/>
  <c r="M71" i="11"/>
  <c r="M70" i="11" s="1"/>
  <c r="M72" i="11" s="1"/>
  <c r="L76" i="18"/>
  <c r="L80" i="18" s="1"/>
  <c r="L40" i="5"/>
  <c r="N64" i="18"/>
  <c r="N65" i="18" s="1"/>
  <c r="N66" i="18" s="1"/>
  <c r="O63" i="18" s="1"/>
  <c r="N58" i="18"/>
  <c r="N44" i="18"/>
  <c r="O58" i="2"/>
  <c r="O44" i="2"/>
  <c r="O64" i="2"/>
  <c r="K44" i="5"/>
  <c r="K45" i="5" s="1"/>
  <c r="N39" i="17"/>
  <c r="N59" i="12"/>
  <c r="N60" i="12" s="1"/>
  <c r="O57" i="12" s="1"/>
  <c r="M73" i="15"/>
  <c r="M79" i="15" s="1"/>
  <c r="M43" i="17"/>
  <c r="L47" i="17"/>
  <c r="M69" i="19"/>
  <c r="L73" i="19"/>
  <c r="L79" i="19" s="1"/>
  <c r="M43" i="20"/>
  <c r="L47" i="20"/>
  <c r="M50" i="13"/>
  <c r="L54" i="13"/>
  <c r="L77" i="13" s="1"/>
  <c r="M89" i="9"/>
  <c r="M14" i="5" s="1"/>
  <c r="O66" i="14"/>
  <c r="P63" i="14" s="1"/>
  <c r="N65" i="20"/>
  <c r="N66" i="20" s="1"/>
  <c r="O63" i="20" s="1"/>
  <c r="M76" i="14"/>
  <c r="M80" i="14" s="1"/>
  <c r="M36" i="5"/>
  <c r="M51" i="18"/>
  <c r="M45" i="18" s="1"/>
  <c r="L46" i="19"/>
  <c r="L45" i="2"/>
  <c r="K86" i="17"/>
  <c r="K87" i="17" s="1"/>
  <c r="K89" i="17" s="1"/>
  <c r="L58" i="5"/>
  <c r="L85" i="11"/>
  <c r="L86" i="11" s="1"/>
  <c r="L87" i="11" s="1"/>
  <c r="L88" i="11"/>
  <c r="L75" i="5" s="1"/>
  <c r="L84" i="11"/>
  <c r="K85" i="19"/>
  <c r="K84" i="19"/>
  <c r="K88" i="19"/>
  <c r="K67" i="5" s="1"/>
  <c r="K50" i="5"/>
  <c r="N44" i="10"/>
  <c r="N51" i="10" s="1"/>
  <c r="N64" i="10"/>
  <c r="N58" i="10"/>
  <c r="K88" i="2"/>
  <c r="K66" i="5" s="1"/>
  <c r="K85" i="2"/>
  <c r="K84" i="2"/>
  <c r="K49" i="5"/>
  <c r="N65" i="12"/>
  <c r="N66" i="12" s="1"/>
  <c r="O63" i="12" s="1"/>
  <c r="W176" i="21"/>
  <c r="W178" i="21" s="1"/>
  <c r="W29" i="21" s="1"/>
  <c r="W83" i="21" s="1"/>
  <c r="W7" i="5" s="1"/>
  <c r="I18" i="5"/>
  <c r="J10" i="5"/>
  <c r="N40" i="18" l="1"/>
  <c r="N78" i="18" s="1"/>
  <c r="K78" i="5"/>
  <c r="K79" i="5" s="1"/>
  <c r="M64" i="19"/>
  <c r="N35" i="19"/>
  <c r="N37" i="19" s="1"/>
  <c r="N38" i="19" s="1"/>
  <c r="N64" i="19" s="1"/>
  <c r="M40" i="19"/>
  <c r="M78" i="19" s="1"/>
  <c r="N43" i="12"/>
  <c r="N51" i="12" s="1"/>
  <c r="N83" i="12" s="1"/>
  <c r="M47" i="12"/>
  <c r="M54" i="12"/>
  <c r="M77" i="12" s="1"/>
  <c r="N50" i="12"/>
  <c r="L89" i="11"/>
  <c r="M58" i="19"/>
  <c r="M59" i="19" s="1"/>
  <c r="M60" i="19" s="1"/>
  <c r="N57" i="19" s="1"/>
  <c r="N43" i="15"/>
  <c r="N51" i="15" s="1"/>
  <c r="N83" i="15" s="1"/>
  <c r="M47" i="15"/>
  <c r="K61" i="5"/>
  <c r="K62" i="5" s="1"/>
  <c r="P39" i="14"/>
  <c r="P40" i="14" s="1"/>
  <c r="P78" i="14" s="1"/>
  <c r="M44" i="19"/>
  <c r="O40" i="15"/>
  <c r="O78" i="15" s="1"/>
  <c r="M52" i="18"/>
  <c r="M46" i="18"/>
  <c r="N43" i="18" s="1"/>
  <c r="P37" i="15"/>
  <c r="P38" i="15" s="1"/>
  <c r="O59" i="15"/>
  <c r="O60" i="15" s="1"/>
  <c r="P57" i="15" s="1"/>
  <c r="N58" i="13"/>
  <c r="N59" i="13" s="1"/>
  <c r="N64" i="13"/>
  <c r="N65" i="13" s="1"/>
  <c r="N66" i="13" s="1"/>
  <c r="O63" i="13" s="1"/>
  <c r="N39" i="13"/>
  <c r="N40" i="13" s="1"/>
  <c r="N78" i="13" s="1"/>
  <c r="N83" i="10"/>
  <c r="N58" i="19"/>
  <c r="N44" i="19"/>
  <c r="N69" i="11"/>
  <c r="M73" i="11"/>
  <c r="M79" i="11" s="1"/>
  <c r="M69" i="2"/>
  <c r="L73" i="2"/>
  <c r="L79" i="2" s="1"/>
  <c r="M53" i="5"/>
  <c r="M84" i="14"/>
  <c r="M88" i="14"/>
  <c r="M70" i="5" s="1"/>
  <c r="M85" i="14"/>
  <c r="M86" i="14" s="1"/>
  <c r="M87" i="14" s="1"/>
  <c r="L52" i="2"/>
  <c r="L53" i="2" s="1"/>
  <c r="L46" i="2"/>
  <c r="M51" i="20"/>
  <c r="N45" i="10"/>
  <c r="N52" i="10" s="1"/>
  <c r="N53" i="10" s="1"/>
  <c r="O65" i="2"/>
  <c r="O66" i="2" s="1"/>
  <c r="P63" i="2" s="1"/>
  <c r="L76" i="13"/>
  <c r="L80" i="13" s="1"/>
  <c r="L37" i="5"/>
  <c r="O59" i="11"/>
  <c r="O60" i="11" s="1"/>
  <c r="P57" i="11" s="1"/>
  <c r="O37" i="20"/>
  <c r="O38" i="20" s="1"/>
  <c r="O50" i="9"/>
  <c r="N54" i="9"/>
  <c r="N77" i="9" s="1"/>
  <c r="M52" i="11"/>
  <c r="M53" i="11" s="1"/>
  <c r="M46" i="11"/>
  <c r="M65" i="19"/>
  <c r="M66" i="19" s="1"/>
  <c r="N63" i="19" s="1"/>
  <c r="P35" i="9"/>
  <c r="O40" i="9"/>
  <c r="O78" i="9" s="1"/>
  <c r="P37" i="2"/>
  <c r="P38" i="2" s="1"/>
  <c r="O37" i="18"/>
  <c r="O38" i="18" s="1"/>
  <c r="N59" i="10"/>
  <c r="N60" i="10" s="1"/>
  <c r="O57" i="10" s="1"/>
  <c r="K86" i="19"/>
  <c r="K87" i="19" s="1"/>
  <c r="M43" i="19"/>
  <c r="L47" i="19"/>
  <c r="M88" i="10"/>
  <c r="M73" i="5" s="1"/>
  <c r="M85" i="10"/>
  <c r="M86" i="10" s="1"/>
  <c r="M87" i="10" s="1"/>
  <c r="M56" i="5"/>
  <c r="M84" i="10"/>
  <c r="L34" i="5"/>
  <c r="L76" i="17"/>
  <c r="L80" i="17" s="1"/>
  <c r="P58" i="14"/>
  <c r="P44" i="14"/>
  <c r="P64" i="14"/>
  <c r="P65" i="14" s="1"/>
  <c r="P66" i="14" s="1"/>
  <c r="Q63" i="14" s="1"/>
  <c r="M51" i="13"/>
  <c r="M83" i="13" s="1"/>
  <c r="O65" i="11"/>
  <c r="N59" i="17"/>
  <c r="N60" i="17" s="1"/>
  <c r="O57" i="17" s="1"/>
  <c r="M50" i="19"/>
  <c r="L54" i="19"/>
  <c r="L77" i="19" s="1"/>
  <c r="O37" i="10"/>
  <c r="K86" i="2"/>
  <c r="K87" i="2" s="1"/>
  <c r="N65" i="10"/>
  <c r="N71" i="10" s="1"/>
  <c r="M83" i="18"/>
  <c r="M71" i="18"/>
  <c r="M70" i="18" s="1"/>
  <c r="M72" i="18" s="1"/>
  <c r="L76" i="20"/>
  <c r="L80" i="20" s="1"/>
  <c r="L43" i="5"/>
  <c r="M51" i="17"/>
  <c r="O35" i="17"/>
  <c r="N40" i="17"/>
  <c r="N78" i="17" s="1"/>
  <c r="O59" i="2"/>
  <c r="O60" i="2" s="1"/>
  <c r="P57" i="2" s="1"/>
  <c r="N59" i="18"/>
  <c r="N60" i="18" s="1"/>
  <c r="O57" i="18" s="1"/>
  <c r="L84" i="18"/>
  <c r="L88" i="18"/>
  <c r="L74" i="5" s="1"/>
  <c r="L85" i="18"/>
  <c r="L57" i="5"/>
  <c r="L86" i="15"/>
  <c r="L87" i="15" s="1"/>
  <c r="L89" i="15" s="1"/>
  <c r="P35" i="11"/>
  <c r="O40" i="11"/>
  <c r="O78" i="11" s="1"/>
  <c r="N45" i="15"/>
  <c r="O37" i="12"/>
  <c r="O38" i="12" s="1"/>
  <c r="N65" i="17"/>
  <c r="N66" i="17" s="1"/>
  <c r="O63" i="17" s="1"/>
  <c r="O43" i="9"/>
  <c r="N47" i="9"/>
  <c r="N83" i="14"/>
  <c r="N71" i="14"/>
  <c r="N70" i="14" s="1"/>
  <c r="N72" i="14" s="1"/>
  <c r="N45" i="14"/>
  <c r="M60" i="13"/>
  <c r="N57" i="13" s="1"/>
  <c r="M53" i="18"/>
  <c r="N51" i="18" s="1"/>
  <c r="O65" i="9"/>
  <c r="O66" i="9" s="1"/>
  <c r="P63" i="9" s="1"/>
  <c r="I17" i="5"/>
  <c r="K11" i="5"/>
  <c r="N71" i="15" l="1"/>
  <c r="N70" i="15" s="1"/>
  <c r="N72" i="15" s="1"/>
  <c r="N39" i="19"/>
  <c r="N46" i="10"/>
  <c r="Q35" i="14"/>
  <c r="N59" i="19"/>
  <c r="N60" i="19" s="1"/>
  <c r="O57" i="19" s="1"/>
  <c r="M35" i="5"/>
  <c r="M76" i="15"/>
  <c r="M80" i="15" s="1"/>
  <c r="M42" i="5"/>
  <c r="M76" i="12"/>
  <c r="M80" i="12" s="1"/>
  <c r="N45" i="12"/>
  <c r="N46" i="12" s="1"/>
  <c r="N71" i="12"/>
  <c r="N70" i="12" s="1"/>
  <c r="N72" i="12" s="1"/>
  <c r="N60" i="13"/>
  <c r="O57" i="13" s="1"/>
  <c r="O35" i="13"/>
  <c r="O37" i="13" s="1"/>
  <c r="M47" i="18"/>
  <c r="M76" i="18" s="1"/>
  <c r="N66" i="10"/>
  <c r="O63" i="10" s="1"/>
  <c r="P39" i="15"/>
  <c r="P58" i="15"/>
  <c r="P59" i="15" s="1"/>
  <c r="P44" i="15"/>
  <c r="P64" i="15"/>
  <c r="P65" i="15" s="1"/>
  <c r="P66" i="15" s="1"/>
  <c r="Q63" i="15" s="1"/>
  <c r="N83" i="18"/>
  <c r="N71" i="18"/>
  <c r="N70" i="18" s="1"/>
  <c r="O69" i="15"/>
  <c r="N73" i="15"/>
  <c r="N79" i="15" s="1"/>
  <c r="N69" i="18"/>
  <c r="M73" i="18"/>
  <c r="M79" i="18" s="1"/>
  <c r="P58" i="2"/>
  <c r="P59" i="2" s="1"/>
  <c r="P64" i="2"/>
  <c r="P65" i="2" s="1"/>
  <c r="P44" i="2"/>
  <c r="P39" i="2"/>
  <c r="O50" i="10"/>
  <c r="N54" i="10"/>
  <c r="N77" i="10" s="1"/>
  <c r="O64" i="20"/>
  <c r="O58" i="20"/>
  <c r="O44" i="20"/>
  <c r="O69" i="14"/>
  <c r="N73" i="14"/>
  <c r="N79" i="14" s="1"/>
  <c r="O44" i="12"/>
  <c r="O64" i="12"/>
  <c r="O58" i="12"/>
  <c r="O39" i="12"/>
  <c r="O37" i="17"/>
  <c r="O38" i="17" s="1"/>
  <c r="N52" i="15"/>
  <c r="N53" i="15" s="1"/>
  <c r="N46" i="15"/>
  <c r="L86" i="18"/>
  <c r="L87" i="18" s="1"/>
  <c r="L89" i="18" s="1"/>
  <c r="L16" i="5" s="1"/>
  <c r="M83" i="17"/>
  <c r="M71" i="17"/>
  <c r="M70" i="17" s="1"/>
  <c r="M72" i="17" s="1"/>
  <c r="M45" i="17"/>
  <c r="K89" i="2"/>
  <c r="K8" i="5" s="1"/>
  <c r="O38" i="10"/>
  <c r="M45" i="13"/>
  <c r="M89" i="10"/>
  <c r="M15" i="5" s="1"/>
  <c r="M51" i="19"/>
  <c r="M83" i="19" s="1"/>
  <c r="M71" i="19"/>
  <c r="N50" i="11"/>
  <c r="M54" i="11"/>
  <c r="M77" i="11" s="1"/>
  <c r="O39" i="20"/>
  <c r="L54" i="5"/>
  <c r="L85" i="13"/>
  <c r="L84" i="13"/>
  <c r="L88" i="13"/>
  <c r="L71" i="5" s="1"/>
  <c r="M83" i="20"/>
  <c r="M71" i="20"/>
  <c r="M70" i="20" s="1"/>
  <c r="M72" i="20" s="1"/>
  <c r="M45" i="20"/>
  <c r="Q37" i="14"/>
  <c r="Q38" i="14" s="1"/>
  <c r="L85" i="20"/>
  <c r="L86" i="20" s="1"/>
  <c r="L87" i="20" s="1"/>
  <c r="L84" i="20"/>
  <c r="L60" i="5"/>
  <c r="L88" i="20"/>
  <c r="L77" i="5" s="1"/>
  <c r="L88" i="17"/>
  <c r="L68" i="5" s="1"/>
  <c r="L85" i="17"/>
  <c r="L51" i="5"/>
  <c r="L84" i="17"/>
  <c r="P59" i="14"/>
  <c r="P60" i="14" s="1"/>
  <c r="Q57" i="14" s="1"/>
  <c r="N70" i="10"/>
  <c r="N72" i="10" s="1"/>
  <c r="N65" i="19"/>
  <c r="N66" i="19" s="1"/>
  <c r="O63" i="19" s="1"/>
  <c r="O35" i="19"/>
  <c r="N40" i="19"/>
  <c r="N78" i="19" s="1"/>
  <c r="M43" i="2"/>
  <c r="L47" i="2"/>
  <c r="M89" i="14"/>
  <c r="N50" i="18"/>
  <c r="M54" i="18"/>
  <c r="M77" i="18" s="1"/>
  <c r="N76" i="9"/>
  <c r="N80" i="9" s="1"/>
  <c r="N38" i="5"/>
  <c r="N52" i="14"/>
  <c r="N53" i="14" s="1"/>
  <c r="N46" i="14"/>
  <c r="O51" i="9"/>
  <c r="P37" i="11"/>
  <c r="P38" i="11" s="1"/>
  <c r="O43" i="10"/>
  <c r="N47" i="10"/>
  <c r="L76" i="19"/>
  <c r="L80" i="19" s="1"/>
  <c r="L33" i="5"/>
  <c r="K89" i="19"/>
  <c r="O58" i="18"/>
  <c r="O59" i="18" s="1"/>
  <c r="O64" i="18"/>
  <c r="O44" i="18"/>
  <c r="O39" i="18"/>
  <c r="P37" i="9"/>
  <c r="P38" i="9" s="1"/>
  <c r="N43" i="11"/>
  <c r="M47" i="11"/>
  <c r="M71" i="13"/>
  <c r="M70" i="13" s="1"/>
  <c r="M72" i="13" s="1"/>
  <c r="M50" i="2"/>
  <c r="L54" i="2"/>
  <c r="L77" i="2" s="1"/>
  <c r="O66" i="11"/>
  <c r="P63" i="11" s="1"/>
  <c r="L11" i="5"/>
  <c r="J12" i="5"/>
  <c r="O69" i="12" l="1"/>
  <c r="N73" i="12"/>
  <c r="N79" i="12" s="1"/>
  <c r="L89" i="20"/>
  <c r="M45" i="19"/>
  <c r="M52" i="19" s="1"/>
  <c r="M53" i="19" s="1"/>
  <c r="N52" i="12"/>
  <c r="N53" i="12" s="1"/>
  <c r="P60" i="15"/>
  <c r="Q57" i="15" s="1"/>
  <c r="Q39" i="14"/>
  <c r="R35" i="14" s="1"/>
  <c r="R37" i="14" s="1"/>
  <c r="R38" i="14" s="1"/>
  <c r="M85" i="12"/>
  <c r="M86" i="12" s="1"/>
  <c r="M87" i="12" s="1"/>
  <c r="M59" i="5"/>
  <c r="M84" i="12"/>
  <c r="M88" i="12"/>
  <c r="M76" i="5" s="1"/>
  <c r="M70" i="19"/>
  <c r="M72" i="19" s="1"/>
  <c r="N69" i="19" s="1"/>
  <c r="M88" i="15"/>
  <c r="M69" i="5" s="1"/>
  <c r="M85" i="15"/>
  <c r="M86" i="15" s="1"/>
  <c r="M87" i="15" s="1"/>
  <c r="M84" i="15"/>
  <c r="M52" i="5"/>
  <c r="M40" i="5"/>
  <c r="P40" i="15"/>
  <c r="P78" i="15" s="1"/>
  <c r="Q35" i="15"/>
  <c r="Q37" i="15" s="1"/>
  <c r="Q38" i="15" s="1"/>
  <c r="Q64" i="15" s="1"/>
  <c r="O38" i="13"/>
  <c r="O39" i="13" s="1"/>
  <c r="P60" i="2"/>
  <c r="Q57" i="2" s="1"/>
  <c r="N69" i="13"/>
  <c r="M73" i="13"/>
  <c r="M79" i="13" s="1"/>
  <c r="N69" i="20"/>
  <c r="M73" i="20"/>
  <c r="M79" i="20" s="1"/>
  <c r="P64" i="9"/>
  <c r="P58" i="9"/>
  <c r="P44" i="9"/>
  <c r="P39" i="9"/>
  <c r="O58" i="17"/>
  <c r="O44" i="17"/>
  <c r="O64" i="17"/>
  <c r="P64" i="11"/>
  <c r="P65" i="11" s="1"/>
  <c r="P58" i="11"/>
  <c r="P44" i="11"/>
  <c r="M76" i="11"/>
  <c r="M80" i="11" s="1"/>
  <c r="M41" i="5"/>
  <c r="O65" i="18"/>
  <c r="P39" i="11"/>
  <c r="O83" i="9"/>
  <c r="O43" i="14"/>
  <c r="N47" i="14"/>
  <c r="N88" i="9"/>
  <c r="N72" i="5" s="1"/>
  <c r="N85" i="9"/>
  <c r="N55" i="5"/>
  <c r="N84" i="9"/>
  <c r="O71" i="9"/>
  <c r="O70" i="9" s="1"/>
  <c r="O72" i="9" s="1"/>
  <c r="L76" i="2"/>
  <c r="L80" i="2" s="1"/>
  <c r="L32" i="5"/>
  <c r="L44" i="5" s="1"/>
  <c r="L45" i="5" s="1"/>
  <c r="L86" i="17"/>
  <c r="L87" i="17" s="1"/>
  <c r="L89" i="17" s="1"/>
  <c r="Q64" i="14"/>
  <c r="Q58" i="14"/>
  <c r="Q59" i="14" s="1"/>
  <c r="Q44" i="14"/>
  <c r="M52" i="20"/>
  <c r="M53" i="20" s="1"/>
  <c r="M46" i="20"/>
  <c r="P35" i="20"/>
  <c r="O40" i="20"/>
  <c r="O78" i="20" s="1"/>
  <c r="O43" i="12"/>
  <c r="N47" i="12"/>
  <c r="O50" i="15"/>
  <c r="N54" i="15"/>
  <c r="N77" i="15" s="1"/>
  <c r="O39" i="17"/>
  <c r="P35" i="12"/>
  <c r="O40" i="12"/>
  <c r="O78" i="12" s="1"/>
  <c r="O65" i="20"/>
  <c r="O66" i="20" s="1"/>
  <c r="P63" i="20" s="1"/>
  <c r="Q35" i="2"/>
  <c r="P40" i="2"/>
  <c r="P78" i="2" s="1"/>
  <c r="N72" i="18"/>
  <c r="O69" i="18" s="1"/>
  <c r="P66" i="2"/>
  <c r="Q63" i="2" s="1"/>
  <c r="N51" i="11"/>
  <c r="P35" i="18"/>
  <c r="O40" i="18"/>
  <c r="O78" i="18" s="1"/>
  <c r="L50" i="5"/>
  <c r="L88" i="19"/>
  <c r="L67" i="5" s="1"/>
  <c r="L84" i="19"/>
  <c r="L85" i="19"/>
  <c r="L86" i="19" s="1"/>
  <c r="L87" i="19" s="1"/>
  <c r="O45" i="9"/>
  <c r="O50" i="14"/>
  <c r="N54" i="14"/>
  <c r="N77" i="14" s="1"/>
  <c r="M51" i="2"/>
  <c r="O69" i="10"/>
  <c r="N73" i="10"/>
  <c r="N79" i="10" s="1"/>
  <c r="L86" i="13"/>
  <c r="L87" i="13" s="1"/>
  <c r="M46" i="19"/>
  <c r="O50" i="12"/>
  <c r="N54" i="12"/>
  <c r="N77" i="12" s="1"/>
  <c r="M52" i="17"/>
  <c r="M53" i="17" s="1"/>
  <c r="M46" i="17"/>
  <c r="O59" i="12"/>
  <c r="O60" i="12" s="1"/>
  <c r="P57" i="12" s="1"/>
  <c r="O60" i="18"/>
  <c r="P57" i="18" s="1"/>
  <c r="N76" i="10"/>
  <c r="N39" i="5"/>
  <c r="N45" i="18"/>
  <c r="O37" i="19"/>
  <c r="O38" i="19" s="1"/>
  <c r="O39" i="19" s="1"/>
  <c r="Q60" i="14"/>
  <c r="R57" i="14" s="1"/>
  <c r="M52" i="13"/>
  <c r="M53" i="13" s="1"/>
  <c r="M46" i="13"/>
  <c r="O64" i="10"/>
  <c r="O58" i="10"/>
  <c r="O44" i="10"/>
  <c r="N69" i="17"/>
  <c r="M73" i="17"/>
  <c r="M79" i="17" s="1"/>
  <c r="O43" i="15"/>
  <c r="N47" i="15"/>
  <c r="O65" i="12"/>
  <c r="O59" i="20"/>
  <c r="O60" i="20" s="1"/>
  <c r="P57" i="20" s="1"/>
  <c r="M80" i="18"/>
  <c r="O39" i="10"/>
  <c r="K10" i="5"/>
  <c r="I19" i="5"/>
  <c r="Q40" i="14" l="1"/>
  <c r="Q78" i="14" s="1"/>
  <c r="M89" i="15"/>
  <c r="R39" i="14"/>
  <c r="S35" i="14" s="1"/>
  <c r="M73" i="19"/>
  <c r="M79" i="19" s="1"/>
  <c r="M89" i="12"/>
  <c r="O44" i="13"/>
  <c r="O58" i="13"/>
  <c r="O59" i="13" s="1"/>
  <c r="O60" i="13" s="1"/>
  <c r="P57" i="13" s="1"/>
  <c r="Q39" i="15"/>
  <c r="R35" i="15" s="1"/>
  <c r="Q44" i="15"/>
  <c r="Q58" i="15"/>
  <c r="Q59" i="15" s="1"/>
  <c r="Q60" i="15" s="1"/>
  <c r="R57" i="15" s="1"/>
  <c r="O64" i="13"/>
  <c r="O65" i="13" s="1"/>
  <c r="O66" i="13" s="1"/>
  <c r="P63" i="13" s="1"/>
  <c r="O40" i="13"/>
  <c r="O78" i="13" s="1"/>
  <c r="P35" i="13"/>
  <c r="P37" i="13" s="1"/>
  <c r="P35" i="19"/>
  <c r="O40" i="19"/>
  <c r="O78" i="19" s="1"/>
  <c r="P69" i="9"/>
  <c r="O73" i="9"/>
  <c r="O79" i="9" s="1"/>
  <c r="O51" i="15"/>
  <c r="R64" i="14"/>
  <c r="R58" i="14"/>
  <c r="R59" i="14" s="1"/>
  <c r="R44" i="14"/>
  <c r="N43" i="19"/>
  <c r="M47" i="19"/>
  <c r="P35" i="17"/>
  <c r="O40" i="17"/>
  <c r="O78" i="17" s="1"/>
  <c r="P37" i="20"/>
  <c r="P38" i="20" s="1"/>
  <c r="N86" i="9"/>
  <c r="N87" i="9" s="1"/>
  <c r="O51" i="14"/>
  <c r="O45" i="14" s="1"/>
  <c r="Q35" i="11"/>
  <c r="P40" i="11"/>
  <c r="P78" i="11" s="1"/>
  <c r="M84" i="11"/>
  <c r="M58" i="5"/>
  <c r="M85" i="11"/>
  <c r="M88" i="11"/>
  <c r="M75" i="5" s="1"/>
  <c r="O59" i="17"/>
  <c r="O60" i="17" s="1"/>
  <c r="P57" i="17" s="1"/>
  <c r="P59" i="9"/>
  <c r="P60" i="9" s="1"/>
  <c r="Q57" i="9" s="1"/>
  <c r="Q65" i="14"/>
  <c r="Q66" i="14" s="1"/>
  <c r="R63" i="14" s="1"/>
  <c r="N43" i="17"/>
  <c r="M47" i="17"/>
  <c r="P37" i="18"/>
  <c r="P38" i="18" s="1"/>
  <c r="P59" i="11"/>
  <c r="P60" i="11" s="1"/>
  <c r="Q57" i="11" s="1"/>
  <c r="O65" i="17"/>
  <c r="O66" i="17" s="1"/>
  <c r="P63" i="17" s="1"/>
  <c r="P65" i="9"/>
  <c r="P66" i="9" s="1"/>
  <c r="Q63" i="9" s="1"/>
  <c r="N43" i="13"/>
  <c r="M47" i="13"/>
  <c r="O58" i="19"/>
  <c r="O64" i="19"/>
  <c r="O44" i="19"/>
  <c r="N76" i="12"/>
  <c r="N80" i="12" s="1"/>
  <c r="N42" i="5"/>
  <c r="P35" i="10"/>
  <c r="O40" i="10"/>
  <c r="O78" i="10" s="1"/>
  <c r="O66" i="12"/>
  <c r="P63" i="12" s="1"/>
  <c r="O59" i="10"/>
  <c r="O60" i="10" s="1"/>
  <c r="P57" i="10" s="1"/>
  <c r="N50" i="13"/>
  <c r="M54" i="13"/>
  <c r="M77" i="13" s="1"/>
  <c r="N52" i="18"/>
  <c r="N53" i="18" s="1"/>
  <c r="N46" i="18"/>
  <c r="L89" i="13"/>
  <c r="L13" i="5" s="1"/>
  <c r="O51" i="12"/>
  <c r="O83" i="12" s="1"/>
  <c r="N43" i="20"/>
  <c r="M47" i="20"/>
  <c r="O66" i="18"/>
  <c r="P63" i="18" s="1"/>
  <c r="Q35" i="9"/>
  <c r="P40" i="9"/>
  <c r="P78" i="9" s="1"/>
  <c r="M88" i="18"/>
  <c r="M74" i="5" s="1"/>
  <c r="M57" i="5"/>
  <c r="M85" i="18"/>
  <c r="M84" i="18"/>
  <c r="N76" i="15"/>
  <c r="N80" i="15" s="1"/>
  <c r="N35" i="5"/>
  <c r="O65" i="10"/>
  <c r="N50" i="17"/>
  <c r="M54" i="17"/>
  <c r="M77" i="17" s="1"/>
  <c r="N50" i="19"/>
  <c r="M54" i="19"/>
  <c r="M77" i="19" s="1"/>
  <c r="N80" i="10"/>
  <c r="M83" i="2"/>
  <c r="M71" i="2"/>
  <c r="M70" i="2" s="1"/>
  <c r="M72" i="2" s="1"/>
  <c r="M45" i="2"/>
  <c r="O52" i="9"/>
  <c r="O53" i="9" s="1"/>
  <c r="O46" i="9"/>
  <c r="L89" i="19"/>
  <c r="N83" i="11"/>
  <c r="N71" i="11"/>
  <c r="N70" i="11" s="1"/>
  <c r="N72" i="11" s="1"/>
  <c r="N45" i="11"/>
  <c r="P66" i="11"/>
  <c r="Q63" i="11" s="1"/>
  <c r="N73" i="18"/>
  <c r="N79" i="18" s="1"/>
  <c r="Q37" i="2"/>
  <c r="P37" i="12"/>
  <c r="P38" i="12" s="1"/>
  <c r="N50" i="20"/>
  <c r="M54" i="20"/>
  <c r="M77" i="20" s="1"/>
  <c r="L49" i="5"/>
  <c r="L61" i="5" s="1"/>
  <c r="L62" i="5" s="1"/>
  <c r="L84" i="2"/>
  <c r="L88" i="2"/>
  <c r="L66" i="5" s="1"/>
  <c r="L78" i="5" s="1"/>
  <c r="L79" i="5" s="1"/>
  <c r="L85" i="2"/>
  <c r="N76" i="14"/>
  <c r="N80" i="14" s="1"/>
  <c r="N36" i="5"/>
  <c r="O51" i="10"/>
  <c r="O45" i="10" s="1"/>
  <c r="Q65" i="15"/>
  <c r="Q66" i="15" s="1"/>
  <c r="R63" i="15" s="1"/>
  <c r="J18" i="5"/>
  <c r="I9" i="5"/>
  <c r="Q40" i="15" l="1"/>
  <c r="Q78" i="15" s="1"/>
  <c r="R40" i="14"/>
  <c r="R78" i="14" s="1"/>
  <c r="O45" i="12"/>
  <c r="O52" i="12" s="1"/>
  <c r="I20" i="5"/>
  <c r="P39" i="18"/>
  <c r="Q35" i="18" s="1"/>
  <c r="P38" i="13"/>
  <c r="P39" i="13" s="1"/>
  <c r="Q38" i="2"/>
  <c r="Q39" i="2" s="1"/>
  <c r="O52" i="10"/>
  <c r="O53" i="10" s="1"/>
  <c r="O46" i="10"/>
  <c r="P64" i="12"/>
  <c r="P65" i="12" s="1"/>
  <c r="P66" i="12" s="1"/>
  <c r="Q63" i="12" s="1"/>
  <c r="P58" i="12"/>
  <c r="P44" i="12"/>
  <c r="O52" i="14"/>
  <c r="O53" i="14" s="1"/>
  <c r="O46" i="14"/>
  <c r="P43" i="9"/>
  <c r="O47" i="9"/>
  <c r="R37" i="15"/>
  <c r="R38" i="15" s="1"/>
  <c r="N53" i="5"/>
  <c r="N85" i="14"/>
  <c r="N86" i="14" s="1"/>
  <c r="N87" i="14" s="1"/>
  <c r="N84" i="14"/>
  <c r="N88" i="14"/>
  <c r="N70" i="5" s="1"/>
  <c r="P39" i="12"/>
  <c r="M52" i="2"/>
  <c r="M53" i="2" s="1"/>
  <c r="M46" i="2"/>
  <c r="N84" i="15"/>
  <c r="N88" i="15"/>
  <c r="N69" i="5" s="1"/>
  <c r="N52" i="5"/>
  <c r="N85" i="15"/>
  <c r="N86" i="15" s="1"/>
  <c r="N87" i="15" s="1"/>
  <c r="M76" i="20"/>
  <c r="M80" i="20" s="1"/>
  <c r="M43" i="5"/>
  <c r="O46" i="12"/>
  <c r="O53" i="12"/>
  <c r="O50" i="18"/>
  <c r="N54" i="18"/>
  <c r="N77" i="18" s="1"/>
  <c r="O65" i="19"/>
  <c r="N51" i="13"/>
  <c r="N51" i="17"/>
  <c r="O71" i="12"/>
  <c r="O70" i="12" s="1"/>
  <c r="O72" i="12" s="1"/>
  <c r="Q37" i="11"/>
  <c r="Q38" i="11"/>
  <c r="P37" i="17"/>
  <c r="P38" i="17" s="1"/>
  <c r="O83" i="15"/>
  <c r="O71" i="15"/>
  <c r="O70" i="15" s="1"/>
  <c r="O72" i="15" s="1"/>
  <c r="O69" i="11"/>
  <c r="N73" i="11"/>
  <c r="N79" i="11" s="1"/>
  <c r="O71" i="10"/>
  <c r="O70" i="10" s="1"/>
  <c r="O72" i="10" s="1"/>
  <c r="N51" i="20"/>
  <c r="P37" i="10"/>
  <c r="P38" i="10" s="1"/>
  <c r="N88" i="12"/>
  <c r="N76" i="5" s="1"/>
  <c r="N85" i="12"/>
  <c r="N59" i="5"/>
  <c r="N84" i="12"/>
  <c r="O59" i="19"/>
  <c r="P44" i="18"/>
  <c r="P64" i="18"/>
  <c r="P65" i="18" s="1"/>
  <c r="P66" i="18" s="1"/>
  <c r="Q63" i="18" s="1"/>
  <c r="P58" i="18"/>
  <c r="R65" i="14"/>
  <c r="R66" i="14" s="1"/>
  <c r="S63" i="14" s="1"/>
  <c r="M86" i="11"/>
  <c r="O83" i="14"/>
  <c r="O71" i="14"/>
  <c r="O70" i="14" s="1"/>
  <c r="O72" i="14" s="1"/>
  <c r="P64" i="20"/>
  <c r="P58" i="20"/>
  <c r="P44" i="20"/>
  <c r="P39" i="20"/>
  <c r="M33" i="5"/>
  <c r="M76" i="19"/>
  <c r="M80" i="19" s="1"/>
  <c r="O83" i="10"/>
  <c r="L86" i="2"/>
  <c r="L87" i="2" s="1"/>
  <c r="N69" i="2"/>
  <c r="M73" i="2"/>
  <c r="M79" i="2" s="1"/>
  <c r="N84" i="10"/>
  <c r="N56" i="5"/>
  <c r="N85" i="10"/>
  <c r="N86" i="10" s="1"/>
  <c r="N87" i="10" s="1"/>
  <c r="N88" i="10"/>
  <c r="N73" i="5" s="1"/>
  <c r="N52" i="11"/>
  <c r="N53" i="11" s="1"/>
  <c r="N46" i="11"/>
  <c r="P50" i="9"/>
  <c r="O54" i="9"/>
  <c r="O77" i="9" s="1"/>
  <c r="O66" i="10"/>
  <c r="P63" i="10" s="1"/>
  <c r="M86" i="18"/>
  <c r="M87" i="18" s="1"/>
  <c r="Q37" i="9"/>
  <c r="Q38" i="9" s="1"/>
  <c r="O43" i="18"/>
  <c r="N47" i="18"/>
  <c r="M37" i="5"/>
  <c r="M76" i="13"/>
  <c r="M80" i="13" s="1"/>
  <c r="M76" i="17"/>
  <c r="M80" i="17" s="1"/>
  <c r="M34" i="5"/>
  <c r="R60" i="14"/>
  <c r="S57" i="14" s="1"/>
  <c r="N89" i="9"/>
  <c r="N14" i="5" s="1"/>
  <c r="N51" i="19"/>
  <c r="O45" i="15"/>
  <c r="S37" i="14"/>
  <c r="S38" i="14" s="1"/>
  <c r="P37" i="19"/>
  <c r="Q44" i="2" l="1"/>
  <c r="P40" i="18"/>
  <c r="P78" i="18" s="1"/>
  <c r="Q64" i="2"/>
  <c r="Q65" i="2" s="1"/>
  <c r="N89" i="14"/>
  <c r="I29" i="5"/>
  <c r="I26" i="5"/>
  <c r="P44" i="13"/>
  <c r="P58" i="13"/>
  <c r="P59" i="13" s="1"/>
  <c r="P64" i="13"/>
  <c r="P65" i="13" s="1"/>
  <c r="P66" i="13" s="1"/>
  <c r="Q63" i="13" s="1"/>
  <c r="P39" i="10"/>
  <c r="Q35" i="10" s="1"/>
  <c r="P40" i="13"/>
  <c r="P78" i="13" s="1"/>
  <c r="Q35" i="13"/>
  <c r="Q37" i="13" s="1"/>
  <c r="Q38" i="13" s="1"/>
  <c r="Q58" i="2"/>
  <c r="Q59" i="2" s="1"/>
  <c r="Q60" i="2" s="1"/>
  <c r="R57" i="2" s="1"/>
  <c r="Q40" i="2"/>
  <c r="Q78" i="2" s="1"/>
  <c r="R35" i="2"/>
  <c r="R37" i="2" s="1"/>
  <c r="S58" i="14"/>
  <c r="S59" i="14" s="1"/>
  <c r="S44" i="14"/>
  <c r="S64" i="14"/>
  <c r="S39" i="14"/>
  <c r="Q44" i="9"/>
  <c r="Q58" i="9"/>
  <c r="Q64" i="9"/>
  <c r="P64" i="17"/>
  <c r="P44" i="17"/>
  <c r="P58" i="17"/>
  <c r="P69" i="12"/>
  <c r="O73" i="12"/>
  <c r="O79" i="12" s="1"/>
  <c r="P69" i="14"/>
  <c r="O73" i="14"/>
  <c r="O79" i="14" s="1"/>
  <c r="P69" i="15"/>
  <c r="O73" i="15"/>
  <c r="O79" i="15" s="1"/>
  <c r="R58" i="15"/>
  <c r="R44" i="15"/>
  <c r="R64" i="15"/>
  <c r="O52" i="15"/>
  <c r="O53" i="15" s="1"/>
  <c r="O46" i="15"/>
  <c r="Q39" i="9"/>
  <c r="O43" i="11"/>
  <c r="N47" i="11"/>
  <c r="P50" i="10"/>
  <c r="O54" i="10"/>
  <c r="O77" i="10" s="1"/>
  <c r="P59" i="18"/>
  <c r="P60" i="18" s="1"/>
  <c r="Q57" i="18" s="1"/>
  <c r="P44" i="10"/>
  <c r="P64" i="10"/>
  <c r="P65" i="10" s="1"/>
  <c r="P58" i="10"/>
  <c r="N83" i="20"/>
  <c r="N71" i="20"/>
  <c r="N70" i="20" s="1"/>
  <c r="N72" i="20" s="1"/>
  <c r="N83" i="17"/>
  <c r="N71" i="17"/>
  <c r="N70" i="17" s="1"/>
  <c r="N72" i="17" s="1"/>
  <c r="M84" i="20"/>
  <c r="M60" i="5"/>
  <c r="M85" i="20"/>
  <c r="M88" i="20"/>
  <c r="M77" i="5" s="1"/>
  <c r="P51" i="9"/>
  <c r="P45" i="9" s="1"/>
  <c r="Q37" i="18"/>
  <c r="Q38" i="18" s="1"/>
  <c r="P43" i="10"/>
  <c r="O47" i="10"/>
  <c r="P38" i="19"/>
  <c r="N83" i="19"/>
  <c r="N71" i="19"/>
  <c r="N70" i="19" s="1"/>
  <c r="N72" i="19" s="1"/>
  <c r="N45" i="19"/>
  <c r="O50" i="11"/>
  <c r="N54" i="11"/>
  <c r="N77" i="11" s="1"/>
  <c r="P59" i="20"/>
  <c r="P60" i="20" s="1"/>
  <c r="Q57" i="20" s="1"/>
  <c r="M87" i="11"/>
  <c r="M89" i="11" s="1"/>
  <c r="P39" i="17"/>
  <c r="N45" i="17"/>
  <c r="O66" i="19"/>
  <c r="P63" i="19" s="1"/>
  <c r="P43" i="12"/>
  <c r="O47" i="12"/>
  <c r="N89" i="15"/>
  <c r="N50" i="2"/>
  <c r="M54" i="2"/>
  <c r="M77" i="2" s="1"/>
  <c r="L89" i="2"/>
  <c r="L8" i="5" s="1"/>
  <c r="R39" i="15"/>
  <c r="P59" i="12"/>
  <c r="P60" i="12" s="1"/>
  <c r="Q57" i="12" s="1"/>
  <c r="M84" i="17"/>
  <c r="M88" i="17"/>
  <c r="M68" i="5" s="1"/>
  <c r="M85" i="17"/>
  <c r="M51" i="5"/>
  <c r="O51" i="18"/>
  <c r="M84" i="19"/>
  <c r="M88" i="19"/>
  <c r="M67" i="5" s="1"/>
  <c r="M50" i="5"/>
  <c r="M85" i="19"/>
  <c r="N86" i="12"/>
  <c r="N87" i="12" s="1"/>
  <c r="N89" i="12" s="1"/>
  <c r="Q64" i="11"/>
  <c r="Q58" i="11"/>
  <c r="Q44" i="11"/>
  <c r="Q39" i="11"/>
  <c r="P50" i="14"/>
  <c r="O54" i="14"/>
  <c r="O77" i="14" s="1"/>
  <c r="N43" i="2"/>
  <c r="M47" i="2"/>
  <c r="Q35" i="12"/>
  <c r="P40" i="12"/>
  <c r="P78" i="12" s="1"/>
  <c r="P43" i="14"/>
  <c r="O47" i="14"/>
  <c r="M85" i="13"/>
  <c r="M86" i="13" s="1"/>
  <c r="M87" i="13" s="1"/>
  <c r="M84" i="13"/>
  <c r="M54" i="5"/>
  <c r="M88" i="13"/>
  <c r="M71" i="5" s="1"/>
  <c r="N76" i="18"/>
  <c r="N80" i="18" s="1"/>
  <c r="N40" i="5"/>
  <c r="M89" i="18"/>
  <c r="M16" i="5" s="1"/>
  <c r="N89" i="10"/>
  <c r="N15" i="5" s="1"/>
  <c r="Q35" i="20"/>
  <c r="P40" i="20"/>
  <c r="P78" i="20" s="1"/>
  <c r="P65" i="20"/>
  <c r="S65" i="14"/>
  <c r="S66" i="14" s="1"/>
  <c r="T63" i="14" s="1"/>
  <c r="O60" i="19"/>
  <c r="P57" i="19" s="1"/>
  <c r="P69" i="10"/>
  <c r="O73" i="10"/>
  <c r="O79" i="10" s="1"/>
  <c r="N45" i="20"/>
  <c r="N83" i="13"/>
  <c r="N71" i="13"/>
  <c r="N70" i="13" s="1"/>
  <c r="N72" i="13" s="1"/>
  <c r="N45" i="13"/>
  <c r="P50" i="12"/>
  <c r="O54" i="12"/>
  <c r="O77" i="12" s="1"/>
  <c r="O76" i="9"/>
  <c r="O80" i="9" s="1"/>
  <c r="O38" i="5"/>
  <c r="K12" i="5"/>
  <c r="J17" i="5"/>
  <c r="K18" i="5"/>
  <c r="M11" i="5"/>
  <c r="S60" i="14" l="1"/>
  <c r="T57" i="14" s="1"/>
  <c r="P60" i="13"/>
  <c r="Q57" i="13" s="1"/>
  <c r="P40" i="10"/>
  <c r="P78" i="10" s="1"/>
  <c r="Q44" i="13"/>
  <c r="Q58" i="13"/>
  <c r="Q59" i="13" s="1"/>
  <c r="Q64" i="13"/>
  <c r="Q39" i="13"/>
  <c r="O69" i="13"/>
  <c r="N73" i="13"/>
  <c r="N79" i="13" s="1"/>
  <c r="Q64" i="18"/>
  <c r="Q58" i="18"/>
  <c r="Q59" i="18" s="1"/>
  <c r="Q60" i="18" s="1"/>
  <c r="R57" i="18" s="1"/>
  <c r="Q44" i="18"/>
  <c r="O69" i="20"/>
  <c r="N73" i="20"/>
  <c r="N79" i="20" s="1"/>
  <c r="O69" i="19"/>
  <c r="N73" i="19"/>
  <c r="N79" i="19" s="1"/>
  <c r="P52" i="9"/>
  <c r="P53" i="9" s="1"/>
  <c r="P46" i="9"/>
  <c r="M32" i="5"/>
  <c r="M44" i="5" s="1"/>
  <c r="M45" i="5" s="1"/>
  <c r="M76" i="2"/>
  <c r="M80" i="2" s="1"/>
  <c r="Q59" i="11"/>
  <c r="M86" i="19"/>
  <c r="M87" i="19" s="1"/>
  <c r="M89" i="19" s="1"/>
  <c r="S35" i="15"/>
  <c r="R40" i="15"/>
  <c r="R78" i="15" s="1"/>
  <c r="O76" i="12"/>
  <c r="O42" i="5"/>
  <c r="Q35" i="17"/>
  <c r="P40" i="17"/>
  <c r="P78" i="17" s="1"/>
  <c r="N52" i="19"/>
  <c r="N53" i="19" s="1"/>
  <c r="N46" i="19"/>
  <c r="P51" i="10"/>
  <c r="P83" i="10" s="1"/>
  <c r="Q39" i="18"/>
  <c r="R35" i="9"/>
  <c r="Q40" i="9"/>
  <c r="Q78" i="9" s="1"/>
  <c r="P65" i="17"/>
  <c r="P66" i="17" s="1"/>
  <c r="Q63" i="17" s="1"/>
  <c r="O84" i="9"/>
  <c r="O55" i="5"/>
  <c r="O88" i="9"/>
  <c r="O72" i="5" s="1"/>
  <c r="O85" i="9"/>
  <c r="P51" i="14"/>
  <c r="P45" i="14" s="1"/>
  <c r="P52" i="14" s="1"/>
  <c r="P53" i="14" s="1"/>
  <c r="N85" i="18"/>
  <c r="N84" i="18"/>
  <c r="N88" i="18"/>
  <c r="N74" i="5" s="1"/>
  <c r="N57" i="5"/>
  <c r="M89" i="13"/>
  <c r="M13" i="5" s="1"/>
  <c r="N51" i="2"/>
  <c r="N45" i="2" s="1"/>
  <c r="N52" i="2" s="1"/>
  <c r="R35" i="11"/>
  <c r="Q40" i="11"/>
  <c r="Q78" i="11" s="1"/>
  <c r="Q65" i="11"/>
  <c r="Q66" i="11" s="1"/>
  <c r="R63" i="11" s="1"/>
  <c r="P66" i="10"/>
  <c r="Q63" i="10" s="1"/>
  <c r="M86" i="17"/>
  <c r="M87" i="17" s="1"/>
  <c r="P51" i="12"/>
  <c r="P64" i="19"/>
  <c r="P65" i="19" s="1"/>
  <c r="P58" i="19"/>
  <c r="P59" i="19" s="1"/>
  <c r="P44" i="19"/>
  <c r="M86" i="20"/>
  <c r="M87" i="20" s="1"/>
  <c r="P59" i="10"/>
  <c r="N76" i="11"/>
  <c r="N80" i="11" s="1"/>
  <c r="N41" i="5"/>
  <c r="P43" i="15"/>
  <c r="O47" i="15"/>
  <c r="Q37" i="10"/>
  <c r="Q38" i="10" s="1"/>
  <c r="R59" i="15"/>
  <c r="R60" i="15" s="1"/>
  <c r="S57" i="15" s="1"/>
  <c r="P59" i="17"/>
  <c r="P60" i="17" s="1"/>
  <c r="Q57" i="17" s="1"/>
  <c r="Q65" i="9"/>
  <c r="Q66" i="9" s="1"/>
  <c r="R63" i="9" s="1"/>
  <c r="T35" i="14"/>
  <c r="S40" i="14"/>
  <c r="S78" i="14" s="1"/>
  <c r="N52" i="13"/>
  <c r="N53" i="13" s="1"/>
  <c r="N46" i="13"/>
  <c r="R38" i="2"/>
  <c r="N52" i="20"/>
  <c r="N53" i="20" s="1"/>
  <c r="N46" i="20"/>
  <c r="P66" i="20"/>
  <c r="Q63" i="20" s="1"/>
  <c r="Q37" i="20"/>
  <c r="Q38" i="20" s="1"/>
  <c r="O76" i="14"/>
  <c r="O80" i="14" s="1"/>
  <c r="O36" i="5"/>
  <c r="Q37" i="12"/>
  <c r="Q38" i="12" s="1"/>
  <c r="O83" i="18"/>
  <c r="O71" i="18"/>
  <c r="O70" i="18" s="1"/>
  <c r="O72" i="18" s="1"/>
  <c r="O45" i="18"/>
  <c r="N52" i="17"/>
  <c r="N53" i="17" s="1"/>
  <c r="N46" i="17"/>
  <c r="Q66" i="2"/>
  <c r="R63" i="2" s="1"/>
  <c r="O76" i="10"/>
  <c r="O80" i="10" s="1"/>
  <c r="O39" i="5"/>
  <c r="P83" i="9"/>
  <c r="P71" i="9"/>
  <c r="P70" i="9" s="1"/>
  <c r="P72" i="9" s="1"/>
  <c r="O69" i="17"/>
  <c r="N73" i="17"/>
  <c r="N79" i="17" s="1"/>
  <c r="O51" i="11"/>
  <c r="O45" i="11" s="1"/>
  <c r="O52" i="11" s="1"/>
  <c r="P50" i="15"/>
  <c r="O54" i="15"/>
  <c r="O77" i="15" s="1"/>
  <c r="R65" i="15"/>
  <c r="O80" i="12"/>
  <c r="Q59" i="9"/>
  <c r="Q60" i="9" s="1"/>
  <c r="R57" i="9" s="1"/>
  <c r="P39" i="19"/>
  <c r="J9" i="5"/>
  <c r="P60" i="19" l="1"/>
  <c r="Q57" i="19" s="1"/>
  <c r="P66" i="19"/>
  <c r="Q63" i="19" s="1"/>
  <c r="M89" i="17"/>
  <c r="N53" i="2"/>
  <c r="N54" i="2" s="1"/>
  <c r="N77" i="2" s="1"/>
  <c r="O85" i="14"/>
  <c r="O84" i="14"/>
  <c r="O88" i="14"/>
  <c r="O70" i="5" s="1"/>
  <c r="O53" i="5"/>
  <c r="O85" i="10"/>
  <c r="O88" i="10"/>
  <c r="O73" i="5" s="1"/>
  <c r="O84" i="10"/>
  <c r="O56" i="5"/>
  <c r="Q50" i="14"/>
  <c r="P54" i="14"/>
  <c r="P77" i="14" s="1"/>
  <c r="Q44" i="20"/>
  <c r="Q58" i="20"/>
  <c r="Q64" i="20"/>
  <c r="Q64" i="10"/>
  <c r="Q65" i="10" s="1"/>
  <c r="Q58" i="10"/>
  <c r="Q59" i="10" s="1"/>
  <c r="Q44" i="10"/>
  <c r="Q39" i="20"/>
  <c r="O35" i="5"/>
  <c r="O76" i="15"/>
  <c r="O80" i="15" s="1"/>
  <c r="N58" i="5"/>
  <c r="N85" i="11"/>
  <c r="N86" i="11" s="1"/>
  <c r="N87" i="11" s="1"/>
  <c r="N88" i="11"/>
  <c r="N75" i="5" s="1"/>
  <c r="N84" i="11"/>
  <c r="Q65" i="18"/>
  <c r="Q66" i="18" s="1"/>
  <c r="R63" i="18" s="1"/>
  <c r="O43" i="20"/>
  <c r="N47" i="20"/>
  <c r="O50" i="13"/>
  <c r="N54" i="13"/>
  <c r="N77" i="13" s="1"/>
  <c r="T37" i="14"/>
  <c r="P83" i="12"/>
  <c r="P71" i="12"/>
  <c r="P70" i="12" s="1"/>
  <c r="P72" i="12" s="1"/>
  <c r="R37" i="9"/>
  <c r="R38" i="9" s="1"/>
  <c r="Q37" i="17"/>
  <c r="S37" i="15"/>
  <c r="S38" i="15" s="1"/>
  <c r="R66" i="15"/>
  <c r="S63" i="15" s="1"/>
  <c r="O83" i="11"/>
  <c r="O71" i="11"/>
  <c r="O70" i="11" s="1"/>
  <c r="O72" i="11" s="1"/>
  <c r="O50" i="17"/>
  <c r="N54" i="17"/>
  <c r="N77" i="17" s="1"/>
  <c r="O52" i="18"/>
  <c r="O53" i="18" s="1"/>
  <c r="O46" i="18"/>
  <c r="Q65" i="20"/>
  <c r="Q66" i="20" s="1"/>
  <c r="R63" i="20" s="1"/>
  <c r="O50" i="20"/>
  <c r="N54" i="20"/>
  <c r="N77" i="20" s="1"/>
  <c r="R58" i="2"/>
  <c r="R44" i="2"/>
  <c r="R64" i="2"/>
  <c r="R65" i="2" s="1"/>
  <c r="Q39" i="10"/>
  <c r="P51" i="15"/>
  <c r="M89" i="20"/>
  <c r="R37" i="11"/>
  <c r="R38" i="11" s="1"/>
  <c r="N86" i="18"/>
  <c r="N87" i="18" s="1"/>
  <c r="N89" i="18" s="1"/>
  <c r="N16" i="5" s="1"/>
  <c r="P83" i="14"/>
  <c r="P71" i="14"/>
  <c r="P70" i="14" s="1"/>
  <c r="P72" i="14" s="1"/>
  <c r="O86" i="9"/>
  <c r="O87" i="9" s="1"/>
  <c r="O89" i="9" s="1"/>
  <c r="O14" i="5" s="1"/>
  <c r="R35" i="18"/>
  <c r="Q40" i="18"/>
  <c r="Q78" i="18" s="1"/>
  <c r="P45" i="10"/>
  <c r="O43" i="19"/>
  <c r="N47" i="19"/>
  <c r="O53" i="11"/>
  <c r="M88" i="2"/>
  <c r="M66" i="5" s="1"/>
  <c r="M78" i="5" s="1"/>
  <c r="M79" i="5" s="1"/>
  <c r="M85" i="2"/>
  <c r="M86" i="2" s="1"/>
  <c r="M87" i="2" s="1"/>
  <c r="M84" i="2"/>
  <c r="M49" i="5"/>
  <c r="M61" i="5" s="1"/>
  <c r="M62" i="5" s="1"/>
  <c r="Q43" i="9"/>
  <c r="P47" i="9"/>
  <c r="R35" i="13"/>
  <c r="Q40" i="13"/>
  <c r="Q78" i="13" s="1"/>
  <c r="O43" i="17"/>
  <c r="N47" i="17"/>
  <c r="P69" i="18"/>
  <c r="O73" i="18"/>
  <c r="O79" i="18" s="1"/>
  <c r="Q64" i="12"/>
  <c r="Q58" i="12"/>
  <c r="Q44" i="12"/>
  <c r="Q39" i="12"/>
  <c r="Q35" i="19"/>
  <c r="P40" i="19"/>
  <c r="P78" i="19" s="1"/>
  <c r="O59" i="5"/>
  <c r="O85" i="12"/>
  <c r="O88" i="12"/>
  <c r="O76" i="5" s="1"/>
  <c r="O84" i="12"/>
  <c r="O46" i="11"/>
  <c r="Q69" i="9"/>
  <c r="P73" i="9"/>
  <c r="P79" i="9" s="1"/>
  <c r="O43" i="13"/>
  <c r="N47" i="13"/>
  <c r="P60" i="10"/>
  <c r="Q57" i="10" s="1"/>
  <c r="Q60" i="13"/>
  <c r="R57" i="13" s="1"/>
  <c r="P45" i="12"/>
  <c r="N83" i="2"/>
  <c r="N71" i="2"/>
  <c r="N70" i="2" s="1"/>
  <c r="N72" i="2" s="1"/>
  <c r="N46" i="2"/>
  <c r="P46" i="14"/>
  <c r="O50" i="19"/>
  <c r="N54" i="19"/>
  <c r="N77" i="19" s="1"/>
  <c r="P71" i="10"/>
  <c r="P70" i="10" s="1"/>
  <c r="P72" i="10" s="1"/>
  <c r="Q60" i="11"/>
  <c r="R57" i="11" s="1"/>
  <c r="Q50" i="9"/>
  <c r="P54" i="9"/>
  <c r="P77" i="9" s="1"/>
  <c r="R39" i="2"/>
  <c r="Q65" i="13"/>
  <c r="L10" i="5"/>
  <c r="J19" i="5"/>
  <c r="J20" i="5" l="1"/>
  <c r="J26" i="5" s="1"/>
  <c r="T38" i="14"/>
  <c r="T39" i="14" s="1"/>
  <c r="O50" i="2"/>
  <c r="Q60" i="10"/>
  <c r="R57" i="10" s="1"/>
  <c r="Q66" i="10"/>
  <c r="R63" i="10" s="1"/>
  <c r="Q38" i="17"/>
  <c r="Q39" i="17" s="1"/>
  <c r="S39" i="15"/>
  <c r="T35" i="15" s="1"/>
  <c r="T37" i="15" s="1"/>
  <c r="T38" i="15" s="1"/>
  <c r="M89" i="2"/>
  <c r="M8" i="5" s="1"/>
  <c r="R66" i="2"/>
  <c r="S63" i="2" s="1"/>
  <c r="Q69" i="10"/>
  <c r="P73" i="10"/>
  <c r="P79" i="10" s="1"/>
  <c r="O69" i="2"/>
  <c r="N73" i="2"/>
  <c r="N79" i="2" s="1"/>
  <c r="R44" i="9"/>
  <c r="R64" i="9"/>
  <c r="R58" i="9"/>
  <c r="Q69" i="14"/>
  <c r="P73" i="14"/>
  <c r="P79" i="14" s="1"/>
  <c r="R44" i="11"/>
  <c r="R58" i="11"/>
  <c r="R59" i="11" s="1"/>
  <c r="R64" i="11"/>
  <c r="R39" i="11"/>
  <c r="P69" i="11"/>
  <c r="O73" i="11"/>
  <c r="O79" i="11" s="1"/>
  <c r="R39" i="9"/>
  <c r="N76" i="20"/>
  <c r="N80" i="20" s="1"/>
  <c r="N43" i="5"/>
  <c r="O86" i="10"/>
  <c r="O87" i="10" s="1"/>
  <c r="O89" i="10" s="1"/>
  <c r="O15" i="5" s="1"/>
  <c r="O43" i="2"/>
  <c r="N47" i="2"/>
  <c r="P52" i="12"/>
  <c r="P53" i="12" s="1"/>
  <c r="P46" i="12"/>
  <c r="R35" i="12"/>
  <c r="Q40" i="12"/>
  <c r="Q78" i="12" s="1"/>
  <c r="Q65" i="12"/>
  <c r="N76" i="17"/>
  <c r="N80" i="17" s="1"/>
  <c r="N34" i="5"/>
  <c r="R37" i="13"/>
  <c r="R38" i="13" s="1"/>
  <c r="P76" i="9"/>
  <c r="P38" i="5"/>
  <c r="P50" i="11"/>
  <c r="O54" i="11"/>
  <c r="O77" i="11" s="1"/>
  <c r="P52" i="10"/>
  <c r="P53" i="10" s="1"/>
  <c r="P46" i="10"/>
  <c r="S35" i="2"/>
  <c r="R40" i="2"/>
  <c r="R78" i="2" s="1"/>
  <c r="N76" i="13"/>
  <c r="N80" i="13" s="1"/>
  <c r="N37" i="5"/>
  <c r="O51" i="17"/>
  <c r="Q51" i="9"/>
  <c r="N76" i="19"/>
  <c r="N80" i="19" s="1"/>
  <c r="N33" i="5"/>
  <c r="R35" i="10"/>
  <c r="Q40" i="10"/>
  <c r="Q78" i="10" s="1"/>
  <c r="S40" i="15"/>
  <c r="S78" i="15" s="1"/>
  <c r="S64" i="15"/>
  <c r="S65" i="15" s="1"/>
  <c r="S66" i="15" s="1"/>
  <c r="T63" i="15" s="1"/>
  <c r="S58" i="15"/>
  <c r="S44" i="15"/>
  <c r="Q66" i="13"/>
  <c r="R63" i="13" s="1"/>
  <c r="Q43" i="14"/>
  <c r="P47" i="14"/>
  <c r="O51" i="13"/>
  <c r="P80" i="9"/>
  <c r="P43" i="11"/>
  <c r="O47" i="11"/>
  <c r="O86" i="12"/>
  <c r="O87" i="12" s="1"/>
  <c r="O89" i="12" s="1"/>
  <c r="Q37" i="19"/>
  <c r="Q38" i="19" s="1"/>
  <c r="Q59" i="12"/>
  <c r="O51" i="19"/>
  <c r="R37" i="18"/>
  <c r="R38" i="18" s="1"/>
  <c r="P43" i="18"/>
  <c r="O47" i="18"/>
  <c r="Q69" i="12"/>
  <c r="P73" i="12"/>
  <c r="P79" i="12" s="1"/>
  <c r="T44" i="14"/>
  <c r="T64" i="14"/>
  <c r="T58" i="14"/>
  <c r="O51" i="20"/>
  <c r="N89" i="11"/>
  <c r="R35" i="20"/>
  <c r="Q40" i="20"/>
  <c r="Q78" i="20" s="1"/>
  <c r="Q59" i="20"/>
  <c r="Q60" i="20" s="1"/>
  <c r="R57" i="20" s="1"/>
  <c r="O86" i="14"/>
  <c r="O87" i="14" s="1"/>
  <c r="P83" i="15"/>
  <c r="P71" i="15"/>
  <c r="P70" i="15" s="1"/>
  <c r="P72" i="15" s="1"/>
  <c r="P45" i="15"/>
  <c r="R59" i="2"/>
  <c r="R60" i="2" s="1"/>
  <c r="S57" i="2" s="1"/>
  <c r="P50" i="18"/>
  <c r="O54" i="18"/>
  <c r="O77" i="18" s="1"/>
  <c r="O52" i="5"/>
  <c r="O85" i="15"/>
  <c r="O84" i="15"/>
  <c r="O88" i="15"/>
  <c r="O69" i="5" s="1"/>
  <c r="K17" i="5"/>
  <c r="L18" i="5"/>
  <c r="J21" i="5" l="1"/>
  <c r="J29" i="5"/>
  <c r="Q58" i="17"/>
  <c r="Q44" i="17"/>
  <c r="Q64" i="17"/>
  <c r="U35" i="14"/>
  <c r="T40" i="14"/>
  <c r="T78" i="14" s="1"/>
  <c r="O53" i="19"/>
  <c r="P50" i="19" s="1"/>
  <c r="R60" i="11"/>
  <c r="S57" i="11" s="1"/>
  <c r="O45" i="19"/>
  <c r="O52" i="19" s="1"/>
  <c r="Q40" i="17"/>
  <c r="Q78" i="17" s="1"/>
  <c r="R35" i="17"/>
  <c r="R37" i="17" s="1"/>
  <c r="R38" i="17" s="1"/>
  <c r="R39" i="13"/>
  <c r="S35" i="13" s="1"/>
  <c r="Q69" i="15"/>
  <c r="P73" i="15"/>
  <c r="P79" i="15" s="1"/>
  <c r="T64" i="15"/>
  <c r="T58" i="15"/>
  <c r="T59" i="15" s="1"/>
  <c r="T44" i="15"/>
  <c r="O86" i="15"/>
  <c r="Q65" i="17"/>
  <c r="O89" i="14"/>
  <c r="O45" i="20"/>
  <c r="T59" i="14"/>
  <c r="O76" i="18"/>
  <c r="O80" i="18" s="1"/>
  <c r="O40" i="5"/>
  <c r="P55" i="5"/>
  <c r="P88" i="9"/>
  <c r="P72" i="5" s="1"/>
  <c r="P85" i="9"/>
  <c r="P84" i="9"/>
  <c r="P76" i="14"/>
  <c r="P36" i="5"/>
  <c r="S59" i="15"/>
  <c r="O83" i="17"/>
  <c r="O71" i="17"/>
  <c r="O70" i="17" s="1"/>
  <c r="O72" i="17" s="1"/>
  <c r="N85" i="13"/>
  <c r="N84" i="13"/>
  <c r="N54" i="5"/>
  <c r="N88" i="13"/>
  <c r="N71" i="5" s="1"/>
  <c r="S37" i="2"/>
  <c r="Q50" i="10"/>
  <c r="P54" i="10"/>
  <c r="P77" i="10" s="1"/>
  <c r="R64" i="13"/>
  <c r="R65" i="13" s="1"/>
  <c r="R58" i="13"/>
  <c r="R44" i="13"/>
  <c r="Q50" i="12"/>
  <c r="P54" i="12"/>
  <c r="P77" i="12" s="1"/>
  <c r="O51" i="2"/>
  <c r="R65" i="11"/>
  <c r="R66" i="11" s="1"/>
  <c r="S63" i="11" s="1"/>
  <c r="P80" i="14"/>
  <c r="R65" i="9"/>
  <c r="R66" i="9" s="1"/>
  <c r="S63" i="9" s="1"/>
  <c r="J27" i="5"/>
  <c r="J28" i="5"/>
  <c r="T39" i="15"/>
  <c r="T65" i="14"/>
  <c r="P51" i="18"/>
  <c r="P45" i="18" s="1"/>
  <c r="R64" i="18"/>
  <c r="R58" i="18"/>
  <c r="R44" i="18"/>
  <c r="R39" i="18"/>
  <c r="Q64" i="19"/>
  <c r="Q44" i="19"/>
  <c r="Q58" i="19"/>
  <c r="Q39" i="19"/>
  <c r="O76" i="11"/>
  <c r="O80" i="11" s="1"/>
  <c r="O41" i="5"/>
  <c r="O83" i="13"/>
  <c r="O71" i="13"/>
  <c r="O70" i="13" s="1"/>
  <c r="O72" i="13" s="1"/>
  <c r="Q51" i="14"/>
  <c r="N85" i="19"/>
  <c r="N86" i="19" s="1"/>
  <c r="N87" i="19" s="1"/>
  <c r="N84" i="19"/>
  <c r="N88" i="19"/>
  <c r="N67" i="5" s="1"/>
  <c r="N50" i="5"/>
  <c r="N88" i="17"/>
  <c r="N68" i="5" s="1"/>
  <c r="N85" i="17"/>
  <c r="N84" i="17"/>
  <c r="N51" i="5"/>
  <c r="N84" i="20"/>
  <c r="N88" i="20"/>
  <c r="N77" i="5" s="1"/>
  <c r="N85" i="20"/>
  <c r="N60" i="5"/>
  <c r="U37" i="14"/>
  <c r="Q59" i="17"/>
  <c r="Q60" i="17" s="1"/>
  <c r="R57" i="17" s="1"/>
  <c r="P52" i="15"/>
  <c r="P53" i="15" s="1"/>
  <c r="P46" i="15"/>
  <c r="R37" i="20"/>
  <c r="O83" i="20"/>
  <c r="O71" i="20"/>
  <c r="O70" i="20" s="1"/>
  <c r="O72" i="20" s="1"/>
  <c r="O83" i="19"/>
  <c r="O71" i="19"/>
  <c r="O70" i="19" s="1"/>
  <c r="O72" i="19" s="1"/>
  <c r="O46" i="19"/>
  <c r="Q60" i="12"/>
  <c r="R57" i="12" s="1"/>
  <c r="P51" i="11"/>
  <c r="O45" i="13"/>
  <c r="R37" i="10"/>
  <c r="R38" i="10" s="1"/>
  <c r="Q83" i="9"/>
  <c r="Q71" i="9"/>
  <c r="Q70" i="9" s="1"/>
  <c r="Q72" i="9" s="1"/>
  <c r="Q45" i="9"/>
  <c r="O45" i="17"/>
  <c r="Q43" i="10"/>
  <c r="P47" i="10"/>
  <c r="Q66" i="12"/>
  <c r="R63" i="12" s="1"/>
  <c r="R37" i="12"/>
  <c r="R38" i="12" s="1"/>
  <c r="Q43" i="12"/>
  <c r="P47" i="12"/>
  <c r="N76" i="2"/>
  <c r="N80" i="2" s="1"/>
  <c r="N32" i="5"/>
  <c r="N44" i="5" s="1"/>
  <c r="N45" i="5" s="1"/>
  <c r="S35" i="9"/>
  <c r="R40" i="9"/>
  <c r="R78" i="9" s="1"/>
  <c r="S35" i="11"/>
  <c r="R40" i="11"/>
  <c r="R78" i="11" s="1"/>
  <c r="R59" i="9"/>
  <c r="R60" i="9" s="1"/>
  <c r="S57" i="9" s="1"/>
  <c r="L12" i="5"/>
  <c r="O54" i="19" l="1"/>
  <c r="O77" i="19" s="1"/>
  <c r="P45" i="11"/>
  <c r="P52" i="11" s="1"/>
  <c r="P53" i="11" s="1"/>
  <c r="U38" i="14"/>
  <c r="U39" i="14" s="1"/>
  <c r="P52" i="18"/>
  <c r="P53" i="18" s="1"/>
  <c r="P46" i="18"/>
  <c r="Q43" i="18" s="1"/>
  <c r="R39" i="17"/>
  <c r="R40" i="17" s="1"/>
  <c r="R78" i="17" s="1"/>
  <c r="R40" i="13"/>
  <c r="R78" i="13" s="1"/>
  <c r="R44" i="12"/>
  <c r="R64" i="12"/>
  <c r="R58" i="12"/>
  <c r="R59" i="12" s="1"/>
  <c r="R39" i="12"/>
  <c r="P69" i="20"/>
  <c r="O73" i="20"/>
  <c r="O79" i="20" s="1"/>
  <c r="R69" i="9"/>
  <c r="Q73" i="9"/>
  <c r="Q79" i="9" s="1"/>
  <c r="N88" i="2"/>
  <c r="N66" i="5" s="1"/>
  <c r="N78" i="5" s="1"/>
  <c r="N79" i="5" s="1"/>
  <c r="N49" i="5"/>
  <c r="N61" i="5" s="1"/>
  <c r="N62" i="5" s="1"/>
  <c r="N85" i="2"/>
  <c r="N84" i="2"/>
  <c r="P69" i="13"/>
  <c r="O73" i="13"/>
  <c r="O79" i="13" s="1"/>
  <c r="S35" i="17"/>
  <c r="R64" i="10"/>
  <c r="R58" i="10"/>
  <c r="R44" i="10"/>
  <c r="R39" i="10"/>
  <c r="P69" i="19"/>
  <c r="O73" i="19"/>
  <c r="O79" i="19" s="1"/>
  <c r="Q50" i="15"/>
  <c r="P54" i="15"/>
  <c r="P77" i="15" s="1"/>
  <c r="U64" i="14"/>
  <c r="U58" i="14"/>
  <c r="U59" i="14" s="1"/>
  <c r="N86" i="17"/>
  <c r="N87" i="17" s="1"/>
  <c r="N89" i="17" s="1"/>
  <c r="Q59" i="19"/>
  <c r="Q60" i="19" s="1"/>
  <c r="R57" i="19" s="1"/>
  <c r="S35" i="18"/>
  <c r="R40" i="18"/>
  <c r="R78" i="18" s="1"/>
  <c r="R65" i="18"/>
  <c r="R66" i="18" s="1"/>
  <c r="S63" i="18" s="1"/>
  <c r="U35" i="15"/>
  <c r="T40" i="15"/>
  <c r="T78" i="15" s="1"/>
  <c r="R58" i="17"/>
  <c r="R59" i="17" s="1"/>
  <c r="R60" i="17" s="1"/>
  <c r="S57" i="17" s="1"/>
  <c r="R44" i="17"/>
  <c r="R64" i="17"/>
  <c r="O83" i="2"/>
  <c r="O71" i="2"/>
  <c r="O70" i="2" s="1"/>
  <c r="O72" i="2" s="1"/>
  <c r="S38" i="2"/>
  <c r="P69" i="17"/>
  <c r="O73" i="17"/>
  <c r="O79" i="17" s="1"/>
  <c r="O57" i="5"/>
  <c r="O85" i="18"/>
  <c r="O86" i="18" s="1"/>
  <c r="O87" i="18" s="1"/>
  <c r="O88" i="18"/>
  <c r="O74" i="5" s="1"/>
  <c r="O84" i="18"/>
  <c r="T65" i="15"/>
  <c r="Q51" i="12"/>
  <c r="Q51" i="10"/>
  <c r="S37" i="11"/>
  <c r="S38" i="11" s="1"/>
  <c r="O52" i="13"/>
  <c r="O53" i="13" s="1"/>
  <c r="O46" i="13"/>
  <c r="P43" i="19"/>
  <c r="O47" i="19"/>
  <c r="R38" i="20"/>
  <c r="R39" i="20" s="1"/>
  <c r="O58" i="5"/>
  <c r="O85" i="11"/>
  <c r="O86" i="11" s="1"/>
  <c r="O87" i="11" s="1"/>
  <c r="O84" i="11"/>
  <c r="O88" i="11"/>
  <c r="O75" i="5" s="1"/>
  <c r="N86" i="20"/>
  <c r="N87" i="20" s="1"/>
  <c r="N89" i="20" s="1"/>
  <c r="N89" i="19"/>
  <c r="R66" i="13"/>
  <c r="S63" i="13" s="1"/>
  <c r="P84" i="14"/>
  <c r="P88" i="14"/>
  <c r="P70" i="5" s="1"/>
  <c r="P53" i="5"/>
  <c r="P85" i="14"/>
  <c r="O45" i="2"/>
  <c r="N86" i="13"/>
  <c r="P86" i="9"/>
  <c r="P87" i="9" s="1"/>
  <c r="P89" i="9" s="1"/>
  <c r="P14" i="5" s="1"/>
  <c r="O52" i="20"/>
  <c r="O53" i="20" s="1"/>
  <c r="O46" i="20"/>
  <c r="Q66" i="17"/>
  <c r="R63" i="17" s="1"/>
  <c r="O52" i="17"/>
  <c r="O53" i="17" s="1"/>
  <c r="O46" i="17"/>
  <c r="P83" i="11"/>
  <c r="P71" i="11"/>
  <c r="P70" i="11" s="1"/>
  <c r="P72" i="11" s="1"/>
  <c r="S37" i="9"/>
  <c r="S38" i="9" s="1"/>
  <c r="P76" i="12"/>
  <c r="P80" i="12" s="1"/>
  <c r="P42" i="5"/>
  <c r="R65" i="12"/>
  <c r="R66" i="12" s="1"/>
  <c r="S63" i="12" s="1"/>
  <c r="P76" i="10"/>
  <c r="P80" i="10" s="1"/>
  <c r="P39" i="5"/>
  <c r="Q52" i="9"/>
  <c r="Q53" i="9" s="1"/>
  <c r="Q46" i="9"/>
  <c r="P46" i="11"/>
  <c r="Q43" i="15"/>
  <c r="P47" i="15"/>
  <c r="Q83" i="14"/>
  <c r="Q71" i="14"/>
  <c r="Q70" i="14" s="1"/>
  <c r="Q72" i="14" s="1"/>
  <c r="Q45" i="14"/>
  <c r="R35" i="19"/>
  <c r="Q40" i="19"/>
  <c r="Q78" i="19" s="1"/>
  <c r="Q65" i="19"/>
  <c r="R59" i="18"/>
  <c r="R60" i="18" s="1"/>
  <c r="S57" i="18" s="1"/>
  <c r="P83" i="18"/>
  <c r="P71" i="18"/>
  <c r="P70" i="18" s="1"/>
  <c r="P72" i="18" s="1"/>
  <c r="T66" i="14"/>
  <c r="U63" i="14" s="1"/>
  <c r="R59" i="13"/>
  <c r="R60" i="13" s="1"/>
  <c r="S57" i="13" s="1"/>
  <c r="S60" i="15"/>
  <c r="T57" i="15" s="1"/>
  <c r="T60" i="15" s="1"/>
  <c r="U57" i="15" s="1"/>
  <c r="T60" i="14"/>
  <c r="U57" i="14" s="1"/>
  <c r="O87" i="15"/>
  <c r="O89" i="15" s="1"/>
  <c r="S37" i="13"/>
  <c r="M10" i="5"/>
  <c r="K19" i="5"/>
  <c r="N11" i="5"/>
  <c r="K9" i="5"/>
  <c r="Q50" i="11" l="1"/>
  <c r="P54" i="11"/>
  <c r="P77" i="11" s="1"/>
  <c r="R60" i="12"/>
  <c r="S57" i="12" s="1"/>
  <c r="O89" i="11"/>
  <c r="U44" i="14"/>
  <c r="V35" i="14"/>
  <c r="U40" i="14"/>
  <c r="U78" i="14" s="1"/>
  <c r="U60" i="14"/>
  <c r="V57" i="14" s="1"/>
  <c r="P47" i="18"/>
  <c r="P76" i="18" s="1"/>
  <c r="K20" i="5"/>
  <c r="S64" i="9"/>
  <c r="S58" i="9"/>
  <c r="S44" i="9"/>
  <c r="Q69" i="18"/>
  <c r="P73" i="18"/>
  <c r="P79" i="18" s="1"/>
  <c r="Q69" i="11"/>
  <c r="P73" i="11"/>
  <c r="P79" i="11" s="1"/>
  <c r="R69" i="14"/>
  <c r="Q73" i="14"/>
  <c r="Q79" i="14" s="1"/>
  <c r="P69" i="2"/>
  <c r="O73" i="2"/>
  <c r="O79" i="2" s="1"/>
  <c r="S35" i="20"/>
  <c r="R40" i="20"/>
  <c r="R78" i="20" s="1"/>
  <c r="S64" i="11"/>
  <c r="S58" i="11"/>
  <c r="S44" i="11"/>
  <c r="S39" i="11"/>
  <c r="S38" i="13"/>
  <c r="Q43" i="11"/>
  <c r="P47" i="11"/>
  <c r="P50" i="17"/>
  <c r="O54" i="17"/>
  <c r="O77" i="17" s="1"/>
  <c r="R65" i="17"/>
  <c r="R66" i="17" s="1"/>
  <c r="S63" i="17" s="1"/>
  <c r="O76" i="19"/>
  <c r="O33" i="5"/>
  <c r="P50" i="13"/>
  <c r="O54" i="13"/>
  <c r="O77" i="13" s="1"/>
  <c r="O89" i="18"/>
  <c r="O16" i="5" s="1"/>
  <c r="S44" i="2"/>
  <c r="S64" i="2"/>
  <c r="S58" i="2"/>
  <c r="S37" i="18"/>
  <c r="S38" i="18" s="1"/>
  <c r="S39" i="2"/>
  <c r="R65" i="10"/>
  <c r="R66" i="10" s="1"/>
  <c r="S63" i="10" s="1"/>
  <c r="S37" i="17"/>
  <c r="Q50" i="18"/>
  <c r="P54" i="18"/>
  <c r="P77" i="18" s="1"/>
  <c r="Q52" i="14"/>
  <c r="Q53" i="14" s="1"/>
  <c r="Q46" i="14"/>
  <c r="P76" i="15"/>
  <c r="P80" i="15" s="1"/>
  <c r="P35" i="5"/>
  <c r="R43" i="9"/>
  <c r="Q47" i="9"/>
  <c r="P85" i="10"/>
  <c r="P56" i="5"/>
  <c r="P84" i="10"/>
  <c r="P88" i="10"/>
  <c r="P73" i="5" s="1"/>
  <c r="S39" i="9"/>
  <c r="P43" i="20"/>
  <c r="O47" i="20"/>
  <c r="O52" i="2"/>
  <c r="O53" i="2" s="1"/>
  <c r="O46" i="2"/>
  <c r="P51" i="19"/>
  <c r="P45" i="19" s="1"/>
  <c r="P52" i="19" s="1"/>
  <c r="Q83" i="10"/>
  <c r="Q71" i="10"/>
  <c r="Q70" i="10" s="1"/>
  <c r="Q72" i="10" s="1"/>
  <c r="U37" i="15"/>
  <c r="U38" i="15" s="1"/>
  <c r="T66" i="15"/>
  <c r="U63" i="15" s="1"/>
  <c r="N86" i="2"/>
  <c r="U65" i="14"/>
  <c r="U66" i="14" s="1"/>
  <c r="V63" i="14" s="1"/>
  <c r="Q66" i="19"/>
  <c r="R63" i="19" s="1"/>
  <c r="R37" i="19"/>
  <c r="Q51" i="15"/>
  <c r="Q45" i="15" s="1"/>
  <c r="Q52" i="15" s="1"/>
  <c r="R50" i="9"/>
  <c r="Q54" i="9"/>
  <c r="Q77" i="9" s="1"/>
  <c r="P85" i="12"/>
  <c r="P84" i="12"/>
  <c r="P59" i="5"/>
  <c r="P88" i="12"/>
  <c r="P76" i="5" s="1"/>
  <c r="P43" i="17"/>
  <c r="O47" i="17"/>
  <c r="P50" i="20"/>
  <c r="O54" i="20"/>
  <c r="O77" i="20" s="1"/>
  <c r="N87" i="13"/>
  <c r="N89" i="13" s="1"/>
  <c r="N13" i="5" s="1"/>
  <c r="P86" i="14"/>
  <c r="P87" i="14" s="1"/>
  <c r="P89" i="14" s="1"/>
  <c r="R58" i="20"/>
  <c r="R64" i="20"/>
  <c r="R44" i="20"/>
  <c r="P43" i="13"/>
  <c r="O47" i="13"/>
  <c r="Q45" i="10"/>
  <c r="Q83" i="12"/>
  <c r="Q71" i="12"/>
  <c r="Q70" i="12" s="1"/>
  <c r="Q72" i="12" s="1"/>
  <c r="Q45" i="12"/>
  <c r="Q51" i="18"/>
  <c r="O80" i="19"/>
  <c r="S35" i="10"/>
  <c r="R40" i="10"/>
  <c r="R78" i="10" s="1"/>
  <c r="R59" i="10"/>
  <c r="R60" i="10" s="1"/>
  <c r="S57" i="10" s="1"/>
  <c r="V37" i="14"/>
  <c r="V38" i="14" s="1"/>
  <c r="V39" i="14" s="1"/>
  <c r="W35" i="14" s="1"/>
  <c r="S35" i="12"/>
  <c r="R40" i="12"/>
  <c r="R78" i="12" s="1"/>
  <c r="L17" i="5"/>
  <c r="M12" i="5"/>
  <c r="P40" i="5" l="1"/>
  <c r="P46" i="19"/>
  <c r="Q43" i="19" s="1"/>
  <c r="U58" i="15"/>
  <c r="U44" i="15"/>
  <c r="U64" i="15"/>
  <c r="U65" i="15" s="1"/>
  <c r="U39" i="15"/>
  <c r="R69" i="10"/>
  <c r="Q73" i="10"/>
  <c r="Q79" i="10" s="1"/>
  <c r="R69" i="12"/>
  <c r="Q73" i="12"/>
  <c r="Q79" i="12" s="1"/>
  <c r="S44" i="18"/>
  <c r="S64" i="18"/>
  <c r="S58" i="18"/>
  <c r="Q52" i="10"/>
  <c r="Q53" i="10" s="1"/>
  <c r="Q46" i="10"/>
  <c r="P86" i="12"/>
  <c r="P87" i="12" s="1"/>
  <c r="P89" i="12" s="1"/>
  <c r="P47" i="19"/>
  <c r="O76" i="20"/>
  <c r="O80" i="20" s="1"/>
  <c r="O43" i="5"/>
  <c r="P86" i="10"/>
  <c r="P87" i="10" s="1"/>
  <c r="R50" i="14"/>
  <c r="Q54" i="14"/>
  <c r="Q77" i="14" s="1"/>
  <c r="Q45" i="18"/>
  <c r="S38" i="17"/>
  <c r="T35" i="2"/>
  <c r="S40" i="2"/>
  <c r="S78" i="2" s="1"/>
  <c r="S39" i="18"/>
  <c r="Q51" i="11"/>
  <c r="S58" i="13"/>
  <c r="S44" i="13"/>
  <c r="S64" i="13"/>
  <c r="T35" i="11"/>
  <c r="S40" i="11"/>
  <c r="S78" i="11" s="1"/>
  <c r="S65" i="11"/>
  <c r="S66" i="11" s="1"/>
  <c r="T63" i="11" s="1"/>
  <c r="S65" i="9"/>
  <c r="S66" i="9" s="1"/>
  <c r="T63" i="9" s="1"/>
  <c r="W37" i="14"/>
  <c r="W38" i="14" s="1"/>
  <c r="S37" i="12"/>
  <c r="S38" i="12" s="1"/>
  <c r="V40" i="14"/>
  <c r="V78" i="14" s="1"/>
  <c r="S37" i="10"/>
  <c r="S38" i="10" s="1"/>
  <c r="Q83" i="18"/>
  <c r="Q71" i="18"/>
  <c r="Q70" i="18" s="1"/>
  <c r="Q72" i="18" s="1"/>
  <c r="O76" i="13"/>
  <c r="O80" i="13" s="1"/>
  <c r="O37" i="5"/>
  <c r="R65" i="20"/>
  <c r="R66" i="20" s="1"/>
  <c r="S63" i="20" s="1"/>
  <c r="O76" i="17"/>
  <c r="O80" i="17" s="1"/>
  <c r="O34" i="5"/>
  <c r="Q83" i="15"/>
  <c r="Q71" i="15"/>
  <c r="Q70" i="15" s="1"/>
  <c r="Q72" i="15" s="1"/>
  <c r="Q46" i="15"/>
  <c r="N87" i="2"/>
  <c r="N89" i="2" s="1"/>
  <c r="N8" i="5" s="1"/>
  <c r="Q53" i="15"/>
  <c r="P83" i="19"/>
  <c r="P71" i="19"/>
  <c r="P70" i="19" s="1"/>
  <c r="P72" i="19" s="1"/>
  <c r="P53" i="19"/>
  <c r="Q51" i="19" s="1"/>
  <c r="P43" i="2"/>
  <c r="O47" i="2"/>
  <c r="P51" i="20"/>
  <c r="Q76" i="9"/>
  <c r="Q80" i="9" s="1"/>
  <c r="Q38" i="5"/>
  <c r="P88" i="15"/>
  <c r="P69" i="5" s="1"/>
  <c r="P85" i="15"/>
  <c r="P52" i="5"/>
  <c r="P84" i="15"/>
  <c r="S59" i="2"/>
  <c r="S60" i="2" s="1"/>
  <c r="T57" i="2" s="1"/>
  <c r="V58" i="14"/>
  <c r="V44" i="14"/>
  <c r="V64" i="14"/>
  <c r="O84" i="19"/>
  <c r="O88" i="19"/>
  <c r="O67" i="5" s="1"/>
  <c r="O85" i="19"/>
  <c r="O50" i="5"/>
  <c r="Q52" i="12"/>
  <c r="Q53" i="12" s="1"/>
  <c r="Q46" i="12"/>
  <c r="P51" i="13"/>
  <c r="P45" i="13" s="1"/>
  <c r="R59" i="20"/>
  <c r="R60" i="20" s="1"/>
  <c r="S57" i="20" s="1"/>
  <c r="P51" i="17"/>
  <c r="R38" i="19"/>
  <c r="V65" i="14"/>
  <c r="P50" i="2"/>
  <c r="O54" i="2"/>
  <c r="O77" i="2" s="1"/>
  <c r="T35" i="9"/>
  <c r="S40" i="9"/>
  <c r="S78" i="9" s="1"/>
  <c r="R51" i="9"/>
  <c r="R43" i="14"/>
  <c r="Q47" i="14"/>
  <c r="S65" i="2"/>
  <c r="S66" i="2" s="1"/>
  <c r="T63" i="2" s="1"/>
  <c r="P76" i="11"/>
  <c r="P80" i="11" s="1"/>
  <c r="P41" i="5"/>
  <c r="S59" i="11"/>
  <c r="S37" i="20"/>
  <c r="S38" i="20" s="1"/>
  <c r="S39" i="13"/>
  <c r="P80" i="18"/>
  <c r="S59" i="9"/>
  <c r="S60" i="9" s="1"/>
  <c r="T57" i="9" s="1"/>
  <c r="K26" i="5"/>
  <c r="K21" i="5"/>
  <c r="K29" i="5"/>
  <c r="M18" i="5"/>
  <c r="V66" i="14" l="1"/>
  <c r="W63" i="14" s="1"/>
  <c r="S39" i="12"/>
  <c r="S40" i="12" s="1"/>
  <c r="S78" i="12" s="1"/>
  <c r="U66" i="15"/>
  <c r="V63" i="15" s="1"/>
  <c r="S64" i="20"/>
  <c r="S65" i="20" s="1"/>
  <c r="S58" i="20"/>
  <c r="S59" i="20" s="1"/>
  <c r="S44" i="20"/>
  <c r="P85" i="11"/>
  <c r="P58" i="5"/>
  <c r="P88" i="11"/>
  <c r="P75" i="5" s="1"/>
  <c r="P84" i="11"/>
  <c r="P52" i="13"/>
  <c r="P53" i="13" s="1"/>
  <c r="P46" i="13"/>
  <c r="Q69" i="19"/>
  <c r="P73" i="19"/>
  <c r="P79" i="19" s="1"/>
  <c r="R69" i="18"/>
  <c r="Q73" i="18"/>
  <c r="Q79" i="18" s="1"/>
  <c r="W64" i="14"/>
  <c r="W58" i="14"/>
  <c r="W59" i="14" s="1"/>
  <c r="W44" i="14"/>
  <c r="W65" i="14"/>
  <c r="Q83" i="19"/>
  <c r="Q71" i="19"/>
  <c r="Q70" i="19" s="1"/>
  <c r="S44" i="10"/>
  <c r="S58" i="10"/>
  <c r="S64" i="10"/>
  <c r="T35" i="12"/>
  <c r="K28" i="5"/>
  <c r="K27" i="5"/>
  <c r="T35" i="13"/>
  <c r="S40" i="13"/>
  <c r="S78" i="13" s="1"/>
  <c r="S39" i="20"/>
  <c r="R83" i="9"/>
  <c r="R71" i="9"/>
  <c r="R70" i="9" s="1"/>
  <c r="R72" i="9" s="1"/>
  <c r="O32" i="5"/>
  <c r="O44" i="5" s="1"/>
  <c r="O45" i="5" s="1"/>
  <c r="O76" i="2"/>
  <c r="O80" i="2" s="1"/>
  <c r="R50" i="15"/>
  <c r="Q54" i="15"/>
  <c r="Q77" i="15" s="1"/>
  <c r="R69" i="15"/>
  <c r="Q73" i="15"/>
  <c r="Q79" i="15" s="1"/>
  <c r="S39" i="10"/>
  <c r="W39" i="14"/>
  <c r="W40" i="14" s="1"/>
  <c r="W78" i="14" s="1"/>
  <c r="Q52" i="18"/>
  <c r="Q53" i="18" s="1"/>
  <c r="Q46" i="18"/>
  <c r="P76" i="19"/>
  <c r="P33" i="5"/>
  <c r="S59" i="18"/>
  <c r="V35" i="15"/>
  <c r="U40" i="15"/>
  <c r="U78" i="15" s="1"/>
  <c r="U59" i="15"/>
  <c r="R51" i="14"/>
  <c r="S60" i="11"/>
  <c r="T57" i="11" s="1"/>
  <c r="Q76" i="14"/>
  <c r="Q80" i="14" s="1"/>
  <c r="Q36" i="5"/>
  <c r="R45" i="9"/>
  <c r="R58" i="19"/>
  <c r="R44" i="19"/>
  <c r="R64" i="19"/>
  <c r="R43" i="12"/>
  <c r="Q47" i="12"/>
  <c r="O86" i="19"/>
  <c r="O87" i="19" s="1"/>
  <c r="O89" i="19" s="1"/>
  <c r="V59" i="14"/>
  <c r="V60" i="14" s="1"/>
  <c r="W57" i="14" s="1"/>
  <c r="W60" i="14" s="1"/>
  <c r="P86" i="15"/>
  <c r="P87" i="15" s="1"/>
  <c r="P89" i="15" s="1"/>
  <c r="Q84" i="9"/>
  <c r="Q55" i="5"/>
  <c r="Q88" i="9"/>
  <c r="Q72" i="5" s="1"/>
  <c r="Q85" i="9"/>
  <c r="P51" i="2"/>
  <c r="O84" i="17"/>
  <c r="O88" i="17"/>
  <c r="O68" i="5" s="1"/>
  <c r="O51" i="5"/>
  <c r="O85" i="17"/>
  <c r="T37" i="11"/>
  <c r="T38" i="11" s="1"/>
  <c r="S59" i="13"/>
  <c r="T37" i="2"/>
  <c r="T38" i="2" s="1"/>
  <c r="R43" i="10"/>
  <c r="Q47" i="10"/>
  <c r="S65" i="18"/>
  <c r="R39" i="19"/>
  <c r="P84" i="18"/>
  <c r="P57" i="5"/>
  <c r="P85" i="18"/>
  <c r="P88" i="18"/>
  <c r="P74" i="5" s="1"/>
  <c r="T37" i="9"/>
  <c r="P83" i="17"/>
  <c r="P71" i="17"/>
  <c r="P70" i="17" s="1"/>
  <c r="P72" i="17" s="1"/>
  <c r="P45" i="17"/>
  <c r="P83" i="13"/>
  <c r="P71" i="13"/>
  <c r="P70" i="13" s="1"/>
  <c r="P72" i="13" s="1"/>
  <c r="R50" i="12"/>
  <c r="Q54" i="12"/>
  <c r="Q77" i="12" s="1"/>
  <c r="P83" i="20"/>
  <c r="P71" i="20"/>
  <c r="P70" i="20" s="1"/>
  <c r="P72" i="20" s="1"/>
  <c r="P45" i="20"/>
  <c r="Q50" i="19"/>
  <c r="P54" i="19"/>
  <c r="P77" i="19" s="1"/>
  <c r="R43" i="15"/>
  <c r="Q47" i="15"/>
  <c r="O85" i="13"/>
  <c r="O86" i="13" s="1"/>
  <c r="O87" i="13" s="1"/>
  <c r="O84" i="13"/>
  <c r="O54" i="5"/>
  <c r="O88" i="13"/>
  <c r="O71" i="5" s="1"/>
  <c r="S64" i="12"/>
  <c r="S58" i="12"/>
  <c r="S44" i="12"/>
  <c r="S65" i="13"/>
  <c r="Q83" i="11"/>
  <c r="Q71" i="11"/>
  <c r="Q70" i="11" s="1"/>
  <c r="Q72" i="11" s="1"/>
  <c r="Q45" i="11"/>
  <c r="T35" i="18"/>
  <c r="S40" i="18"/>
  <c r="S78" i="18" s="1"/>
  <c r="S64" i="17"/>
  <c r="S58" i="17"/>
  <c r="S44" i="17"/>
  <c r="P89" i="10"/>
  <c r="P15" i="5" s="1"/>
  <c r="O85" i="20"/>
  <c r="O84" i="20"/>
  <c r="O60" i="5"/>
  <c r="O88" i="20"/>
  <c r="O77" i="5" s="1"/>
  <c r="R50" i="10"/>
  <c r="Q54" i="10"/>
  <c r="Q77" i="10" s="1"/>
  <c r="S39" i="17"/>
  <c r="O11" i="5"/>
  <c r="L9" i="5"/>
  <c r="S60" i="20" l="1"/>
  <c r="T57" i="20" s="1"/>
  <c r="W66" i="14"/>
  <c r="R69" i="11"/>
  <c r="Q73" i="11"/>
  <c r="Q79" i="11" s="1"/>
  <c r="Q69" i="20"/>
  <c r="P73" i="20"/>
  <c r="P79" i="20" s="1"/>
  <c r="Q69" i="13"/>
  <c r="P73" i="13"/>
  <c r="P79" i="13" s="1"/>
  <c r="T64" i="2"/>
  <c r="T58" i="2"/>
  <c r="T44" i="2"/>
  <c r="S69" i="9"/>
  <c r="R73" i="9"/>
  <c r="R79" i="9" s="1"/>
  <c r="T35" i="17"/>
  <c r="S40" i="17"/>
  <c r="S78" i="17" s="1"/>
  <c r="O89" i="13"/>
  <c r="O13" i="5" s="1"/>
  <c r="Q45" i="19"/>
  <c r="T38" i="9"/>
  <c r="Q76" i="10"/>
  <c r="Q80" i="10" s="1"/>
  <c r="Q39" i="5"/>
  <c r="O86" i="17"/>
  <c r="O87" i="17" s="1"/>
  <c r="O89" i="17" s="1"/>
  <c r="Q86" i="9"/>
  <c r="Q87" i="9" s="1"/>
  <c r="Q89" i="9" s="1"/>
  <c r="Q14" i="5" s="1"/>
  <c r="R59" i="19"/>
  <c r="R60" i="19" s="1"/>
  <c r="S57" i="19" s="1"/>
  <c r="R52" i="9"/>
  <c r="R53" i="9" s="1"/>
  <c r="R46" i="9"/>
  <c r="R83" i="14"/>
  <c r="R71" i="14"/>
  <c r="R70" i="14" s="1"/>
  <c r="R72" i="14" s="1"/>
  <c r="R43" i="18"/>
  <c r="Q47" i="18"/>
  <c r="T35" i="10"/>
  <c r="S40" i="10"/>
  <c r="S78" i="10" s="1"/>
  <c r="T37" i="12"/>
  <c r="Q72" i="19"/>
  <c r="R69" i="19" s="1"/>
  <c r="P52" i="20"/>
  <c r="P53" i="20" s="1"/>
  <c r="P46" i="20"/>
  <c r="Q69" i="17"/>
  <c r="P73" i="17"/>
  <c r="P79" i="17" s="1"/>
  <c r="R51" i="10"/>
  <c r="R45" i="10" s="1"/>
  <c r="T39" i="2"/>
  <c r="T44" i="11"/>
  <c r="T64" i="11"/>
  <c r="T58" i="11"/>
  <c r="T59" i="11" s="1"/>
  <c r="T39" i="11"/>
  <c r="Q76" i="12"/>
  <c r="Q80" i="12" s="1"/>
  <c r="Q42" i="5"/>
  <c r="R65" i="19"/>
  <c r="R66" i="19" s="1"/>
  <c r="S63" i="19" s="1"/>
  <c r="R45" i="14"/>
  <c r="R50" i="18"/>
  <c r="Q54" i="18"/>
  <c r="Q77" i="18" s="1"/>
  <c r="T37" i="13"/>
  <c r="S65" i="10"/>
  <c r="S66" i="20"/>
  <c r="T63" i="20" s="1"/>
  <c r="Q43" i="13"/>
  <c r="P47" i="13"/>
  <c r="P86" i="11"/>
  <c r="P87" i="11" s="1"/>
  <c r="P89" i="11" s="1"/>
  <c r="O86" i="20"/>
  <c r="O87" i="20" s="1"/>
  <c r="O89" i="20" s="1"/>
  <c r="S59" i="17"/>
  <c r="S60" i="17" s="1"/>
  <c r="T57" i="17" s="1"/>
  <c r="T37" i="18"/>
  <c r="T38" i="18" s="1"/>
  <c r="S59" i="12"/>
  <c r="S60" i="12" s="1"/>
  <c r="T57" i="12" s="1"/>
  <c r="Q76" i="15"/>
  <c r="Q80" i="15" s="1"/>
  <c r="Q35" i="5"/>
  <c r="S65" i="17"/>
  <c r="Q52" i="11"/>
  <c r="Q53" i="11" s="1"/>
  <c r="Q46" i="11"/>
  <c r="S66" i="13"/>
  <c r="T63" i="13" s="1"/>
  <c r="S65" i="12"/>
  <c r="R51" i="15"/>
  <c r="P52" i="17"/>
  <c r="P53" i="17" s="1"/>
  <c r="P46" i="17"/>
  <c r="P86" i="18"/>
  <c r="P87" i="18" s="1"/>
  <c r="P89" i="18" s="1"/>
  <c r="P16" i="5" s="1"/>
  <c r="S35" i="19"/>
  <c r="R40" i="19"/>
  <c r="R78" i="19" s="1"/>
  <c r="S66" i="18"/>
  <c r="T63" i="18" s="1"/>
  <c r="S60" i="13"/>
  <c r="T57" i="13" s="1"/>
  <c r="P83" i="2"/>
  <c r="P71" i="2"/>
  <c r="P70" i="2" s="1"/>
  <c r="P72" i="2" s="1"/>
  <c r="P45" i="2"/>
  <c r="R51" i="12"/>
  <c r="Q53" i="5"/>
  <c r="Q85" i="14"/>
  <c r="Q84" i="14"/>
  <c r="Q88" i="14"/>
  <c r="Q70" i="5" s="1"/>
  <c r="U60" i="15"/>
  <c r="V57" i="15" s="1"/>
  <c r="V37" i="15"/>
  <c r="S60" i="18"/>
  <c r="T57" i="18" s="1"/>
  <c r="O49" i="5"/>
  <c r="O61" i="5" s="1"/>
  <c r="O62" i="5" s="1"/>
  <c r="O85" i="2"/>
  <c r="O84" i="2"/>
  <c r="O88" i="2"/>
  <c r="O66" i="5" s="1"/>
  <c r="O78" i="5" s="1"/>
  <c r="O79" i="5" s="1"/>
  <c r="T35" i="20"/>
  <c r="S40" i="20"/>
  <c r="S78" i="20" s="1"/>
  <c r="S59" i="10"/>
  <c r="S60" i="10" s="1"/>
  <c r="T57" i="10" s="1"/>
  <c r="P80" i="19"/>
  <c r="Q50" i="13"/>
  <c r="P54" i="13"/>
  <c r="P77" i="13" s="1"/>
  <c r="N10" i="5"/>
  <c r="M17" i="5"/>
  <c r="L19" i="5"/>
  <c r="L20" i="5" l="1"/>
  <c r="L26" i="5" s="1"/>
  <c r="T38" i="12"/>
  <c r="T39" i="12" s="1"/>
  <c r="Q69" i="2"/>
  <c r="P73" i="2"/>
  <c r="P79" i="2" s="1"/>
  <c r="R52" i="10"/>
  <c r="R53" i="10" s="1"/>
  <c r="R46" i="10"/>
  <c r="S69" i="14"/>
  <c r="R73" i="14"/>
  <c r="R79" i="14" s="1"/>
  <c r="Q88" i="15"/>
  <c r="Q69" i="5" s="1"/>
  <c r="Q52" i="5"/>
  <c r="Q85" i="15"/>
  <c r="Q86" i="15" s="1"/>
  <c r="Q87" i="15" s="1"/>
  <c r="Q84" i="15"/>
  <c r="T37" i="20"/>
  <c r="T38" i="20" s="1"/>
  <c r="Q86" i="14"/>
  <c r="P85" i="19"/>
  <c r="P88" i="19"/>
  <c r="P67" i="5" s="1"/>
  <c r="P50" i="5"/>
  <c r="P84" i="19"/>
  <c r="V38" i="15"/>
  <c r="V39" i="15" s="1"/>
  <c r="S37" i="19"/>
  <c r="R83" i="15"/>
  <c r="R71" i="15"/>
  <c r="R70" i="15" s="1"/>
  <c r="R72" i="15" s="1"/>
  <c r="T64" i="18"/>
  <c r="T65" i="18" s="1"/>
  <c r="T58" i="18"/>
  <c r="T59" i="18" s="1"/>
  <c r="T44" i="18"/>
  <c r="P76" i="13"/>
  <c r="P80" i="13" s="1"/>
  <c r="P37" i="5"/>
  <c r="T38" i="13"/>
  <c r="T39" i="13" s="1"/>
  <c r="Q85" i="12"/>
  <c r="Q86" i="12" s="1"/>
  <c r="Q87" i="12" s="1"/>
  <c r="Q84" i="12"/>
  <c r="Q59" i="5"/>
  <c r="Q88" i="12"/>
  <c r="Q76" i="5" s="1"/>
  <c r="U35" i="2"/>
  <c r="T40" i="2"/>
  <c r="T78" i="2" s="1"/>
  <c r="Q76" i="18"/>
  <c r="Q80" i="18" s="1"/>
  <c r="Q40" i="5"/>
  <c r="T58" i="9"/>
  <c r="T64" i="9"/>
  <c r="T44" i="9"/>
  <c r="T65" i="2"/>
  <c r="T66" i="2" s="1"/>
  <c r="U63" i="2" s="1"/>
  <c r="Q43" i="17"/>
  <c r="P47" i="17"/>
  <c r="R43" i="11"/>
  <c r="Q47" i="11"/>
  <c r="S66" i="17"/>
  <c r="T63" i="17" s="1"/>
  <c r="T39" i="18"/>
  <c r="Q51" i="13"/>
  <c r="R52" i="14"/>
  <c r="R53" i="14" s="1"/>
  <c r="R46" i="14"/>
  <c r="T65" i="11"/>
  <c r="R83" i="10"/>
  <c r="R71" i="10"/>
  <c r="R70" i="10" s="1"/>
  <c r="R72" i="10" s="1"/>
  <c r="Q43" i="20"/>
  <c r="P47" i="20"/>
  <c r="T58" i="12"/>
  <c r="T59" i="12" s="1"/>
  <c r="T44" i="12"/>
  <c r="R51" i="18"/>
  <c r="S43" i="9"/>
  <c r="R47" i="9"/>
  <c r="Q52" i="19"/>
  <c r="Q53" i="19" s="1"/>
  <c r="Q46" i="19"/>
  <c r="T37" i="17"/>
  <c r="T38" i="17" s="1"/>
  <c r="T39" i="9"/>
  <c r="O86" i="2"/>
  <c r="O87" i="2" s="1"/>
  <c r="O89" i="2" s="1"/>
  <c r="O8" i="5" s="1"/>
  <c r="R83" i="12"/>
  <c r="R71" i="12"/>
  <c r="R70" i="12" s="1"/>
  <c r="R72" i="12" s="1"/>
  <c r="R45" i="12"/>
  <c r="P52" i="2"/>
  <c r="P53" i="2" s="1"/>
  <c r="P46" i="2"/>
  <c r="Q50" i="17"/>
  <c r="P54" i="17"/>
  <c r="P77" i="17" s="1"/>
  <c r="R45" i="15"/>
  <c r="S66" i="12"/>
  <c r="T63" i="12" s="1"/>
  <c r="R50" i="11"/>
  <c r="Q54" i="11"/>
  <c r="Q77" i="11" s="1"/>
  <c r="S66" i="10"/>
  <c r="T63" i="10" s="1"/>
  <c r="T60" i="11"/>
  <c r="U57" i="11" s="1"/>
  <c r="U35" i="11"/>
  <c r="T40" i="11"/>
  <c r="T78" i="11" s="1"/>
  <c r="Q50" i="20"/>
  <c r="P54" i="20"/>
  <c r="P77" i="20" s="1"/>
  <c r="Q73" i="19"/>
  <c r="Q79" i="19" s="1"/>
  <c r="T37" i="10"/>
  <c r="S50" i="9"/>
  <c r="R54" i="9"/>
  <c r="R77" i="9" s="1"/>
  <c r="Q56" i="5"/>
  <c r="Q85" i="10"/>
  <c r="Q88" i="10"/>
  <c r="Q73" i="5" s="1"/>
  <c r="Q84" i="10"/>
  <c r="T59" i="2"/>
  <c r="T60" i="2" s="1"/>
  <c r="U57" i="2" s="1"/>
  <c r="L21" i="5" l="1"/>
  <c r="L29" i="5"/>
  <c r="T64" i="12"/>
  <c r="U35" i="12"/>
  <c r="T40" i="12"/>
  <c r="T78" i="12" s="1"/>
  <c r="Q89" i="12"/>
  <c r="T38" i="10"/>
  <c r="T39" i="10" s="1"/>
  <c r="T64" i="20"/>
  <c r="T58" i="20"/>
  <c r="T44" i="20"/>
  <c r="T39" i="20"/>
  <c r="T64" i="17"/>
  <c r="T65" i="17" s="1"/>
  <c r="T58" i="17"/>
  <c r="T44" i="17"/>
  <c r="P54" i="5"/>
  <c r="P85" i="13"/>
  <c r="P84" i="13"/>
  <c r="P88" i="13"/>
  <c r="P71" i="5" s="1"/>
  <c r="T39" i="17"/>
  <c r="R45" i="18"/>
  <c r="S69" i="10"/>
  <c r="R73" i="10"/>
  <c r="R79" i="10" s="1"/>
  <c r="Q83" i="13"/>
  <c r="Q71" i="13"/>
  <c r="Q70" i="13" s="1"/>
  <c r="Q72" i="13" s="1"/>
  <c r="P76" i="17"/>
  <c r="P80" i="17" s="1"/>
  <c r="P34" i="5"/>
  <c r="Q88" i="18"/>
  <c r="Q74" i="5" s="1"/>
  <c r="Q85" i="18"/>
  <c r="Q57" i="5"/>
  <c r="Q84" i="18"/>
  <c r="T64" i="13"/>
  <c r="T58" i="13"/>
  <c r="T44" i="13"/>
  <c r="S38" i="19"/>
  <c r="W35" i="15"/>
  <c r="V40" i="15"/>
  <c r="V78" i="15" s="1"/>
  <c r="S50" i="10"/>
  <c r="R54" i="10"/>
  <c r="R77" i="10" s="1"/>
  <c r="Q50" i="2"/>
  <c r="P54" i="2"/>
  <c r="P77" i="2" s="1"/>
  <c r="S69" i="12"/>
  <c r="R73" i="12"/>
  <c r="R79" i="12" s="1"/>
  <c r="U37" i="2"/>
  <c r="T65" i="12"/>
  <c r="R52" i="12"/>
  <c r="R53" i="12" s="1"/>
  <c r="R46" i="12"/>
  <c r="R43" i="19"/>
  <c r="Q47" i="19"/>
  <c r="R76" i="9"/>
  <c r="R80" i="9" s="1"/>
  <c r="R38" i="5"/>
  <c r="P76" i="20"/>
  <c r="P80" i="20" s="1"/>
  <c r="P43" i="5"/>
  <c r="U35" i="18"/>
  <c r="T40" i="18"/>
  <c r="T78" i="18" s="1"/>
  <c r="Q76" i="11"/>
  <c r="Q80" i="11" s="1"/>
  <c r="Q41" i="5"/>
  <c r="T66" i="18"/>
  <c r="U63" i="18" s="1"/>
  <c r="T65" i="9"/>
  <c r="T66" i="9" s="1"/>
  <c r="U63" i="9" s="1"/>
  <c r="L27" i="5"/>
  <c r="L28" i="5"/>
  <c r="Q86" i="10"/>
  <c r="Q87" i="10" s="1"/>
  <c r="Q89" i="10" s="1"/>
  <c r="Q15" i="5" s="1"/>
  <c r="U37" i="11"/>
  <c r="R52" i="15"/>
  <c r="R53" i="15" s="1"/>
  <c r="R46" i="15"/>
  <c r="Q43" i="2"/>
  <c r="P47" i="2"/>
  <c r="T60" i="18"/>
  <c r="U57" i="18" s="1"/>
  <c r="U35" i="9"/>
  <c r="T40" i="9"/>
  <c r="T78" i="9" s="1"/>
  <c r="R50" i="19"/>
  <c r="Q54" i="19"/>
  <c r="Q77" i="19" s="1"/>
  <c r="S51" i="9"/>
  <c r="S45" i="9" s="1"/>
  <c r="S52" i="9" s="1"/>
  <c r="Q51" i="20"/>
  <c r="T66" i="11"/>
  <c r="U63" i="11" s="1"/>
  <c r="S43" i="14"/>
  <c r="R47" i="14"/>
  <c r="Q45" i="13"/>
  <c r="R51" i="11"/>
  <c r="R45" i="11" s="1"/>
  <c r="R52" i="11" s="1"/>
  <c r="Q51" i="17"/>
  <c r="T59" i="9"/>
  <c r="T60" i="9" s="1"/>
  <c r="U57" i="9" s="1"/>
  <c r="T60" i="12"/>
  <c r="U57" i="12" s="1"/>
  <c r="V64" i="15"/>
  <c r="V44" i="15"/>
  <c r="V58" i="15"/>
  <c r="Q87" i="14"/>
  <c r="Q89" i="14" s="1"/>
  <c r="Q89" i="15"/>
  <c r="U37" i="12"/>
  <c r="U38" i="12" s="1"/>
  <c r="R83" i="18"/>
  <c r="R71" i="18"/>
  <c r="R70" i="18" s="1"/>
  <c r="R72" i="18" s="1"/>
  <c r="S50" i="14"/>
  <c r="R54" i="14"/>
  <c r="R77" i="14" s="1"/>
  <c r="S69" i="15"/>
  <c r="R73" i="15"/>
  <c r="R79" i="15" s="1"/>
  <c r="P86" i="19"/>
  <c r="P87" i="19" s="1"/>
  <c r="U35" i="13"/>
  <c r="T40" i="13"/>
  <c r="T78" i="13" s="1"/>
  <c r="S43" i="10"/>
  <c r="R47" i="10"/>
  <c r="N18" i="5"/>
  <c r="N12" i="5"/>
  <c r="P11" i="5"/>
  <c r="U38" i="11" l="1"/>
  <c r="U39" i="11" s="1"/>
  <c r="T64" i="10"/>
  <c r="T65" i="10" s="1"/>
  <c r="T40" i="10"/>
  <c r="T78" i="10" s="1"/>
  <c r="U35" i="10"/>
  <c r="T58" i="10"/>
  <c r="T59" i="10" s="1"/>
  <c r="T60" i="10" s="1"/>
  <c r="U57" i="10" s="1"/>
  <c r="T44" i="10"/>
  <c r="U38" i="2"/>
  <c r="U39" i="2" s="1"/>
  <c r="U44" i="12"/>
  <c r="U64" i="12"/>
  <c r="U58" i="12"/>
  <c r="U59" i="12" s="1"/>
  <c r="S69" i="18"/>
  <c r="R73" i="18"/>
  <c r="R79" i="18" s="1"/>
  <c r="S51" i="10"/>
  <c r="S45" i="10" s="1"/>
  <c r="S52" i="10" s="1"/>
  <c r="V59" i="15"/>
  <c r="V60" i="15" s="1"/>
  <c r="W57" i="15" s="1"/>
  <c r="U60" i="12"/>
  <c r="V57" i="12" s="1"/>
  <c r="Q83" i="17"/>
  <c r="Q71" i="17"/>
  <c r="Q70" i="17"/>
  <c r="Q72" i="17" s="1"/>
  <c r="R76" i="14"/>
  <c r="R80" i="14" s="1"/>
  <c r="R36" i="5"/>
  <c r="Q83" i="20"/>
  <c r="Q71" i="20"/>
  <c r="Q70" i="20" s="1"/>
  <c r="Q72" i="20" s="1"/>
  <c r="S43" i="15"/>
  <c r="R47" i="15"/>
  <c r="Q58" i="5"/>
  <c r="Q84" i="11"/>
  <c r="Q85" i="11"/>
  <c r="Q88" i="11"/>
  <c r="Q75" i="5" s="1"/>
  <c r="R51" i="19"/>
  <c r="R45" i="19" s="1"/>
  <c r="R52" i="19" s="1"/>
  <c r="R53" i="19" s="1"/>
  <c r="T59" i="13"/>
  <c r="T60" i="13" s="1"/>
  <c r="U57" i="13" s="1"/>
  <c r="R69" i="13"/>
  <c r="Q73" i="13"/>
  <c r="Q79" i="13" s="1"/>
  <c r="U37" i="13"/>
  <c r="U39" i="12"/>
  <c r="R83" i="11"/>
  <c r="R71" i="11"/>
  <c r="R70" i="11" s="1"/>
  <c r="R72" i="11" s="1"/>
  <c r="S51" i="14"/>
  <c r="Q45" i="20"/>
  <c r="S83" i="9"/>
  <c r="S71" i="9"/>
  <c r="S70" i="9" s="1"/>
  <c r="S72" i="9" s="1"/>
  <c r="S46" i="9"/>
  <c r="P32" i="5"/>
  <c r="P44" i="5" s="1"/>
  <c r="P45" i="5" s="1"/>
  <c r="P76" i="2"/>
  <c r="P80" i="2" s="1"/>
  <c r="S50" i="15"/>
  <c r="R54" i="15"/>
  <c r="R77" i="15" s="1"/>
  <c r="U44" i="11"/>
  <c r="U64" i="11"/>
  <c r="U65" i="11" s="1"/>
  <c r="U66" i="11" s="1"/>
  <c r="V63" i="11" s="1"/>
  <c r="U58" i="11"/>
  <c r="R85" i="9"/>
  <c r="R88" i="9"/>
  <c r="R72" i="5" s="1"/>
  <c r="R84" i="9"/>
  <c r="R55" i="5"/>
  <c r="S43" i="12"/>
  <c r="R47" i="12"/>
  <c r="T66" i="12"/>
  <c r="U63" i="12" s="1"/>
  <c r="S44" i="19"/>
  <c r="S64" i="19"/>
  <c r="S58" i="19"/>
  <c r="T65" i="13"/>
  <c r="T66" i="13" s="1"/>
  <c r="U63" i="13" s="1"/>
  <c r="P51" i="5"/>
  <c r="P84" i="17"/>
  <c r="P88" i="17"/>
  <c r="P68" i="5" s="1"/>
  <c r="P85" i="17"/>
  <c r="R76" i="10"/>
  <c r="R80" i="10" s="1"/>
  <c r="R39" i="5"/>
  <c r="P89" i="19"/>
  <c r="R53" i="11"/>
  <c r="V65" i="15"/>
  <c r="V66" i="15" s="1"/>
  <c r="W63" i="15" s="1"/>
  <c r="R46" i="11"/>
  <c r="Q52" i="13"/>
  <c r="Q53" i="13" s="1"/>
  <c r="Q46" i="13"/>
  <c r="U37" i="9"/>
  <c r="U38" i="9" s="1"/>
  <c r="Q51" i="2"/>
  <c r="Q45" i="2" s="1"/>
  <c r="Q52" i="2" s="1"/>
  <c r="Q53" i="2" s="1"/>
  <c r="S53" i="9"/>
  <c r="U37" i="18"/>
  <c r="P84" i="20"/>
  <c r="P60" i="5"/>
  <c r="P85" i="20"/>
  <c r="P86" i="20" s="1"/>
  <c r="P87" i="20" s="1"/>
  <c r="P88" i="20"/>
  <c r="P77" i="5" s="1"/>
  <c r="Q76" i="19"/>
  <c r="Q80" i="19" s="1"/>
  <c r="Q33" i="5"/>
  <c r="S50" i="12"/>
  <c r="R54" i="12"/>
  <c r="R77" i="12" s="1"/>
  <c r="W37" i="15"/>
  <c r="T66" i="17"/>
  <c r="U63" i="17" s="1"/>
  <c r="R52" i="18"/>
  <c r="R53" i="18" s="1"/>
  <c r="R46" i="18"/>
  <c r="S39" i="19"/>
  <c r="T59" i="20"/>
  <c r="T60" i="20" s="1"/>
  <c r="U57" i="20" s="1"/>
  <c r="U35" i="17"/>
  <c r="T40" i="17"/>
  <c r="T78" i="17" s="1"/>
  <c r="U35" i="20"/>
  <c r="T40" i="20"/>
  <c r="T78" i="20" s="1"/>
  <c r="T65" i="20"/>
  <c r="U37" i="10"/>
  <c r="Q45" i="17"/>
  <c r="Q86" i="18"/>
  <c r="Q87" i="18" s="1"/>
  <c r="Q89" i="18" s="1"/>
  <c r="Q16" i="5" s="1"/>
  <c r="P86" i="13"/>
  <c r="P87" i="13" s="1"/>
  <c r="P89" i="13" s="1"/>
  <c r="P13" i="5" s="1"/>
  <c r="T59" i="17"/>
  <c r="T60" i="17" s="1"/>
  <c r="U57" i="17" s="1"/>
  <c r="M9" i="5"/>
  <c r="V35" i="11" l="1"/>
  <c r="V37" i="11" s="1"/>
  <c r="U40" i="11"/>
  <c r="U78" i="11" s="1"/>
  <c r="S45" i="14"/>
  <c r="S52" i="14" s="1"/>
  <c r="S53" i="14" s="1"/>
  <c r="T66" i="10"/>
  <c r="U63" i="10" s="1"/>
  <c r="U44" i="2"/>
  <c r="U38" i="18"/>
  <c r="U39" i="18" s="1"/>
  <c r="S53" i="10"/>
  <c r="T50" i="10" s="1"/>
  <c r="W38" i="15"/>
  <c r="W39" i="15" s="1"/>
  <c r="W40" i="15" s="1"/>
  <c r="W78" i="15" s="1"/>
  <c r="U38" i="13"/>
  <c r="U39" i="13" s="1"/>
  <c r="U64" i="2"/>
  <c r="U65" i="2" s="1"/>
  <c r="U66" i="2" s="1"/>
  <c r="V63" i="2" s="1"/>
  <c r="R50" i="2"/>
  <c r="Q54" i="2"/>
  <c r="Q77" i="2" s="1"/>
  <c r="U40" i="2"/>
  <c r="U78" i="2" s="1"/>
  <c r="V35" i="2"/>
  <c r="V37" i="2" s="1"/>
  <c r="U58" i="2"/>
  <c r="U59" i="2" s="1"/>
  <c r="U60" i="2" s="1"/>
  <c r="V57" i="2" s="1"/>
  <c r="U44" i="9"/>
  <c r="U64" i="9"/>
  <c r="U58" i="9"/>
  <c r="S50" i="19"/>
  <c r="R54" i="19"/>
  <c r="R77" i="19" s="1"/>
  <c r="T69" i="9"/>
  <c r="S73" i="9"/>
  <c r="S79" i="9" s="1"/>
  <c r="R69" i="20"/>
  <c r="Q73" i="20"/>
  <c r="Q79" i="20" s="1"/>
  <c r="R84" i="10"/>
  <c r="R56" i="5"/>
  <c r="R85" i="10"/>
  <c r="R86" i="10" s="1"/>
  <c r="R87" i="10" s="1"/>
  <c r="R88" i="10"/>
  <c r="R73" i="5" s="1"/>
  <c r="T35" i="19"/>
  <c r="S40" i="19"/>
  <c r="S78" i="19" s="1"/>
  <c r="Q52" i="17"/>
  <c r="Q53" i="17" s="1"/>
  <c r="Q46" i="17"/>
  <c r="S43" i="18"/>
  <c r="R47" i="18"/>
  <c r="T50" i="9"/>
  <c r="S54" i="9"/>
  <c r="S77" i="9" s="1"/>
  <c r="U38" i="10"/>
  <c r="U37" i="17"/>
  <c r="U38" i="17" s="1"/>
  <c r="S50" i="18"/>
  <c r="R54" i="18"/>
  <c r="R77" i="18" s="1"/>
  <c r="P89" i="20"/>
  <c r="Q83" i="2"/>
  <c r="Q71" i="2"/>
  <c r="Q70" i="2" s="1"/>
  <c r="Q72" i="2" s="1"/>
  <c r="Q46" i="2"/>
  <c r="U39" i="9"/>
  <c r="S43" i="11"/>
  <c r="R47" i="11"/>
  <c r="S51" i="12"/>
  <c r="S45" i="12" s="1"/>
  <c r="S52" i="12" s="1"/>
  <c r="T43" i="9"/>
  <c r="S47" i="9"/>
  <c r="V38" i="11"/>
  <c r="V39" i="11" s="1"/>
  <c r="S46" i="10"/>
  <c r="U37" i="20"/>
  <c r="U38" i="20" s="1"/>
  <c r="Q85" i="19"/>
  <c r="Q84" i="19"/>
  <c r="Q88" i="19"/>
  <c r="Q67" i="5" s="1"/>
  <c r="Q50" i="5"/>
  <c r="R43" i="13"/>
  <c r="Q47" i="13"/>
  <c r="S50" i="11"/>
  <c r="R54" i="11"/>
  <c r="R77" i="11" s="1"/>
  <c r="P86" i="17"/>
  <c r="S59" i="19"/>
  <c r="S60" i="19" s="1"/>
  <c r="T57" i="19" s="1"/>
  <c r="U65" i="12"/>
  <c r="U66" i="12" s="1"/>
  <c r="V63" i="12" s="1"/>
  <c r="R86" i="9"/>
  <c r="R87" i="9" s="1"/>
  <c r="R89" i="9" s="1"/>
  <c r="R14" i="5" s="1"/>
  <c r="P85" i="2"/>
  <c r="P84" i="2"/>
  <c r="P49" i="5"/>
  <c r="P61" i="5" s="1"/>
  <c r="P62" i="5" s="1"/>
  <c r="P88" i="2"/>
  <c r="P66" i="5" s="1"/>
  <c r="P78" i="5" s="1"/>
  <c r="P79" i="5" s="1"/>
  <c r="Q52" i="20"/>
  <c r="Q53" i="20" s="1"/>
  <c r="Q46" i="20"/>
  <c r="S69" i="11"/>
  <c r="R73" i="11"/>
  <c r="R79" i="11" s="1"/>
  <c r="V35" i="12"/>
  <c r="U40" i="12"/>
  <c r="U78" i="12" s="1"/>
  <c r="Q86" i="11"/>
  <c r="Q87" i="11" s="1"/>
  <c r="Q89" i="11" s="1"/>
  <c r="R76" i="15"/>
  <c r="R80" i="15" s="1"/>
  <c r="R35" i="5"/>
  <c r="R88" i="14"/>
  <c r="R70" i="5" s="1"/>
  <c r="R53" i="5"/>
  <c r="R85" i="14"/>
  <c r="R84" i="14"/>
  <c r="T66" i="20"/>
  <c r="U63" i="20" s="1"/>
  <c r="R50" i="13"/>
  <c r="Q54" i="13"/>
  <c r="Q77" i="13" s="1"/>
  <c r="S65" i="19"/>
  <c r="S66" i="19" s="1"/>
  <c r="T63" i="19" s="1"/>
  <c r="R76" i="12"/>
  <c r="R80" i="12" s="1"/>
  <c r="R42" i="5"/>
  <c r="U59" i="11"/>
  <c r="U60" i="11"/>
  <c r="V57" i="11" s="1"/>
  <c r="S83" i="14"/>
  <c r="S71" i="14"/>
  <c r="S70" i="14" s="1"/>
  <c r="S72" i="14" s="1"/>
  <c r="R83" i="19"/>
  <c r="R71" i="19"/>
  <c r="R70" i="19" s="1"/>
  <c r="R72" i="19" s="1"/>
  <c r="R46" i="19"/>
  <c r="S51" i="15"/>
  <c r="S45" i="15" s="1"/>
  <c r="R69" i="17"/>
  <c r="Q73" i="17"/>
  <c r="Q79" i="17" s="1"/>
  <c r="S83" i="10"/>
  <c r="S71" i="10"/>
  <c r="S70" i="10" s="1"/>
  <c r="S72" i="10" s="1"/>
  <c r="N17" i="5"/>
  <c r="M19" i="5"/>
  <c r="U64" i="13" l="1"/>
  <c r="U65" i="13" s="1"/>
  <c r="U58" i="18"/>
  <c r="U59" i="18" s="1"/>
  <c r="U60" i="18" s="1"/>
  <c r="V57" i="18" s="1"/>
  <c r="U64" i="18"/>
  <c r="U65" i="18" s="1"/>
  <c r="U66" i="18" s="1"/>
  <c r="V63" i="18" s="1"/>
  <c r="M20" i="5"/>
  <c r="M26" i="5" s="1"/>
  <c r="W44" i="15"/>
  <c r="W58" i="15"/>
  <c r="W59" i="15" s="1"/>
  <c r="S46" i="14"/>
  <c r="W64" i="15"/>
  <c r="W65" i="15" s="1"/>
  <c r="T50" i="14"/>
  <c r="S54" i="14"/>
  <c r="S77" i="14" s="1"/>
  <c r="U58" i="13"/>
  <c r="U59" i="13" s="1"/>
  <c r="U44" i="13"/>
  <c r="U40" i="18"/>
  <c r="U78" i="18" s="1"/>
  <c r="V35" i="18"/>
  <c r="V37" i="18" s="1"/>
  <c r="U44" i="18"/>
  <c r="S54" i="10"/>
  <c r="S77" i="10" s="1"/>
  <c r="U40" i="13"/>
  <c r="U78" i="13" s="1"/>
  <c r="V35" i="13"/>
  <c r="V37" i="13" s="1"/>
  <c r="V38" i="13" s="1"/>
  <c r="S52" i="15"/>
  <c r="S53" i="15" s="1"/>
  <c r="S46" i="15"/>
  <c r="T69" i="14"/>
  <c r="S73" i="14"/>
  <c r="S79" i="14" s="1"/>
  <c r="U58" i="17"/>
  <c r="U44" i="17"/>
  <c r="U64" i="17"/>
  <c r="W35" i="11"/>
  <c r="V40" i="11"/>
  <c r="V78" i="11" s="1"/>
  <c r="U64" i="20"/>
  <c r="U44" i="20"/>
  <c r="U58" i="20"/>
  <c r="V38" i="2"/>
  <c r="S69" i="19"/>
  <c r="R73" i="19"/>
  <c r="R79" i="19" s="1"/>
  <c r="S43" i="19"/>
  <c r="R47" i="19"/>
  <c r="R85" i="15"/>
  <c r="R88" i="15"/>
  <c r="R69" i="5" s="1"/>
  <c r="R52" i="5"/>
  <c r="R84" i="15"/>
  <c r="P86" i="2"/>
  <c r="R51" i="13"/>
  <c r="R45" i="13" s="1"/>
  <c r="U39" i="20"/>
  <c r="S76" i="9"/>
  <c r="S80" i="9" s="1"/>
  <c r="S38" i="5"/>
  <c r="R76" i="11"/>
  <c r="R41" i="5"/>
  <c r="R43" i="2"/>
  <c r="Q47" i="2"/>
  <c r="U39" i="17"/>
  <c r="U64" i="10"/>
  <c r="U58" i="10"/>
  <c r="U44" i="10"/>
  <c r="S51" i="18"/>
  <c r="S45" i="18" s="1"/>
  <c r="S52" i="18" s="1"/>
  <c r="S53" i="18" s="1"/>
  <c r="R50" i="17"/>
  <c r="Q54" i="17"/>
  <c r="Q77" i="17" s="1"/>
  <c r="R89" i="10"/>
  <c r="R15" i="5" s="1"/>
  <c r="U66" i="13"/>
  <c r="V63" i="13" s="1"/>
  <c r="U59" i="9"/>
  <c r="U60" i="9" s="1"/>
  <c r="V57" i="9" s="1"/>
  <c r="U39" i="10"/>
  <c r="T69" i="10"/>
  <c r="S73" i="10"/>
  <c r="S79" i="10" s="1"/>
  <c r="U65" i="20"/>
  <c r="U66" i="20" s="1"/>
  <c r="V63" i="20" s="1"/>
  <c r="V37" i="12"/>
  <c r="R43" i="20"/>
  <c r="Q47" i="20"/>
  <c r="Q86" i="19"/>
  <c r="Q87" i="19" s="1"/>
  <c r="Q89" i="19" s="1"/>
  <c r="T43" i="10"/>
  <c r="S47" i="10"/>
  <c r="T43" i="14"/>
  <c r="S47" i="14"/>
  <c r="T51" i="9"/>
  <c r="S83" i="12"/>
  <c r="S71" i="12"/>
  <c r="S70" i="12" s="1"/>
  <c r="S72" i="12" s="1"/>
  <c r="S46" i="12"/>
  <c r="S51" i="11"/>
  <c r="U65" i="9"/>
  <c r="U66" i="9" s="1"/>
  <c r="V63" i="9" s="1"/>
  <c r="S83" i="15"/>
  <c r="S71" i="15"/>
  <c r="S70" i="15" s="1"/>
  <c r="S72" i="15" s="1"/>
  <c r="R59" i="5"/>
  <c r="R85" i="12"/>
  <c r="R84" i="12"/>
  <c r="R88" i="12"/>
  <c r="R76" i="5" s="1"/>
  <c r="R86" i="14"/>
  <c r="R87" i="14" s="1"/>
  <c r="R89" i="14" s="1"/>
  <c r="R80" i="11"/>
  <c r="R50" i="20"/>
  <c r="Q54" i="20"/>
  <c r="Q77" i="20" s="1"/>
  <c r="P87" i="17"/>
  <c r="P89" i="17" s="1"/>
  <c r="Q76" i="13"/>
  <c r="Q80" i="13" s="1"/>
  <c r="Q37" i="5"/>
  <c r="V64" i="11"/>
  <c r="V58" i="11"/>
  <c r="V59" i="11" s="1"/>
  <c r="V44" i="11"/>
  <c r="V35" i="9"/>
  <c r="U40" i="9"/>
  <c r="U78" i="9" s="1"/>
  <c r="R69" i="2"/>
  <c r="Q73" i="2"/>
  <c r="Q79" i="2" s="1"/>
  <c r="S53" i="12"/>
  <c r="R76" i="18"/>
  <c r="R80" i="18" s="1"/>
  <c r="R40" i="5"/>
  <c r="R43" i="17"/>
  <c r="Q47" i="17"/>
  <c r="T37" i="19"/>
  <c r="T38" i="19" s="1"/>
  <c r="T39" i="19" s="1"/>
  <c r="N9" i="5"/>
  <c r="O10" i="5"/>
  <c r="O12" i="5"/>
  <c r="U60" i="13" l="1"/>
  <c r="V57" i="13" s="1"/>
  <c r="M21" i="5"/>
  <c r="M29" i="5"/>
  <c r="W60" i="15"/>
  <c r="V60" i="11"/>
  <c r="W57" i="11" s="1"/>
  <c r="V38" i="18"/>
  <c r="V39" i="18" s="1"/>
  <c r="W35" i="18" s="1"/>
  <c r="U35" i="19"/>
  <c r="T40" i="19"/>
  <c r="T78" i="19" s="1"/>
  <c r="R52" i="13"/>
  <c r="R53" i="13" s="1"/>
  <c r="R46" i="13"/>
  <c r="V58" i="13"/>
  <c r="V59" i="13" s="1"/>
  <c r="V44" i="13"/>
  <c r="V64" i="13"/>
  <c r="V65" i="13" s="1"/>
  <c r="T50" i="18"/>
  <c r="S54" i="18"/>
  <c r="S77" i="18" s="1"/>
  <c r="T50" i="15"/>
  <c r="S54" i="15"/>
  <c r="S77" i="15" s="1"/>
  <c r="R88" i="18"/>
  <c r="R74" i="5" s="1"/>
  <c r="R85" i="18"/>
  <c r="R86" i="18" s="1"/>
  <c r="R87" i="18" s="1"/>
  <c r="R57" i="5"/>
  <c r="R84" i="18"/>
  <c r="Q84" i="13"/>
  <c r="Q88" i="13"/>
  <c r="Q71" i="5" s="1"/>
  <c r="Q54" i="5"/>
  <c r="Q85" i="13"/>
  <c r="T83" i="9"/>
  <c r="T71" i="9"/>
  <c r="T70" i="9" s="1"/>
  <c r="T72" i="9" s="1"/>
  <c r="T45" i="9"/>
  <c r="R51" i="17"/>
  <c r="R45" i="17" s="1"/>
  <c r="R52" i="17" s="1"/>
  <c r="R86" i="12"/>
  <c r="R87" i="12" s="1"/>
  <c r="S83" i="11"/>
  <c r="S71" i="11"/>
  <c r="S70" i="11" s="1"/>
  <c r="S72" i="11" s="1"/>
  <c r="S76" i="14"/>
  <c r="S80" i="14" s="1"/>
  <c r="S36" i="5"/>
  <c r="M27" i="5"/>
  <c r="M28" i="5"/>
  <c r="V37" i="9"/>
  <c r="V65" i="11"/>
  <c r="R84" i="11"/>
  <c r="R58" i="5"/>
  <c r="R85" i="11"/>
  <c r="R86" i="11" s="1"/>
  <c r="R87" i="11" s="1"/>
  <c r="R88" i="11"/>
  <c r="R75" i="5" s="1"/>
  <c r="S45" i="11"/>
  <c r="T43" i="12"/>
  <c r="S47" i="12"/>
  <c r="T51" i="14"/>
  <c r="T45" i="14" s="1"/>
  <c r="T52" i="14" s="1"/>
  <c r="T51" i="10"/>
  <c r="T45" i="10" s="1"/>
  <c r="T52" i="10" s="1"/>
  <c r="V38" i="12"/>
  <c r="S85" i="9"/>
  <c r="S86" i="9" s="1"/>
  <c r="S87" i="9" s="1"/>
  <c r="S55" i="5"/>
  <c r="S88" i="9"/>
  <c r="S72" i="5" s="1"/>
  <c r="S84" i="9"/>
  <c r="V39" i="13"/>
  <c r="S46" i="18"/>
  <c r="U59" i="10"/>
  <c r="U60" i="10" s="1"/>
  <c r="V57" i="10" s="1"/>
  <c r="R51" i="2"/>
  <c r="R45" i="2" s="1"/>
  <c r="R52" i="2" s="1"/>
  <c r="V35" i="20"/>
  <c r="U40" i="20"/>
  <c r="U78" i="20" s="1"/>
  <c r="U65" i="17"/>
  <c r="U66" i="17" s="1"/>
  <c r="V63" i="17" s="1"/>
  <c r="T43" i="15"/>
  <c r="S47" i="15"/>
  <c r="T69" i="12"/>
  <c r="S73" i="12"/>
  <c r="S79" i="12" s="1"/>
  <c r="Q76" i="20"/>
  <c r="Q80" i="20" s="1"/>
  <c r="Q43" i="5"/>
  <c r="W37" i="18"/>
  <c r="W38" i="18" s="1"/>
  <c r="U65" i="10"/>
  <c r="U66" i="10" s="1"/>
  <c r="V63" i="10" s="1"/>
  <c r="R83" i="13"/>
  <c r="R71" i="13"/>
  <c r="R70" i="13" s="1"/>
  <c r="R72" i="13" s="1"/>
  <c r="R76" i="19"/>
  <c r="R80" i="19" s="1"/>
  <c r="R33" i="5"/>
  <c r="U59" i="20"/>
  <c r="U60" i="20"/>
  <c r="V57" i="20" s="1"/>
  <c r="W37" i="11"/>
  <c r="T64" i="19"/>
  <c r="T58" i="19"/>
  <c r="T44" i="19"/>
  <c r="Q76" i="17"/>
  <c r="Q80" i="17" s="1"/>
  <c r="Q34" i="5"/>
  <c r="T50" i="12"/>
  <c r="S54" i="12"/>
  <c r="S77" i="12" s="1"/>
  <c r="T69" i="15"/>
  <c r="S73" i="15"/>
  <c r="S79" i="15" s="1"/>
  <c r="S76" i="10"/>
  <c r="S80" i="10" s="1"/>
  <c r="S39" i="5"/>
  <c r="R51" i="20"/>
  <c r="R45" i="20" s="1"/>
  <c r="V35" i="10"/>
  <c r="U40" i="10"/>
  <c r="U78" i="10" s="1"/>
  <c r="V44" i="18"/>
  <c r="S83" i="18"/>
  <c r="S71" i="18"/>
  <c r="S70" i="18" s="1"/>
  <c r="S72" i="18" s="1"/>
  <c r="V35" i="17"/>
  <c r="U40" i="17"/>
  <c r="U78" i="17" s="1"/>
  <c r="Q76" i="2"/>
  <c r="Q80" i="2" s="1"/>
  <c r="Q32" i="5"/>
  <c r="P87" i="2"/>
  <c r="P89" i="2" s="1"/>
  <c r="P8" i="5" s="1"/>
  <c r="R86" i="15"/>
  <c r="R87" i="15" s="1"/>
  <c r="R89" i="15" s="1"/>
  <c r="S51" i="19"/>
  <c r="S45" i="19" s="1"/>
  <c r="S52" i="19" s="1"/>
  <c r="V58" i="2"/>
  <c r="V44" i="2"/>
  <c r="V64" i="2"/>
  <c r="W66" i="15"/>
  <c r="U59" i="17"/>
  <c r="U60" i="17" s="1"/>
  <c r="V57" i="17" s="1"/>
  <c r="V39" i="2"/>
  <c r="Q11" i="5"/>
  <c r="V60" i="13" l="1"/>
  <c r="W57" i="13" s="1"/>
  <c r="V58" i="18"/>
  <c r="V59" i="18" s="1"/>
  <c r="V40" i="18"/>
  <c r="V78" i="18" s="1"/>
  <c r="V64" i="18"/>
  <c r="V65" i="18" s="1"/>
  <c r="R89" i="18"/>
  <c r="R16" i="5" s="1"/>
  <c r="T46" i="10"/>
  <c r="U43" i="10" s="1"/>
  <c r="R53" i="17"/>
  <c r="R46" i="2"/>
  <c r="S43" i="2" s="1"/>
  <c r="Q88" i="2"/>
  <c r="Q66" i="5" s="1"/>
  <c r="Q85" i="2"/>
  <c r="Q86" i="2" s="1"/>
  <c r="Q87" i="2" s="1"/>
  <c r="Q84" i="2"/>
  <c r="Q49" i="5"/>
  <c r="R52" i="20"/>
  <c r="R46" i="20"/>
  <c r="S56" i="5"/>
  <c r="S85" i="10"/>
  <c r="S88" i="10"/>
  <c r="S73" i="5" s="1"/>
  <c r="S84" i="10"/>
  <c r="T69" i="18"/>
  <c r="S73" i="18"/>
  <c r="S79" i="18" s="1"/>
  <c r="T69" i="11"/>
  <c r="S73" i="11"/>
  <c r="S79" i="11" s="1"/>
  <c r="U69" i="9"/>
  <c r="T73" i="9"/>
  <c r="T79" i="9" s="1"/>
  <c r="W64" i="18"/>
  <c r="W58" i="18"/>
  <c r="W59" i="18" s="1"/>
  <c r="W44" i="18"/>
  <c r="W39" i="18"/>
  <c r="W40" i="18" s="1"/>
  <c r="W78" i="18" s="1"/>
  <c r="W35" i="2"/>
  <c r="V40" i="2"/>
  <c r="V78" i="2" s="1"/>
  <c r="R88" i="19"/>
  <c r="R67" i="5" s="1"/>
  <c r="R50" i="5"/>
  <c r="R85" i="19"/>
  <c r="R84" i="19"/>
  <c r="V37" i="10"/>
  <c r="Q85" i="17"/>
  <c r="Q51" i="5"/>
  <c r="Q84" i="17"/>
  <c r="Q88" i="17"/>
  <c r="Q68" i="5" s="1"/>
  <c r="T65" i="19"/>
  <c r="T66" i="19" s="1"/>
  <c r="U63" i="19" s="1"/>
  <c r="W38" i="11"/>
  <c r="V37" i="20"/>
  <c r="W35" i="13"/>
  <c r="V40" i="13"/>
  <c r="V78" i="13" s="1"/>
  <c r="V64" i="12"/>
  <c r="V58" i="12"/>
  <c r="V44" i="12"/>
  <c r="T46" i="14"/>
  <c r="S52" i="11"/>
  <c r="S53" i="11" s="1"/>
  <c r="S46" i="11"/>
  <c r="V38" i="9"/>
  <c r="R83" i="17"/>
  <c r="R71" i="17"/>
  <c r="R70" i="17" s="1"/>
  <c r="R72" i="17" s="1"/>
  <c r="Q86" i="13"/>
  <c r="Q87" i="13" s="1"/>
  <c r="S50" i="13"/>
  <c r="R54" i="13"/>
  <c r="R77" i="13" s="1"/>
  <c r="V59" i="2"/>
  <c r="V60" i="2" s="1"/>
  <c r="W57" i="2" s="1"/>
  <c r="V65" i="2"/>
  <c r="V66" i="2" s="1"/>
  <c r="W63" i="2" s="1"/>
  <c r="S46" i="19"/>
  <c r="V66" i="13"/>
  <c r="W63" i="13" s="1"/>
  <c r="S83" i="19"/>
  <c r="S71" i="19"/>
  <c r="S70" i="19" s="1"/>
  <c r="S72" i="19" s="1"/>
  <c r="S53" i="19"/>
  <c r="Q44" i="5"/>
  <c r="Q45" i="5" s="1"/>
  <c r="V37" i="17"/>
  <c r="V38" i="17" s="1"/>
  <c r="S85" i="14"/>
  <c r="S84" i="14"/>
  <c r="S88" i="14"/>
  <c r="S70" i="5" s="1"/>
  <c r="S53" i="5"/>
  <c r="S76" i="15"/>
  <c r="S80" i="15" s="1"/>
  <c r="S35" i="5"/>
  <c r="R83" i="2"/>
  <c r="R71" i="2"/>
  <c r="R70" i="2" s="1"/>
  <c r="R72" i="2" s="1"/>
  <c r="R53" i="2"/>
  <c r="S89" i="9"/>
  <c r="S14" i="5" s="1"/>
  <c r="T83" i="10"/>
  <c r="T71" i="10"/>
  <c r="T70" i="10" s="1"/>
  <c r="T72" i="10" s="1"/>
  <c r="T53" i="10"/>
  <c r="T83" i="14"/>
  <c r="T71" i="14"/>
  <c r="T70" i="14" s="1"/>
  <c r="T72" i="14" s="1"/>
  <c r="T53" i="14"/>
  <c r="S76" i="12"/>
  <c r="S80" i="12" s="1"/>
  <c r="S42" i="5"/>
  <c r="V66" i="11"/>
  <c r="W63" i="11" s="1"/>
  <c r="R89" i="12"/>
  <c r="R46" i="17"/>
  <c r="T52" i="9"/>
  <c r="T53" i="9" s="1"/>
  <c r="T46" i="9"/>
  <c r="V39" i="12"/>
  <c r="U37" i="19"/>
  <c r="R83" i="20"/>
  <c r="R71" i="20"/>
  <c r="R70" i="20" s="1"/>
  <c r="R72" i="20" s="1"/>
  <c r="R53" i="20"/>
  <c r="T59" i="19"/>
  <c r="S69" i="13"/>
  <c r="R73" i="13"/>
  <c r="R79" i="13" s="1"/>
  <c r="Q84" i="20"/>
  <c r="Q60" i="5"/>
  <c r="Q85" i="20"/>
  <c r="Q86" i="20" s="1"/>
  <c r="Q87" i="20" s="1"/>
  <c r="Q88" i="20"/>
  <c r="Q77" i="5" s="1"/>
  <c r="T51" i="15"/>
  <c r="T43" i="18"/>
  <c r="S47" i="18"/>
  <c r="T51" i="12"/>
  <c r="R89" i="11"/>
  <c r="S43" i="13"/>
  <c r="R47" i="13"/>
  <c r="O18" i="5"/>
  <c r="O17" i="5"/>
  <c r="R47" i="2" l="1"/>
  <c r="R76" i="2" s="1"/>
  <c r="V60" i="18"/>
  <c r="W57" i="18" s="1"/>
  <c r="S51" i="2"/>
  <c r="S83" i="2" s="1"/>
  <c r="U38" i="19"/>
  <c r="U39" i="19" s="1"/>
  <c r="U51" i="10"/>
  <c r="U83" i="10" s="1"/>
  <c r="T47" i="10"/>
  <c r="T76" i="10" s="1"/>
  <c r="V66" i="18"/>
  <c r="W63" i="18" s="1"/>
  <c r="W65" i="18" s="1"/>
  <c r="W60" i="18"/>
  <c r="S50" i="17"/>
  <c r="R54" i="17"/>
  <c r="R77" i="17" s="1"/>
  <c r="T45" i="15"/>
  <c r="T52" i="15" s="1"/>
  <c r="T53" i="15" s="1"/>
  <c r="Q89" i="2"/>
  <c r="Q8" i="5" s="1"/>
  <c r="S69" i="20"/>
  <c r="R73" i="20"/>
  <c r="R79" i="20" s="1"/>
  <c r="V64" i="17"/>
  <c r="V44" i="17"/>
  <c r="V58" i="17"/>
  <c r="S69" i="17"/>
  <c r="R73" i="17"/>
  <c r="R79" i="17" s="1"/>
  <c r="S84" i="12"/>
  <c r="S59" i="5"/>
  <c r="S85" i="12"/>
  <c r="S88" i="12"/>
  <c r="S76" i="5" s="1"/>
  <c r="U69" i="10"/>
  <c r="T73" i="10"/>
  <c r="T79" i="10" s="1"/>
  <c r="T69" i="19"/>
  <c r="S73" i="19"/>
  <c r="S79" i="19" s="1"/>
  <c r="U69" i="14"/>
  <c r="T73" i="14"/>
  <c r="T79" i="14" s="1"/>
  <c r="S69" i="2"/>
  <c r="R73" i="2"/>
  <c r="R79" i="2" s="1"/>
  <c r="Q89" i="20"/>
  <c r="S76" i="18"/>
  <c r="S80" i="18" s="1"/>
  <c r="S40" i="5"/>
  <c r="S84" i="15"/>
  <c r="S52" i="5"/>
  <c r="S85" i="15"/>
  <c r="S86" i="15" s="1"/>
  <c r="S87" i="15" s="1"/>
  <c r="S88" i="15"/>
  <c r="S69" i="5" s="1"/>
  <c r="U43" i="9"/>
  <c r="T47" i="9"/>
  <c r="U50" i="10"/>
  <c r="T54" i="10"/>
  <c r="T77" i="10" s="1"/>
  <c r="S50" i="2"/>
  <c r="R54" i="2"/>
  <c r="R77" i="2" s="1"/>
  <c r="S86" i="14"/>
  <c r="S87" i="14" s="1"/>
  <c r="V64" i="9"/>
  <c r="V58" i="9"/>
  <c r="V44" i="9"/>
  <c r="T50" i="11"/>
  <c r="S54" i="11"/>
  <c r="S77" i="11" s="1"/>
  <c r="V59" i="12"/>
  <c r="V60" i="12" s="1"/>
  <c r="W57" i="12" s="1"/>
  <c r="W37" i="13"/>
  <c r="W38" i="13" s="1"/>
  <c r="V38" i="20"/>
  <c r="W64" i="11"/>
  <c r="W65" i="11" s="1"/>
  <c r="W58" i="11"/>
  <c r="W44" i="11"/>
  <c r="Q86" i="17"/>
  <c r="Q87" i="17" s="1"/>
  <c r="V38" i="10"/>
  <c r="R86" i="19"/>
  <c r="R87" i="19"/>
  <c r="R89" i="19" s="1"/>
  <c r="S86" i="10"/>
  <c r="S87" i="10" s="1"/>
  <c r="R76" i="13"/>
  <c r="R80" i="13" s="1"/>
  <c r="R37" i="5"/>
  <c r="S51" i="13"/>
  <c r="S45" i="13" s="1"/>
  <c r="T83" i="12"/>
  <c r="T71" i="12"/>
  <c r="T70" i="12" s="1"/>
  <c r="T72" i="12" s="1"/>
  <c r="T45" i="12"/>
  <c r="T51" i="18"/>
  <c r="T83" i="15"/>
  <c r="T71" i="15"/>
  <c r="T70" i="15" s="1"/>
  <c r="T72" i="15" s="1"/>
  <c r="T60" i="19"/>
  <c r="U57" i="19" s="1"/>
  <c r="U50" i="9"/>
  <c r="T54" i="9"/>
  <c r="T77" i="9" s="1"/>
  <c r="U50" i="14"/>
  <c r="T54" i="14"/>
  <c r="T77" i="14" s="1"/>
  <c r="V39" i="17"/>
  <c r="T50" i="19"/>
  <c r="S54" i="19"/>
  <c r="S77" i="19" s="1"/>
  <c r="T43" i="19"/>
  <c r="S47" i="19"/>
  <c r="U43" i="14"/>
  <c r="T47" i="14"/>
  <c r="V65" i="12"/>
  <c r="W37" i="2"/>
  <c r="W39" i="11"/>
  <c r="W40" i="11" s="1"/>
  <c r="W78" i="11" s="1"/>
  <c r="Q61" i="5"/>
  <c r="Q62" i="5" s="1"/>
  <c r="Q78" i="5"/>
  <c r="Q79" i="5" s="1"/>
  <c r="S50" i="20"/>
  <c r="R54" i="20"/>
  <c r="R77" i="20" s="1"/>
  <c r="U58" i="19"/>
  <c r="U59" i="19" s="1"/>
  <c r="U64" i="19"/>
  <c r="U65" i="19" s="1"/>
  <c r="U44" i="19"/>
  <c r="W35" i="12"/>
  <c r="V40" i="12"/>
  <c r="V78" i="12" s="1"/>
  <c r="S43" i="17"/>
  <c r="R47" i="17"/>
  <c r="R32" i="5"/>
  <c r="Q89" i="13"/>
  <c r="Q13" i="5" s="1"/>
  <c r="T43" i="11"/>
  <c r="S47" i="11"/>
  <c r="V39" i="9"/>
  <c r="S43" i="20"/>
  <c r="R47" i="20"/>
  <c r="N19" i="5"/>
  <c r="O9" i="5"/>
  <c r="N20" i="5" l="1"/>
  <c r="S71" i="2"/>
  <c r="S70" i="2" s="1"/>
  <c r="S72" i="2" s="1"/>
  <c r="T69" i="2" s="1"/>
  <c r="U71" i="10"/>
  <c r="U70" i="10" s="1"/>
  <c r="T39" i="5"/>
  <c r="V35" i="19"/>
  <c r="U40" i="19"/>
  <c r="U78" i="19" s="1"/>
  <c r="T46" i="15"/>
  <c r="U43" i="15" s="1"/>
  <c r="W66" i="18"/>
  <c r="T54" i="15"/>
  <c r="T77" i="15" s="1"/>
  <c r="U50" i="15"/>
  <c r="W38" i="2"/>
  <c r="W39" i="2" s="1"/>
  <c r="W40" i="2" s="1"/>
  <c r="W78" i="2" s="1"/>
  <c r="U66" i="19"/>
  <c r="V63" i="19" s="1"/>
  <c r="S52" i="13"/>
  <c r="S53" i="13" s="1"/>
  <c r="S46" i="13"/>
  <c r="W64" i="13"/>
  <c r="W58" i="13"/>
  <c r="W44" i="13"/>
  <c r="U69" i="15"/>
  <c r="T73" i="15"/>
  <c r="T79" i="15" s="1"/>
  <c r="U69" i="12"/>
  <c r="T73" i="12"/>
  <c r="T79" i="12" s="1"/>
  <c r="W39" i="13"/>
  <c r="W40" i="13" s="1"/>
  <c r="W78" i="13" s="1"/>
  <c r="V65" i="9"/>
  <c r="V66" i="9" s="1"/>
  <c r="W63" i="9" s="1"/>
  <c r="S45" i="2"/>
  <c r="T38" i="5"/>
  <c r="T76" i="9"/>
  <c r="T80" i="9" s="1"/>
  <c r="V59" i="17"/>
  <c r="V60" i="17" s="1"/>
  <c r="W57" i="17" s="1"/>
  <c r="R76" i="20"/>
  <c r="R80" i="20" s="1"/>
  <c r="R43" i="5"/>
  <c r="W35" i="9"/>
  <c r="V40" i="9"/>
  <c r="V78" i="9" s="1"/>
  <c r="T51" i="11"/>
  <c r="R34" i="5"/>
  <c r="R76" i="17"/>
  <c r="W37" i="12"/>
  <c r="R84" i="13"/>
  <c r="R54" i="5"/>
  <c r="R85" i="13"/>
  <c r="R88" i="13"/>
  <c r="R71" i="5" s="1"/>
  <c r="U51" i="14"/>
  <c r="U45" i="14" s="1"/>
  <c r="U52" i="14" s="1"/>
  <c r="U53" i="14" s="1"/>
  <c r="V50" i="14" s="1"/>
  <c r="S76" i="19"/>
  <c r="S80" i="19" s="1"/>
  <c r="S33" i="5"/>
  <c r="S83" i="13"/>
  <c r="S71" i="13"/>
  <c r="S70" i="13" s="1"/>
  <c r="S72" i="13" s="1"/>
  <c r="S51" i="20"/>
  <c r="S51" i="17"/>
  <c r="V66" i="12"/>
  <c r="W63" i="12" s="1"/>
  <c r="T51" i="19"/>
  <c r="W35" i="17"/>
  <c r="V40" i="17"/>
  <c r="V78" i="17" s="1"/>
  <c r="T83" i="18"/>
  <c r="T71" i="18"/>
  <c r="T70" i="18" s="1"/>
  <c r="T72" i="18" s="1"/>
  <c r="S84" i="18"/>
  <c r="S57" i="5"/>
  <c r="S85" i="18"/>
  <c r="S86" i="18" s="1"/>
  <c r="S87" i="18" s="1"/>
  <c r="S88" i="18"/>
  <c r="S74" i="5" s="1"/>
  <c r="S76" i="11"/>
  <c r="S80" i="11" s="1"/>
  <c r="S41" i="5"/>
  <c r="T76" i="14"/>
  <c r="T80" i="14" s="1"/>
  <c r="T36" i="5"/>
  <c r="W66" i="11"/>
  <c r="U60" i="19"/>
  <c r="V57" i="19" s="1"/>
  <c r="T45" i="18"/>
  <c r="T52" i="12"/>
  <c r="T53" i="12" s="1"/>
  <c r="T46" i="12"/>
  <c r="V64" i="10"/>
  <c r="V58" i="10"/>
  <c r="V44" i="10"/>
  <c r="V64" i="20"/>
  <c r="V58" i="20"/>
  <c r="V44" i="20"/>
  <c r="S89" i="14"/>
  <c r="U51" i="9"/>
  <c r="U45" i="9" s="1"/>
  <c r="R80" i="2"/>
  <c r="V39" i="10"/>
  <c r="T80" i="10"/>
  <c r="S86" i="12"/>
  <c r="S87" i="12" s="1"/>
  <c r="R80" i="17"/>
  <c r="S89" i="10"/>
  <c r="S15" i="5" s="1"/>
  <c r="Q89" i="17"/>
  <c r="W59" i="11"/>
  <c r="W60" i="11" s="1"/>
  <c r="V59" i="9"/>
  <c r="U45" i="10"/>
  <c r="S89" i="15"/>
  <c r="V39" i="20"/>
  <c r="U72" i="10"/>
  <c r="V69" i="10" s="1"/>
  <c r="V37" i="19"/>
  <c r="V38" i="19" s="1"/>
  <c r="V65" i="17"/>
  <c r="V66" i="17" s="1"/>
  <c r="W63" i="17" s="1"/>
  <c r="R11" i="5"/>
  <c r="P12" i="5"/>
  <c r="P10" i="5"/>
  <c r="N29" i="5" l="1"/>
  <c r="N21" i="5"/>
  <c r="N26" i="5"/>
  <c r="R44" i="5"/>
  <c r="R45" i="5" s="1"/>
  <c r="T47" i="15"/>
  <c r="W64" i="2"/>
  <c r="W65" i="2" s="1"/>
  <c r="W66" i="2" s="1"/>
  <c r="U73" i="10"/>
  <c r="U79" i="10" s="1"/>
  <c r="U52" i="9"/>
  <c r="U53" i="9" s="1"/>
  <c r="U46" i="9"/>
  <c r="V43" i="9" s="1"/>
  <c r="W58" i="2"/>
  <c r="W59" i="2" s="1"/>
  <c r="W44" i="2"/>
  <c r="V44" i="19"/>
  <c r="V64" i="19"/>
  <c r="V58" i="19"/>
  <c r="V59" i="19" s="1"/>
  <c r="V60" i="19" s="1"/>
  <c r="W57" i="19" s="1"/>
  <c r="U69" i="18"/>
  <c r="T73" i="18"/>
  <c r="T79" i="18" s="1"/>
  <c r="T84" i="14"/>
  <c r="T88" i="14"/>
  <c r="T70" i="5" s="1"/>
  <c r="T53" i="5"/>
  <c r="T85" i="14"/>
  <c r="T86" i="14" s="1"/>
  <c r="T87" i="14" s="1"/>
  <c r="T69" i="13"/>
  <c r="S73" i="13"/>
  <c r="S79" i="13" s="1"/>
  <c r="U43" i="12"/>
  <c r="T47" i="12"/>
  <c r="S89" i="18"/>
  <c r="S16" i="5" s="1"/>
  <c r="W37" i="17"/>
  <c r="W38" i="17" s="1"/>
  <c r="W37" i="9"/>
  <c r="R60" i="5"/>
  <c r="R84" i="20"/>
  <c r="R88" i="20"/>
  <c r="R77" i="5" s="1"/>
  <c r="R85" i="20"/>
  <c r="R86" i="20" s="1"/>
  <c r="R87" i="20" s="1"/>
  <c r="S89" i="12"/>
  <c r="S52" i="2"/>
  <c r="S53" i="2" s="1"/>
  <c r="S46" i="2"/>
  <c r="W65" i="13"/>
  <c r="W66" i="13" s="1"/>
  <c r="V65" i="19"/>
  <c r="V66" i="19" s="1"/>
  <c r="W63" i="19" s="1"/>
  <c r="V39" i="19"/>
  <c r="R84" i="17"/>
  <c r="R88" i="17"/>
  <c r="R68" i="5" s="1"/>
  <c r="R51" i="5"/>
  <c r="R85" i="17"/>
  <c r="R86" i="17" s="1"/>
  <c r="R87" i="17" s="1"/>
  <c r="T56" i="5"/>
  <c r="T88" i="10"/>
  <c r="T73" i="5" s="1"/>
  <c r="T84" i="10"/>
  <c r="T85" i="10"/>
  <c r="T86" i="10" s="1"/>
  <c r="T87" i="10" s="1"/>
  <c r="V65" i="20"/>
  <c r="V65" i="10"/>
  <c r="V66" i="10" s="1"/>
  <c r="W63" i="10" s="1"/>
  <c r="U50" i="12"/>
  <c r="T54" i="12"/>
  <c r="T77" i="12" s="1"/>
  <c r="T83" i="19"/>
  <c r="T71" i="19"/>
  <c r="T70" i="19" s="1"/>
  <c r="T72" i="19" s="1"/>
  <c r="T45" i="19"/>
  <c r="S83" i="17"/>
  <c r="S71" i="17"/>
  <c r="S70" i="17" s="1"/>
  <c r="S72" i="17" s="1"/>
  <c r="S45" i="17"/>
  <c r="T76" i="15"/>
  <c r="T80" i="15" s="1"/>
  <c r="T35" i="5"/>
  <c r="U83" i="14"/>
  <c r="U71" i="14"/>
  <c r="U70" i="14" s="1"/>
  <c r="U72" i="14" s="1"/>
  <c r="U46" i="14"/>
  <c r="R86" i="13"/>
  <c r="R87" i="13" s="1"/>
  <c r="R89" i="13" s="1"/>
  <c r="R13" i="5" s="1"/>
  <c r="W38" i="12"/>
  <c r="W39" i="12" s="1"/>
  <c r="W40" i="12" s="1"/>
  <c r="W78" i="12" s="1"/>
  <c r="T83" i="11"/>
  <c r="T71" i="11"/>
  <c r="T70" i="11" s="1"/>
  <c r="T72" i="11" s="1"/>
  <c r="T45" i="11"/>
  <c r="T55" i="5"/>
  <c r="T85" i="9"/>
  <c r="T84" i="9"/>
  <c r="T88" i="9"/>
  <c r="T72" i="5" s="1"/>
  <c r="T43" i="13"/>
  <c r="S47" i="13"/>
  <c r="S85" i="19"/>
  <c r="S84" i="19"/>
  <c r="S50" i="5"/>
  <c r="S88" i="19"/>
  <c r="S67" i="5" s="1"/>
  <c r="R84" i="2"/>
  <c r="R49" i="5"/>
  <c r="R61" i="5" s="1"/>
  <c r="R62" i="5" s="1"/>
  <c r="R85" i="2"/>
  <c r="R88" i="2"/>
  <c r="R66" i="5" s="1"/>
  <c r="V59" i="20"/>
  <c r="V60" i="20" s="1"/>
  <c r="W57" i="20" s="1"/>
  <c r="V59" i="10"/>
  <c r="V60" i="10" s="1"/>
  <c r="W57" i="10" s="1"/>
  <c r="W35" i="20"/>
  <c r="V40" i="20"/>
  <c r="V78" i="20" s="1"/>
  <c r="S73" i="2"/>
  <c r="S79" i="2" s="1"/>
  <c r="U52" i="10"/>
  <c r="U53" i="10" s="1"/>
  <c r="U46" i="10"/>
  <c r="V60" i="9"/>
  <c r="W57" i="9" s="1"/>
  <c r="U54" i="14"/>
  <c r="U77" i="14" s="1"/>
  <c r="W35" i="10"/>
  <c r="V40" i="10"/>
  <c r="V78" i="10" s="1"/>
  <c r="U83" i="9"/>
  <c r="U71" i="9"/>
  <c r="U70" i="9" s="1"/>
  <c r="U72" i="9" s="1"/>
  <c r="T52" i="18"/>
  <c r="T53" i="18" s="1"/>
  <c r="T46" i="18"/>
  <c r="S88" i="11"/>
  <c r="S75" i="5" s="1"/>
  <c r="S58" i="5"/>
  <c r="S84" i="11"/>
  <c r="S85" i="11"/>
  <c r="S86" i="11" s="1"/>
  <c r="S87" i="11" s="1"/>
  <c r="T50" i="13"/>
  <c r="S54" i="13"/>
  <c r="S77" i="13" s="1"/>
  <c r="S83" i="20"/>
  <c r="S71" i="20"/>
  <c r="S70" i="20" s="1"/>
  <c r="S72" i="20" s="1"/>
  <c r="S45" i="20"/>
  <c r="U51" i="15"/>
  <c r="W59" i="13"/>
  <c r="W60" i="13" s="1"/>
  <c r="P18" i="5"/>
  <c r="N27" i="5" l="1"/>
  <c r="N28" i="5"/>
  <c r="R78" i="5"/>
  <c r="R79" i="5" s="1"/>
  <c r="U47" i="9"/>
  <c r="U38" i="5" s="1"/>
  <c r="V50" i="9"/>
  <c r="V51" i="9"/>
  <c r="V83" i="9" s="1"/>
  <c r="U54" i="9"/>
  <c r="U77" i="9" s="1"/>
  <c r="W38" i="9"/>
  <c r="W39" i="9" s="1"/>
  <c r="W40" i="9" s="1"/>
  <c r="W78" i="9" s="1"/>
  <c r="W39" i="17"/>
  <c r="W40" i="17" s="1"/>
  <c r="W78" i="17" s="1"/>
  <c r="T69" i="17"/>
  <c r="S73" i="17"/>
  <c r="S79" i="17" s="1"/>
  <c r="T69" i="20"/>
  <c r="S73" i="20"/>
  <c r="S79" i="20" s="1"/>
  <c r="U69" i="11"/>
  <c r="T73" i="11"/>
  <c r="T79" i="11" s="1"/>
  <c r="T43" i="2"/>
  <c r="S47" i="2"/>
  <c r="R89" i="20"/>
  <c r="T76" i="12"/>
  <c r="T80" i="12" s="1"/>
  <c r="T42" i="5"/>
  <c r="T89" i="14"/>
  <c r="T88" i="15"/>
  <c r="T69" i="5" s="1"/>
  <c r="T85" i="15"/>
  <c r="T86" i="15" s="1"/>
  <c r="T87" i="15" s="1"/>
  <c r="T84" i="15"/>
  <c r="T52" i="5"/>
  <c r="U83" i="15"/>
  <c r="U71" i="15"/>
  <c r="U70" i="15" s="1"/>
  <c r="U72" i="15" s="1"/>
  <c r="U43" i="18"/>
  <c r="T47" i="18"/>
  <c r="V50" i="10"/>
  <c r="U54" i="10"/>
  <c r="U77" i="10" s="1"/>
  <c r="W37" i="20"/>
  <c r="S76" i="13"/>
  <c r="S80" i="13" s="1"/>
  <c r="S37" i="5"/>
  <c r="S52" i="20"/>
  <c r="S53" i="20" s="1"/>
  <c r="S46" i="20"/>
  <c r="U50" i="18"/>
  <c r="T54" i="18"/>
  <c r="T77" i="18" s="1"/>
  <c r="W37" i="10"/>
  <c r="W38" i="10" s="1"/>
  <c r="T51" i="13"/>
  <c r="V69" i="14"/>
  <c r="U73" i="14"/>
  <c r="U79" i="14" s="1"/>
  <c r="U69" i="19"/>
  <c r="T73" i="19"/>
  <c r="T79" i="19" s="1"/>
  <c r="R89" i="17"/>
  <c r="W35" i="19"/>
  <c r="V40" i="19"/>
  <c r="V78" i="19" s="1"/>
  <c r="U45" i="15"/>
  <c r="S89" i="11"/>
  <c r="V43" i="10"/>
  <c r="U47" i="10"/>
  <c r="R86" i="2"/>
  <c r="R87" i="2" s="1"/>
  <c r="R89" i="2" s="1"/>
  <c r="R8" i="5" s="1"/>
  <c r="S86" i="19"/>
  <c r="S87" i="19" s="1"/>
  <c r="V71" i="9"/>
  <c r="V70" i="9" s="1"/>
  <c r="T86" i="9"/>
  <c r="T87" i="9" s="1"/>
  <c r="T89" i="9" s="1"/>
  <c r="T14" i="5" s="1"/>
  <c r="T52" i="11"/>
  <c r="T53" i="11" s="1"/>
  <c r="T46" i="11"/>
  <c r="V43" i="14"/>
  <c r="U47" i="14"/>
  <c r="T52" i="19"/>
  <c r="T53" i="19" s="1"/>
  <c r="T46" i="19"/>
  <c r="V66" i="20"/>
  <c r="W63" i="20" s="1"/>
  <c r="T50" i="2"/>
  <c r="S54" i="2"/>
  <c r="S77" i="2" s="1"/>
  <c r="U51" i="12"/>
  <c r="V69" i="9"/>
  <c r="U73" i="9"/>
  <c r="U79" i="9" s="1"/>
  <c r="W44" i="12"/>
  <c r="W64" i="12"/>
  <c r="W58" i="12"/>
  <c r="W60" i="2"/>
  <c r="S52" i="17"/>
  <c r="S53" i="17" s="1"/>
  <c r="S46" i="17"/>
  <c r="T89" i="10"/>
  <c r="T15" i="5" s="1"/>
  <c r="W64" i="17"/>
  <c r="W58" i="17"/>
  <c r="W44" i="17"/>
  <c r="P17" i="5"/>
  <c r="Q10" i="5"/>
  <c r="Q12" i="5"/>
  <c r="O19" i="5"/>
  <c r="O20" i="5" l="1"/>
  <c r="U76" i="9"/>
  <c r="U80" i="9" s="1"/>
  <c r="U85" i="9" s="1"/>
  <c r="W44" i="9"/>
  <c r="V45" i="9"/>
  <c r="V46" i="9" s="1"/>
  <c r="W58" i="9"/>
  <c r="W59" i="9" s="1"/>
  <c r="W60" i="9" s="1"/>
  <c r="W64" i="9"/>
  <c r="W65" i="9" s="1"/>
  <c r="U45" i="12"/>
  <c r="U52" i="12" s="1"/>
  <c r="U53" i="12" s="1"/>
  <c r="W39" i="10"/>
  <c r="W40" i="10" s="1"/>
  <c r="W78" i="10" s="1"/>
  <c r="S84" i="13"/>
  <c r="S54" i="5"/>
  <c r="S85" i="13"/>
  <c r="S88" i="13"/>
  <c r="S71" i="5" s="1"/>
  <c r="V69" i="15"/>
  <c r="U73" i="15"/>
  <c r="U79" i="15" s="1"/>
  <c r="U50" i="11"/>
  <c r="T54" i="11"/>
  <c r="T77" i="11" s="1"/>
  <c r="U76" i="10"/>
  <c r="U80" i="10" s="1"/>
  <c r="U39" i="5"/>
  <c r="U52" i="15"/>
  <c r="U53" i="15" s="1"/>
  <c r="U46" i="15"/>
  <c r="W37" i="19"/>
  <c r="W64" i="10"/>
  <c r="W44" i="10"/>
  <c r="W58" i="10"/>
  <c r="T43" i="20"/>
  <c r="S47" i="20"/>
  <c r="U51" i="18"/>
  <c r="W59" i="17"/>
  <c r="W60" i="17" s="1"/>
  <c r="T43" i="17"/>
  <c r="S47" i="17"/>
  <c r="W59" i="12"/>
  <c r="W60" i="12" s="1"/>
  <c r="U43" i="19"/>
  <c r="T47" i="19"/>
  <c r="V51" i="14"/>
  <c r="V45" i="14" s="1"/>
  <c r="V51" i="10"/>
  <c r="V45" i="10" s="1"/>
  <c r="T50" i="20"/>
  <c r="S54" i="20"/>
  <c r="S77" i="20" s="1"/>
  <c r="S32" i="5"/>
  <c r="S76" i="2"/>
  <c r="S80" i="2" s="1"/>
  <c r="W65" i="17"/>
  <c r="W66" i="17" s="1"/>
  <c r="T50" i="17"/>
  <c r="S54" i="17"/>
  <c r="S77" i="17" s="1"/>
  <c r="W65" i="12"/>
  <c r="W66" i="12" s="1"/>
  <c r="U83" i="12"/>
  <c r="U71" i="12"/>
  <c r="U70" i="12" s="1"/>
  <c r="U72" i="12" s="1"/>
  <c r="U50" i="19"/>
  <c r="T54" i="19"/>
  <c r="T77" i="19" s="1"/>
  <c r="U43" i="11"/>
  <c r="T47" i="11"/>
  <c r="S89" i="19"/>
  <c r="T83" i="13"/>
  <c r="T71" i="13"/>
  <c r="T70" i="13" s="1"/>
  <c r="T72" i="13" s="1"/>
  <c r="T45" i="13"/>
  <c r="W38" i="20"/>
  <c r="W39" i="20" s="1"/>
  <c r="W40" i="20" s="1"/>
  <c r="W78" i="20" s="1"/>
  <c r="T76" i="18"/>
  <c r="T80" i="18" s="1"/>
  <c r="T40" i="5"/>
  <c r="T89" i="15"/>
  <c r="T59" i="5"/>
  <c r="T88" i="12"/>
  <c r="T76" i="5" s="1"/>
  <c r="T85" i="12"/>
  <c r="T84" i="12"/>
  <c r="T51" i="2"/>
  <c r="V72" i="9"/>
  <c r="W69" i="9" s="1"/>
  <c r="U76" i="14"/>
  <c r="U80" i="14" s="1"/>
  <c r="U36" i="5"/>
  <c r="P9" i="5"/>
  <c r="S11" i="5"/>
  <c r="V52" i="9" l="1"/>
  <c r="V53" i="9" s="1"/>
  <c r="W50" i="9" s="1"/>
  <c r="U46" i="12"/>
  <c r="O26" i="5"/>
  <c r="O29" i="5"/>
  <c r="O21" i="5"/>
  <c r="U84" i="9"/>
  <c r="U88" i="9"/>
  <c r="U72" i="5" s="1"/>
  <c r="U55" i="5"/>
  <c r="V50" i="12"/>
  <c r="U54" i="12"/>
  <c r="U77" i="12" s="1"/>
  <c r="V73" i="9"/>
  <c r="V79" i="9" s="1"/>
  <c r="V52" i="10"/>
  <c r="V46" i="10"/>
  <c r="V52" i="14"/>
  <c r="V46" i="14"/>
  <c r="V69" i="12"/>
  <c r="U73" i="12"/>
  <c r="U79" i="12" s="1"/>
  <c r="T86" i="12"/>
  <c r="T87" i="12" s="1"/>
  <c r="T89" i="12" s="1"/>
  <c r="T83" i="2"/>
  <c r="T71" i="2"/>
  <c r="T70" i="2" s="1"/>
  <c r="T72" i="2" s="1"/>
  <c r="T45" i="2"/>
  <c r="T52" i="13"/>
  <c r="T53" i="13" s="1"/>
  <c r="T46" i="13"/>
  <c r="V53" i="10"/>
  <c r="T76" i="19"/>
  <c r="T80" i="19" s="1"/>
  <c r="T33" i="5"/>
  <c r="V43" i="12"/>
  <c r="U47" i="12"/>
  <c r="S76" i="17"/>
  <c r="S80" i="17" s="1"/>
  <c r="S34" i="5"/>
  <c r="T51" i="20"/>
  <c r="W65" i="10"/>
  <c r="V43" i="15"/>
  <c r="U47" i="15"/>
  <c r="U88" i="10"/>
  <c r="U73" i="5" s="1"/>
  <c r="U85" i="10"/>
  <c r="U56" i="5"/>
  <c r="U84" i="10"/>
  <c r="W43" i="9"/>
  <c r="V47" i="9"/>
  <c r="T57" i="5"/>
  <c r="T85" i="18"/>
  <c r="T84" i="18"/>
  <c r="T88" i="18"/>
  <c r="T74" i="5" s="1"/>
  <c r="U69" i="13"/>
  <c r="T73" i="13"/>
  <c r="T79" i="13" s="1"/>
  <c r="U53" i="5"/>
  <c r="U84" i="14"/>
  <c r="U88" i="14"/>
  <c r="U70" i="5" s="1"/>
  <c r="U85" i="14"/>
  <c r="T76" i="11"/>
  <c r="T80" i="11" s="1"/>
  <c r="T41" i="5"/>
  <c r="S49" i="5"/>
  <c r="S85" i="2"/>
  <c r="S84" i="2"/>
  <c r="S88" i="2"/>
  <c r="S66" i="5" s="1"/>
  <c r="V83" i="10"/>
  <c r="V71" i="10"/>
  <c r="V70" i="10" s="1"/>
  <c r="V72" i="10" s="1"/>
  <c r="U51" i="19"/>
  <c r="T51" i="17"/>
  <c r="T45" i="17" s="1"/>
  <c r="T52" i="17" s="1"/>
  <c r="U83" i="18"/>
  <c r="U71" i="18"/>
  <c r="U70" i="18" s="1"/>
  <c r="U72" i="18" s="1"/>
  <c r="U45" i="18"/>
  <c r="W59" i="10"/>
  <c r="W60" i="10" s="1"/>
  <c r="V50" i="15"/>
  <c r="U54" i="15"/>
  <c r="U77" i="15" s="1"/>
  <c r="W44" i="20"/>
  <c r="W58" i="20"/>
  <c r="W64" i="20"/>
  <c r="U51" i="11"/>
  <c r="U86" i="9"/>
  <c r="U87" i="9" s="1"/>
  <c r="W66" i="9"/>
  <c r="V83" i="14"/>
  <c r="V71" i="14"/>
  <c r="V70" i="14" s="1"/>
  <c r="V72" i="14" s="1"/>
  <c r="V53" i="14"/>
  <c r="S76" i="20"/>
  <c r="S80" i="20" s="1"/>
  <c r="S43" i="5"/>
  <c r="S44" i="5" s="1"/>
  <c r="S45" i="5" s="1"/>
  <c r="W38" i="19"/>
  <c r="S86" i="13"/>
  <c r="S87" i="13" s="1"/>
  <c r="S89" i="13" s="1"/>
  <c r="S13" i="5" s="1"/>
  <c r="Q18" i="5"/>
  <c r="V54" i="9" l="1"/>
  <c r="V77" i="9" s="1"/>
  <c r="O28" i="5"/>
  <c r="O27" i="5"/>
  <c r="U89" i="9"/>
  <c r="U14" i="5" s="1"/>
  <c r="T53" i="17"/>
  <c r="T54" i="17" s="1"/>
  <c r="T77" i="17" s="1"/>
  <c r="U69" i="2"/>
  <c r="T73" i="2"/>
  <c r="T79" i="2" s="1"/>
  <c r="W64" i="19"/>
  <c r="W44" i="19"/>
  <c r="W58" i="19"/>
  <c r="W69" i="14"/>
  <c r="V73" i="14"/>
  <c r="V79" i="14" s="1"/>
  <c r="W59" i="20"/>
  <c r="W60" i="20" s="1"/>
  <c r="U52" i="18"/>
  <c r="U53" i="18" s="1"/>
  <c r="U46" i="18"/>
  <c r="U83" i="19"/>
  <c r="U71" i="19"/>
  <c r="U70" i="19" s="1"/>
  <c r="U72" i="19" s="1"/>
  <c r="S86" i="2"/>
  <c r="S87" i="2" s="1"/>
  <c r="S89" i="2" s="1"/>
  <c r="S8" i="5" s="1"/>
  <c r="U86" i="14"/>
  <c r="U87" i="14" s="1"/>
  <c r="U89" i="14" s="1"/>
  <c r="V76" i="9"/>
  <c r="V38" i="5"/>
  <c r="U76" i="15"/>
  <c r="U80" i="15" s="1"/>
  <c r="U35" i="5"/>
  <c r="S84" i="17"/>
  <c r="S51" i="5"/>
  <c r="S85" i="17"/>
  <c r="S86" i="17" s="1"/>
  <c r="S87" i="17" s="1"/>
  <c r="S88" i="17"/>
  <c r="S68" i="5" s="1"/>
  <c r="W39" i="19"/>
  <c r="W40" i="19" s="1"/>
  <c r="W78" i="19" s="1"/>
  <c r="W43" i="10"/>
  <c r="V47" i="10"/>
  <c r="U83" i="11"/>
  <c r="U71" i="11"/>
  <c r="U70" i="11" s="1"/>
  <c r="U72" i="11" s="1"/>
  <c r="V69" i="18"/>
  <c r="U73" i="18"/>
  <c r="U79" i="18" s="1"/>
  <c r="W69" i="10"/>
  <c r="V73" i="10"/>
  <c r="V79" i="10" s="1"/>
  <c r="W51" i="9"/>
  <c r="U86" i="10"/>
  <c r="U87" i="10" s="1"/>
  <c r="U89" i="10" s="1"/>
  <c r="U15" i="5" s="1"/>
  <c r="V51" i="15"/>
  <c r="T83" i="20"/>
  <c r="T71" i="20"/>
  <c r="T70" i="20" s="1"/>
  <c r="T72" i="20" s="1"/>
  <c r="U76" i="12"/>
  <c r="U42" i="5"/>
  <c r="T84" i="19"/>
  <c r="T85" i="19"/>
  <c r="T50" i="5"/>
  <c r="T88" i="19"/>
  <c r="T67" i="5" s="1"/>
  <c r="W50" i="10"/>
  <c r="V54" i="10"/>
  <c r="V77" i="10" s="1"/>
  <c r="U43" i="13"/>
  <c r="T47" i="13"/>
  <c r="T52" i="2"/>
  <c r="T53" i="2" s="1"/>
  <c r="T46" i="2"/>
  <c r="U80" i="12"/>
  <c r="W43" i="14"/>
  <c r="V47" i="14"/>
  <c r="S85" i="20"/>
  <c r="S88" i="20"/>
  <c r="S77" i="5" s="1"/>
  <c r="S78" i="5" s="1"/>
  <c r="S79" i="5" s="1"/>
  <c r="S84" i="20"/>
  <c r="S60" i="5"/>
  <c r="W50" i="14"/>
  <c r="V54" i="14"/>
  <c r="V77" i="14" s="1"/>
  <c r="U45" i="11"/>
  <c r="W65" i="20"/>
  <c r="W66" i="20" s="1"/>
  <c r="T83" i="17"/>
  <c r="T71" i="17"/>
  <c r="T70" i="17" s="1"/>
  <c r="T72" i="17" s="1"/>
  <c r="T46" i="17"/>
  <c r="U45" i="19"/>
  <c r="T58" i="5"/>
  <c r="T84" i="11"/>
  <c r="T88" i="11"/>
  <c r="T75" i="5" s="1"/>
  <c r="T85" i="11"/>
  <c r="T86" i="11" s="1"/>
  <c r="T87" i="11" s="1"/>
  <c r="T86" i="18"/>
  <c r="T87" i="18" s="1"/>
  <c r="T89" i="18" s="1"/>
  <c r="T16" i="5" s="1"/>
  <c r="W66" i="10"/>
  <c r="T45" i="20"/>
  <c r="V51" i="12"/>
  <c r="U50" i="13"/>
  <c r="T54" i="13"/>
  <c r="T77" i="13" s="1"/>
  <c r="R12" i="5"/>
  <c r="V80" i="9" l="1"/>
  <c r="V84" i="9" s="1"/>
  <c r="U50" i="17"/>
  <c r="U69" i="20"/>
  <c r="T73" i="20"/>
  <c r="T79" i="20" s="1"/>
  <c r="W51" i="14"/>
  <c r="U50" i="2"/>
  <c r="T54" i="2"/>
  <c r="T77" i="2" s="1"/>
  <c r="V83" i="15"/>
  <c r="V71" i="15"/>
  <c r="V70" i="15" s="1"/>
  <c r="V72" i="15" s="1"/>
  <c r="V69" i="11"/>
  <c r="U73" i="11"/>
  <c r="U79" i="11" s="1"/>
  <c r="V76" i="10"/>
  <c r="V80" i="10" s="1"/>
  <c r="V39" i="5"/>
  <c r="S89" i="17"/>
  <c r="U85" i="15"/>
  <c r="U84" i="15"/>
  <c r="U52" i="5"/>
  <c r="U88" i="15"/>
  <c r="U69" i="5" s="1"/>
  <c r="V43" i="18"/>
  <c r="U47" i="18"/>
  <c r="V83" i="12"/>
  <c r="V71" i="12"/>
  <c r="V70" i="12" s="1"/>
  <c r="V72" i="12" s="1"/>
  <c r="U69" i="17"/>
  <c r="T73" i="17"/>
  <c r="T79" i="17" s="1"/>
  <c r="U52" i="11"/>
  <c r="U53" i="11" s="1"/>
  <c r="U46" i="11"/>
  <c r="V45" i="12"/>
  <c r="T52" i="20"/>
  <c r="T53" i="20" s="1"/>
  <c r="T46" i="20"/>
  <c r="T89" i="11"/>
  <c r="U52" i="19"/>
  <c r="U53" i="19" s="1"/>
  <c r="U46" i="19"/>
  <c r="S86" i="20"/>
  <c r="S87" i="20" s="1"/>
  <c r="S89" i="20" s="1"/>
  <c r="U84" i="12"/>
  <c r="U85" i="12"/>
  <c r="U86" i="12" s="1"/>
  <c r="U87" i="12" s="1"/>
  <c r="U59" i="5"/>
  <c r="U88" i="12"/>
  <c r="U76" i="5" s="1"/>
  <c r="T76" i="13"/>
  <c r="T80" i="13" s="1"/>
  <c r="T37" i="5"/>
  <c r="T86" i="19"/>
  <c r="T87" i="19"/>
  <c r="W51" i="10"/>
  <c r="V50" i="18"/>
  <c r="U54" i="18"/>
  <c r="U77" i="18" s="1"/>
  <c r="W65" i="19"/>
  <c r="U43" i="17"/>
  <c r="T47" i="17"/>
  <c r="V76" i="14"/>
  <c r="V80" i="14" s="1"/>
  <c r="V36" i="5"/>
  <c r="U43" i="2"/>
  <c r="T47" i="2"/>
  <c r="U51" i="13"/>
  <c r="U45" i="13" s="1"/>
  <c r="U52" i="13" s="1"/>
  <c r="T89" i="19"/>
  <c r="V45" i="15"/>
  <c r="W83" i="9"/>
  <c r="W71" i="9"/>
  <c r="W70" i="9" s="1"/>
  <c r="W72" i="9" s="1"/>
  <c r="W73" i="9" s="1"/>
  <c r="W79" i="9" s="1"/>
  <c r="W45" i="9"/>
  <c r="S61" i="5"/>
  <c r="S62" i="5" s="1"/>
  <c r="V69" i="19"/>
  <c r="U73" i="19"/>
  <c r="U79" i="19" s="1"/>
  <c r="W59" i="19"/>
  <c r="Q17" i="5"/>
  <c r="Q9" i="5"/>
  <c r="P19" i="5"/>
  <c r="R10" i="5"/>
  <c r="V85" i="9" l="1"/>
  <c r="V86" i="9" s="1"/>
  <c r="V88" i="9"/>
  <c r="V72" i="5" s="1"/>
  <c r="V55" i="5"/>
  <c r="P20" i="5"/>
  <c r="V85" i="14"/>
  <c r="V84" i="14"/>
  <c r="V53" i="5"/>
  <c r="V88" i="14"/>
  <c r="V70" i="5" s="1"/>
  <c r="V88" i="10"/>
  <c r="V73" i="5" s="1"/>
  <c r="V85" i="10"/>
  <c r="V86" i="10" s="1"/>
  <c r="V87" i="10" s="1"/>
  <c r="V56" i="5"/>
  <c r="V84" i="10"/>
  <c r="W69" i="15"/>
  <c r="V73" i="15"/>
  <c r="V79" i="15" s="1"/>
  <c r="U51" i="2"/>
  <c r="U45" i="2" s="1"/>
  <c r="U52" i="2" s="1"/>
  <c r="U53" i="2" s="1"/>
  <c r="W83" i="10"/>
  <c r="W71" i="10"/>
  <c r="W70" i="10" s="1"/>
  <c r="W72" i="10" s="1"/>
  <c r="W73" i="10" s="1"/>
  <c r="W79" i="10" s="1"/>
  <c r="U89" i="12"/>
  <c r="V43" i="19"/>
  <c r="U47" i="19"/>
  <c r="U43" i="20"/>
  <c r="T47" i="20"/>
  <c r="W69" i="12"/>
  <c r="V73" i="12"/>
  <c r="V79" i="12" s="1"/>
  <c r="U86" i="15"/>
  <c r="U87" i="15" s="1"/>
  <c r="W83" i="14"/>
  <c r="W71" i="14"/>
  <c r="W70" i="14" s="1"/>
  <c r="W72" i="14" s="1"/>
  <c r="W73" i="14" s="1"/>
  <c r="W79" i="14" s="1"/>
  <c r="W52" i="9"/>
  <c r="W53" i="9" s="1"/>
  <c r="W54" i="9" s="1"/>
  <c r="W77" i="9" s="1"/>
  <c r="W46" i="9"/>
  <c r="W47" i="9" s="1"/>
  <c r="U83" i="13"/>
  <c r="U71" i="13"/>
  <c r="U70" i="13" s="1"/>
  <c r="U72" i="13" s="1"/>
  <c r="U46" i="13"/>
  <c r="T76" i="17"/>
  <c r="T80" i="17" s="1"/>
  <c r="T34" i="5"/>
  <c r="W66" i="19"/>
  <c r="W45" i="10"/>
  <c r="V50" i="19"/>
  <c r="U54" i="19"/>
  <c r="U77" i="19" s="1"/>
  <c r="U50" i="20"/>
  <c r="T54" i="20"/>
  <c r="T77" i="20" s="1"/>
  <c r="U53" i="13"/>
  <c r="V43" i="11"/>
  <c r="U47" i="11"/>
  <c r="U76" i="18"/>
  <c r="U80" i="18" s="1"/>
  <c r="U40" i="5"/>
  <c r="W60" i="19"/>
  <c r="V52" i="15"/>
  <c r="V53" i="15" s="1"/>
  <c r="V46" i="15"/>
  <c r="T76" i="2"/>
  <c r="T80" i="2" s="1"/>
  <c r="T32" i="5"/>
  <c r="U51" i="17"/>
  <c r="T54" i="5"/>
  <c r="T85" i="13"/>
  <c r="T86" i="13" s="1"/>
  <c r="T87" i="13" s="1"/>
  <c r="T84" i="13"/>
  <c r="T88" i="13"/>
  <c r="T71" i="5" s="1"/>
  <c r="V52" i="12"/>
  <c r="V53" i="12" s="1"/>
  <c r="V46" i="12"/>
  <c r="V50" i="11"/>
  <c r="U54" i="11"/>
  <c r="U77" i="11" s="1"/>
  <c r="V51" i="18"/>
  <c r="W45" i="14"/>
  <c r="R18" i="5"/>
  <c r="P21" i="5" l="1"/>
  <c r="P29" i="5"/>
  <c r="P26" i="5"/>
  <c r="V89" i="10"/>
  <c r="V15" i="5" s="1"/>
  <c r="T89" i="13"/>
  <c r="T13" i="5" s="1"/>
  <c r="V50" i="2"/>
  <c r="U54" i="2"/>
  <c r="U77" i="2" s="1"/>
  <c r="W52" i="10"/>
  <c r="W53" i="10" s="1"/>
  <c r="W54" i="10" s="1"/>
  <c r="W77" i="10" s="1"/>
  <c r="W46" i="10"/>
  <c r="W47" i="10" s="1"/>
  <c r="U76" i="19"/>
  <c r="U80" i="19" s="1"/>
  <c r="U33" i="5"/>
  <c r="T76" i="20"/>
  <c r="T80" i="20" s="1"/>
  <c r="T43" i="5"/>
  <c r="T44" i="5" s="1"/>
  <c r="T45" i="5" s="1"/>
  <c r="V51" i="19"/>
  <c r="V45" i="19" s="1"/>
  <c r="U46" i="2"/>
  <c r="W43" i="12"/>
  <c r="V47" i="12"/>
  <c r="U83" i="17"/>
  <c r="U71" i="17"/>
  <c r="U70" i="17" s="1"/>
  <c r="U72" i="17" s="1"/>
  <c r="W43" i="15"/>
  <c r="V47" i="15"/>
  <c r="V51" i="11"/>
  <c r="V45" i="11" s="1"/>
  <c r="V43" i="13"/>
  <c r="U47" i="13"/>
  <c r="T51" i="5"/>
  <c r="T84" i="17"/>
  <c r="T88" i="17"/>
  <c r="T68" i="5" s="1"/>
  <c r="T85" i="17"/>
  <c r="V86" i="14"/>
  <c r="V87" i="14" s="1"/>
  <c r="V89" i="14" s="1"/>
  <c r="V83" i="18"/>
  <c r="V71" i="18"/>
  <c r="V70" i="18" s="1"/>
  <c r="V72" i="18" s="1"/>
  <c r="W50" i="12"/>
  <c r="V54" i="12"/>
  <c r="V77" i="12" s="1"/>
  <c r="W50" i="15"/>
  <c r="V54" i="15"/>
  <c r="V77" i="15" s="1"/>
  <c r="V50" i="13"/>
  <c r="U54" i="13"/>
  <c r="U77" i="13" s="1"/>
  <c r="V69" i="13"/>
  <c r="U73" i="13"/>
  <c r="U79" i="13" s="1"/>
  <c r="W76" i="9"/>
  <c r="W80" i="9" s="1"/>
  <c r="W38" i="5"/>
  <c r="V87" i="9"/>
  <c r="V89" i="9" s="1"/>
  <c r="V14" i="5" s="1"/>
  <c r="W52" i="14"/>
  <c r="W53" i="14" s="1"/>
  <c r="W54" i="14" s="1"/>
  <c r="W77" i="14" s="1"/>
  <c r="W46" i="14"/>
  <c r="W47" i="14" s="1"/>
  <c r="V45" i="18"/>
  <c r="U45" i="17"/>
  <c r="T85" i="2"/>
  <c r="T88" i="2"/>
  <c r="T66" i="5" s="1"/>
  <c r="T49" i="5"/>
  <c r="T84" i="2"/>
  <c r="U88" i="18"/>
  <c r="U74" i="5" s="1"/>
  <c r="U85" i="18"/>
  <c r="U57" i="5"/>
  <c r="U84" i="18"/>
  <c r="U76" i="11"/>
  <c r="U80" i="11" s="1"/>
  <c r="U41" i="5"/>
  <c r="U89" i="15"/>
  <c r="U51" i="20"/>
  <c r="U83" i="2"/>
  <c r="U71" i="2"/>
  <c r="U70" i="2" s="1"/>
  <c r="U72" i="2" s="1"/>
  <c r="S12" i="5"/>
  <c r="T11" i="5"/>
  <c r="P28" i="5" l="1"/>
  <c r="P27" i="5"/>
  <c r="V52" i="11"/>
  <c r="V53" i="11" s="1"/>
  <c r="V46" i="11"/>
  <c r="V52" i="19"/>
  <c r="V53" i="19" s="1"/>
  <c r="W50" i="19" s="1"/>
  <c r="V46" i="19"/>
  <c r="W43" i="19" s="1"/>
  <c r="W69" i="18"/>
  <c r="V73" i="18"/>
  <c r="V79" i="18" s="1"/>
  <c r="V69" i="2"/>
  <c r="U73" i="2"/>
  <c r="U79" i="2" s="1"/>
  <c r="V69" i="17"/>
  <c r="U73" i="17"/>
  <c r="U79" i="17" s="1"/>
  <c r="W84" i="9"/>
  <c r="W55" i="5"/>
  <c r="W85" i="9"/>
  <c r="W88" i="9"/>
  <c r="W72" i="5" s="1"/>
  <c r="V51" i="13"/>
  <c r="V45" i="13" s="1"/>
  <c r="W76" i="10"/>
  <c r="W80" i="10" s="1"/>
  <c r="W39" i="5"/>
  <c r="U85" i="11"/>
  <c r="U88" i="11"/>
  <c r="U75" i="5" s="1"/>
  <c r="U84" i="11"/>
  <c r="U58" i="5"/>
  <c r="U86" i="18"/>
  <c r="U87" i="18" s="1"/>
  <c r="U52" i="17"/>
  <c r="U53" i="17" s="1"/>
  <c r="U46" i="17"/>
  <c r="V52" i="18"/>
  <c r="V53" i="18" s="1"/>
  <c r="V46" i="18"/>
  <c r="T86" i="17"/>
  <c r="T87" i="17" s="1"/>
  <c r="T89" i="17" s="1"/>
  <c r="V76" i="15"/>
  <c r="V80" i="15" s="1"/>
  <c r="V35" i="5"/>
  <c r="V76" i="12"/>
  <c r="V80" i="12" s="1"/>
  <c r="V42" i="5"/>
  <c r="V43" i="2"/>
  <c r="U47" i="2"/>
  <c r="T84" i="20"/>
  <c r="T85" i="20"/>
  <c r="T86" i="20" s="1"/>
  <c r="T87" i="20" s="1"/>
  <c r="T88" i="20"/>
  <c r="T77" i="5" s="1"/>
  <c r="T78" i="5" s="1"/>
  <c r="T79" i="5" s="1"/>
  <c r="T60" i="5"/>
  <c r="T61" i="5" s="1"/>
  <c r="T62" i="5" s="1"/>
  <c r="U84" i="19"/>
  <c r="U88" i="19"/>
  <c r="U67" i="5" s="1"/>
  <c r="U50" i="5"/>
  <c r="U85" i="19"/>
  <c r="U86" i="19" s="1"/>
  <c r="U87" i="19" s="1"/>
  <c r="U83" i="20"/>
  <c r="U71" i="20"/>
  <c r="U70" i="20" s="1"/>
  <c r="U72" i="20" s="1"/>
  <c r="T86" i="2"/>
  <c r="U45" i="20"/>
  <c r="W76" i="14"/>
  <c r="W80" i="14" s="1"/>
  <c r="W36" i="5"/>
  <c r="U76" i="13"/>
  <c r="U80" i="13" s="1"/>
  <c r="U37" i="5"/>
  <c r="V83" i="11"/>
  <c r="V70" i="11"/>
  <c r="V72" i="11" s="1"/>
  <c r="V71" i="11"/>
  <c r="W51" i="15"/>
  <c r="W51" i="12"/>
  <c r="V83" i="19"/>
  <c r="V71" i="19"/>
  <c r="V70" i="19" s="1"/>
  <c r="V72" i="19" s="1"/>
  <c r="S10" i="5"/>
  <c r="V54" i="19" l="1"/>
  <c r="V77" i="19" s="1"/>
  <c r="T89" i="20"/>
  <c r="W51" i="19"/>
  <c r="V47" i="19"/>
  <c r="V76" i="19" s="1"/>
  <c r="W43" i="11"/>
  <c r="W51" i="11" s="1"/>
  <c r="W71" i="11" s="1"/>
  <c r="W70" i="11" s="1"/>
  <c r="V47" i="11"/>
  <c r="W50" i="11"/>
  <c r="W45" i="11" s="1"/>
  <c r="V54" i="11"/>
  <c r="V77" i="11" s="1"/>
  <c r="U89" i="18"/>
  <c r="U16" i="5" s="1"/>
  <c r="U88" i="13"/>
  <c r="U71" i="5" s="1"/>
  <c r="U54" i="5"/>
  <c r="U85" i="13"/>
  <c r="U84" i="13"/>
  <c r="V52" i="13"/>
  <c r="V53" i="13" s="1"/>
  <c r="V46" i="13"/>
  <c r="W69" i="19"/>
  <c r="V73" i="19"/>
  <c r="V79" i="19" s="1"/>
  <c r="W83" i="12"/>
  <c r="W71" i="12"/>
  <c r="W70" i="12" s="1"/>
  <c r="W72" i="12" s="1"/>
  <c r="W73" i="12" s="1"/>
  <c r="W79" i="12" s="1"/>
  <c r="W45" i="12"/>
  <c r="V85" i="15"/>
  <c r="V84" i="15"/>
  <c r="V88" i="15"/>
  <c r="V69" i="5" s="1"/>
  <c r="V52" i="5"/>
  <c r="W43" i="18"/>
  <c r="V47" i="18"/>
  <c r="W84" i="10"/>
  <c r="W56" i="5"/>
  <c r="W85" i="10"/>
  <c r="W88" i="10"/>
  <c r="W73" i="5" s="1"/>
  <c r="U76" i="2"/>
  <c r="U80" i="2" s="1"/>
  <c r="U32" i="5"/>
  <c r="V88" i="12"/>
  <c r="V76" i="5" s="1"/>
  <c r="V85" i="12"/>
  <c r="V86" i="12" s="1"/>
  <c r="V87" i="12" s="1"/>
  <c r="V59" i="5"/>
  <c r="V84" i="12"/>
  <c r="W50" i="18"/>
  <c r="V54" i="18"/>
  <c r="V77" i="18" s="1"/>
  <c r="U86" i="11"/>
  <c r="U87" i="11" s="1"/>
  <c r="U89" i="11" s="1"/>
  <c r="W83" i="11"/>
  <c r="W69" i="11"/>
  <c r="V73" i="11"/>
  <c r="V79" i="11" s="1"/>
  <c r="V69" i="20"/>
  <c r="U73" i="20"/>
  <c r="U79" i="20" s="1"/>
  <c r="V50" i="17"/>
  <c r="U54" i="17"/>
  <c r="U77" i="17" s="1"/>
  <c r="W86" i="9"/>
  <c r="W87" i="9" s="1"/>
  <c r="W89" i="9" s="1"/>
  <c r="W14" i="5" s="1"/>
  <c r="W83" i="15"/>
  <c r="W71" i="15"/>
  <c r="W70" i="15" s="1"/>
  <c r="W72" i="15" s="1"/>
  <c r="W73" i="15" s="1"/>
  <c r="W79" i="15" s="1"/>
  <c r="V33" i="5"/>
  <c r="W45" i="15"/>
  <c r="W53" i="5"/>
  <c r="W85" i="14"/>
  <c r="W84" i="14"/>
  <c r="W88" i="14"/>
  <c r="W70" i="5" s="1"/>
  <c r="U52" i="20"/>
  <c r="U53" i="20" s="1"/>
  <c r="U46" i="20"/>
  <c r="W83" i="19"/>
  <c r="W71" i="19"/>
  <c r="W70" i="19" s="1"/>
  <c r="W45" i="19"/>
  <c r="T87" i="2"/>
  <c r="T89" i="2" s="1"/>
  <c r="T8" i="5" s="1"/>
  <c r="U89" i="19"/>
  <c r="V51" i="2"/>
  <c r="V43" i="17"/>
  <c r="U47" i="17"/>
  <c r="V83" i="13"/>
  <c r="V71" i="13"/>
  <c r="V70" i="13" s="1"/>
  <c r="V72" i="13" s="1"/>
  <c r="R9" i="5"/>
  <c r="R17" i="5"/>
  <c r="Q19" i="5"/>
  <c r="Q20" i="5" l="1"/>
  <c r="V41" i="5"/>
  <c r="V76" i="11"/>
  <c r="V80" i="11" s="1"/>
  <c r="U34" i="5"/>
  <c r="U76" i="17"/>
  <c r="U80" i="17" s="1"/>
  <c r="V50" i="20"/>
  <c r="U54" i="20"/>
  <c r="U77" i="20" s="1"/>
  <c r="W86" i="14"/>
  <c r="W87" i="14"/>
  <c r="W52" i="11"/>
  <c r="W53" i="11" s="1"/>
  <c r="W54" i="11" s="1"/>
  <c r="W77" i="11" s="1"/>
  <c r="W46" i="11"/>
  <c r="W47" i="11" s="1"/>
  <c r="W51" i="18"/>
  <c r="W45" i="18" s="1"/>
  <c r="W52" i="18" s="1"/>
  <c r="W53" i="18" s="1"/>
  <c r="W54" i="18" s="1"/>
  <c r="W77" i="18" s="1"/>
  <c r="W43" i="13"/>
  <c r="V47" i="13"/>
  <c r="W52" i="19"/>
  <c r="W53" i="19" s="1"/>
  <c r="W54" i="19" s="1"/>
  <c r="W77" i="19" s="1"/>
  <c r="W46" i="19"/>
  <c r="W47" i="19" s="1"/>
  <c r="V86" i="15"/>
  <c r="V87" i="15" s="1"/>
  <c r="V89" i="15" s="1"/>
  <c r="V80" i="19"/>
  <c r="W50" i="13"/>
  <c r="V54" i="13"/>
  <c r="V77" i="13" s="1"/>
  <c r="W69" i="13"/>
  <c r="V73" i="13"/>
  <c r="V79" i="13" s="1"/>
  <c r="U86" i="13"/>
  <c r="U87" i="13" s="1"/>
  <c r="V51" i="17"/>
  <c r="U85" i="2"/>
  <c r="U86" i="2" s="1"/>
  <c r="U87" i="2" s="1"/>
  <c r="U84" i="2"/>
  <c r="U88" i="2"/>
  <c r="U66" i="5" s="1"/>
  <c r="U49" i="5"/>
  <c r="V83" i="2"/>
  <c r="V71" i="2"/>
  <c r="V70" i="2" s="1"/>
  <c r="V72" i="2" s="1"/>
  <c r="V45" i="2"/>
  <c r="V43" i="20"/>
  <c r="U47" i="20"/>
  <c r="W52" i="15"/>
  <c r="W53" i="15" s="1"/>
  <c r="W54" i="15" s="1"/>
  <c r="W77" i="15" s="1"/>
  <c r="W46" i="15"/>
  <c r="W47" i="15" s="1"/>
  <c r="W72" i="11"/>
  <c r="W73" i="11" s="1"/>
  <c r="W79" i="11" s="1"/>
  <c r="V89" i="12"/>
  <c r="W86" i="10"/>
  <c r="W87" i="10" s="1"/>
  <c r="W89" i="10" s="1"/>
  <c r="W15" i="5" s="1"/>
  <c r="V76" i="18"/>
  <c r="V80" i="18" s="1"/>
  <c r="V40" i="5"/>
  <c r="W52" i="12"/>
  <c r="W53" i="12" s="1"/>
  <c r="W54" i="12" s="1"/>
  <c r="W77" i="12" s="1"/>
  <c r="W46" i="12"/>
  <c r="W47" i="12" s="1"/>
  <c r="W72" i="19"/>
  <c r="W73" i="19" s="1"/>
  <c r="W79" i="19" s="1"/>
  <c r="S18" i="5"/>
  <c r="U11" i="5"/>
  <c r="Q26" i="5" l="1"/>
  <c r="Q29" i="5"/>
  <c r="Q21" i="5"/>
  <c r="V88" i="11"/>
  <c r="V75" i="5" s="1"/>
  <c r="V84" i="11"/>
  <c r="V58" i="5"/>
  <c r="V85" i="11"/>
  <c r="V86" i="11" s="1"/>
  <c r="V51" i="20"/>
  <c r="V83" i="17"/>
  <c r="V71" i="17"/>
  <c r="V70" i="17" s="1"/>
  <c r="V72" i="17" s="1"/>
  <c r="V45" i="17"/>
  <c r="W76" i="19"/>
  <c r="W80" i="19" s="1"/>
  <c r="W33" i="5"/>
  <c r="W51" i="13"/>
  <c r="W76" i="15"/>
  <c r="W80" i="15" s="1"/>
  <c r="W35" i="5"/>
  <c r="W69" i="2"/>
  <c r="V73" i="2"/>
  <c r="V79" i="2" s="1"/>
  <c r="V76" i="13"/>
  <c r="V80" i="13" s="1"/>
  <c r="V37" i="5"/>
  <c r="W76" i="11"/>
  <c r="W80" i="11" s="1"/>
  <c r="W41" i="5"/>
  <c r="V52" i="2"/>
  <c r="V53" i="2" s="1"/>
  <c r="V46" i="2"/>
  <c r="W76" i="12"/>
  <c r="W80" i="12" s="1"/>
  <c r="W42" i="5"/>
  <c r="V84" i="18"/>
  <c r="V88" i="18"/>
  <c r="V74" i="5" s="1"/>
  <c r="V85" i="18"/>
  <c r="V57" i="5"/>
  <c r="U76" i="20"/>
  <c r="U80" i="20" s="1"/>
  <c r="U43" i="5"/>
  <c r="U44" i="5" s="1"/>
  <c r="U45" i="5" s="1"/>
  <c r="U89" i="2"/>
  <c r="U8" i="5" s="1"/>
  <c r="U89" i="13"/>
  <c r="U13" i="5" s="1"/>
  <c r="V85" i="19"/>
  <c r="V84" i="19"/>
  <c r="V88" i="19"/>
  <c r="V67" i="5" s="1"/>
  <c r="V50" i="5"/>
  <c r="W83" i="18"/>
  <c r="W71" i="18"/>
  <c r="W70" i="18" s="1"/>
  <c r="W72" i="18" s="1"/>
  <c r="W73" i="18" s="1"/>
  <c r="W79" i="18" s="1"/>
  <c r="W46" i="18"/>
  <c r="W47" i="18" s="1"/>
  <c r="W89" i="14"/>
  <c r="U51" i="5"/>
  <c r="U85" i="17"/>
  <c r="U86" i="17" s="1"/>
  <c r="U87" i="17" s="1"/>
  <c r="U84" i="17"/>
  <c r="U88" i="17"/>
  <c r="U68" i="5" s="1"/>
  <c r="T12" i="5"/>
  <c r="Q28" i="5" l="1"/>
  <c r="Q27" i="5"/>
  <c r="V87" i="11"/>
  <c r="V89" i="11" s="1"/>
  <c r="U89" i="17"/>
  <c r="W58" i="5"/>
  <c r="W85" i="11"/>
  <c r="W86" i="11" s="1"/>
  <c r="W87" i="11" s="1"/>
  <c r="W84" i="11"/>
  <c r="W88" i="11"/>
  <c r="W75" i="5" s="1"/>
  <c r="W84" i="19"/>
  <c r="W50" i="5"/>
  <c r="W85" i="19"/>
  <c r="W88" i="19"/>
  <c r="W67" i="5" s="1"/>
  <c r="W40" i="5"/>
  <c r="W76" i="18"/>
  <c r="W80" i="18" s="1"/>
  <c r="V86" i="19"/>
  <c r="V87" i="19" s="1"/>
  <c r="V89" i="19" s="1"/>
  <c r="U85" i="20"/>
  <c r="U86" i="20" s="1"/>
  <c r="U87" i="20" s="1"/>
  <c r="U84" i="20"/>
  <c r="U60" i="5"/>
  <c r="U61" i="5" s="1"/>
  <c r="U62" i="5" s="1"/>
  <c r="U88" i="20"/>
  <c r="U77" i="5" s="1"/>
  <c r="U78" i="5" s="1"/>
  <c r="U79" i="5" s="1"/>
  <c r="W85" i="12"/>
  <c r="W86" i="12" s="1"/>
  <c r="W87" i="12" s="1"/>
  <c r="W84" i="12"/>
  <c r="W59" i="5"/>
  <c r="W88" i="12"/>
  <c r="W76" i="5" s="1"/>
  <c r="W85" i="15"/>
  <c r="W84" i="15"/>
  <c r="W88" i="15"/>
  <c r="W69" i="5" s="1"/>
  <c r="W52" i="5"/>
  <c r="V86" i="18"/>
  <c r="V87" i="18" s="1"/>
  <c r="V89" i="18" s="1"/>
  <c r="V16" i="5" s="1"/>
  <c r="W43" i="2"/>
  <c r="V47" i="2"/>
  <c r="V83" i="20"/>
  <c r="V71" i="20"/>
  <c r="V70" i="20" s="1"/>
  <c r="V72" i="20" s="1"/>
  <c r="V45" i="20"/>
  <c r="W50" i="2"/>
  <c r="V54" i="2"/>
  <c r="V77" i="2" s="1"/>
  <c r="V84" i="13"/>
  <c r="V88" i="13"/>
  <c r="V71" i="5" s="1"/>
  <c r="V54" i="5"/>
  <c r="V85" i="13"/>
  <c r="W69" i="17"/>
  <c r="V73" i="17"/>
  <c r="V79" i="17" s="1"/>
  <c r="W83" i="13"/>
  <c r="W71" i="13"/>
  <c r="W70" i="13" s="1"/>
  <c r="W72" i="13" s="1"/>
  <c r="W73" i="13" s="1"/>
  <c r="W79" i="13" s="1"/>
  <c r="W45" i="13"/>
  <c r="V52" i="17"/>
  <c r="V53" i="17" s="1"/>
  <c r="V46" i="17"/>
  <c r="S9" i="5"/>
  <c r="S17" i="5"/>
  <c r="U12" i="5"/>
  <c r="T10" i="5"/>
  <c r="W69" i="20" l="1"/>
  <c r="V73" i="20"/>
  <c r="V79" i="20" s="1"/>
  <c r="W57" i="5"/>
  <c r="W85" i="18"/>
  <c r="W86" i="18" s="1"/>
  <c r="W87" i="18" s="1"/>
  <c r="W84" i="18"/>
  <c r="W88" i="18"/>
  <c r="W74" i="5" s="1"/>
  <c r="W50" i="17"/>
  <c r="V54" i="17"/>
  <c r="V77" i="17" s="1"/>
  <c r="W52" i="13"/>
  <c r="W53" i="13" s="1"/>
  <c r="W54" i="13" s="1"/>
  <c r="W77" i="13" s="1"/>
  <c r="W46" i="13"/>
  <c r="W47" i="13" s="1"/>
  <c r="W43" i="17"/>
  <c r="V47" i="17"/>
  <c r="V86" i="13"/>
  <c r="V87" i="13" s="1"/>
  <c r="V89" i="13" s="1"/>
  <c r="V13" i="5" s="1"/>
  <c r="V52" i="20"/>
  <c r="V53" i="20" s="1"/>
  <c r="V46" i="20"/>
  <c r="W89" i="12"/>
  <c r="V32" i="5"/>
  <c r="V76" i="2"/>
  <c r="V80" i="2" s="1"/>
  <c r="U89" i="20"/>
  <c r="W89" i="11"/>
  <c r="W51" i="2"/>
  <c r="W45" i="2" s="1"/>
  <c r="W52" i="2" s="1"/>
  <c r="W86" i="15"/>
  <c r="W87" i="15" s="1"/>
  <c r="W89" i="15" s="1"/>
  <c r="W86" i="19"/>
  <c r="W87" i="19" s="1"/>
  <c r="R19" i="5"/>
  <c r="T18" i="5"/>
  <c r="T17" i="5"/>
  <c r="V12" i="5"/>
  <c r="V11" i="5"/>
  <c r="R20" i="5" l="1"/>
  <c r="W51" i="17"/>
  <c r="W45" i="17" s="1"/>
  <c r="W76" i="13"/>
  <c r="W80" i="13" s="1"/>
  <c r="W37" i="5"/>
  <c r="W43" i="20"/>
  <c r="V47" i="20"/>
  <c r="W89" i="19"/>
  <c r="W83" i="2"/>
  <c r="W71" i="2"/>
  <c r="W70" i="2" s="1"/>
  <c r="W72" i="2" s="1"/>
  <c r="W73" i="2" s="1"/>
  <c r="W79" i="2" s="1"/>
  <c r="W46" i="2"/>
  <c r="W47" i="2" s="1"/>
  <c r="V84" i="2"/>
  <c r="V49" i="5"/>
  <c r="V85" i="2"/>
  <c r="V88" i="2"/>
  <c r="V66" i="5" s="1"/>
  <c r="W53" i="2"/>
  <c r="W54" i="2" s="1"/>
  <c r="W77" i="2" s="1"/>
  <c r="W50" i="20"/>
  <c r="V54" i="20"/>
  <c r="V77" i="20" s="1"/>
  <c r="V76" i="17"/>
  <c r="V80" i="17" s="1"/>
  <c r="V34" i="5"/>
  <c r="W89" i="18"/>
  <c r="W16" i="5" s="1"/>
  <c r="T9" i="5"/>
  <c r="U17" i="5"/>
  <c r="U18" i="5"/>
  <c r="W11" i="5"/>
  <c r="W12" i="5"/>
  <c r="R29" i="5" l="1"/>
  <c r="R26" i="5"/>
  <c r="R21" i="5"/>
  <c r="W52" i="17"/>
  <c r="W53" i="17" s="1"/>
  <c r="W54" i="17" s="1"/>
  <c r="W77" i="17" s="1"/>
  <c r="W46" i="17"/>
  <c r="W47" i="17" s="1"/>
  <c r="V84" i="17"/>
  <c r="V51" i="5"/>
  <c r="V85" i="17"/>
  <c r="V86" i="17" s="1"/>
  <c r="V87" i="17" s="1"/>
  <c r="V88" i="17"/>
  <c r="V68" i="5" s="1"/>
  <c r="V76" i="20"/>
  <c r="V80" i="20" s="1"/>
  <c r="V43" i="5"/>
  <c r="V44" i="5" s="1"/>
  <c r="V45" i="5" s="1"/>
  <c r="W85" i="13"/>
  <c r="W84" i="13"/>
  <c r="W88" i="13"/>
  <c r="W71" i="5" s="1"/>
  <c r="W54" i="5"/>
  <c r="V86" i="2"/>
  <c r="V87" i="2" s="1"/>
  <c r="V89" i="2" s="1"/>
  <c r="V8" i="5" s="1"/>
  <c r="W76" i="2"/>
  <c r="W80" i="2" s="1"/>
  <c r="W32" i="5"/>
  <c r="W51" i="20"/>
  <c r="W45" i="20" s="1"/>
  <c r="W52" i="20" s="1"/>
  <c r="W83" i="17"/>
  <c r="W71" i="17"/>
  <c r="W70" i="17" s="1"/>
  <c r="W72" i="17" s="1"/>
  <c r="W73" i="17" s="1"/>
  <c r="W79" i="17" s="1"/>
  <c r="U9" i="5"/>
  <c r="V17" i="5"/>
  <c r="V18" i="5"/>
  <c r="U10" i="5"/>
  <c r="R27" i="5" l="1"/>
  <c r="R28" i="5"/>
  <c r="V89" i="17"/>
  <c r="W85" i="2"/>
  <c r="W86" i="2" s="1"/>
  <c r="W87" i="2" s="1"/>
  <c r="W84" i="2"/>
  <c r="W88" i="2"/>
  <c r="W66" i="5" s="1"/>
  <c r="W49" i="5"/>
  <c r="V88" i="20"/>
  <c r="V77" i="5" s="1"/>
  <c r="V78" i="5" s="1"/>
  <c r="V79" i="5" s="1"/>
  <c r="V85" i="20"/>
  <c r="V86" i="20" s="1"/>
  <c r="V87" i="20" s="1"/>
  <c r="V60" i="5"/>
  <c r="V61" i="5" s="1"/>
  <c r="V62" i="5" s="1"/>
  <c r="V84" i="20"/>
  <c r="W83" i="20"/>
  <c r="W71" i="20"/>
  <c r="W70" i="20" s="1"/>
  <c r="W72" i="20" s="1"/>
  <c r="W73" i="20" s="1"/>
  <c r="W79" i="20" s="1"/>
  <c r="W53" i="20"/>
  <c r="W54" i="20" s="1"/>
  <c r="W77" i="20" s="1"/>
  <c r="W86" i="13"/>
  <c r="W87" i="13" s="1"/>
  <c r="W76" i="17"/>
  <c r="W80" i="17" s="1"/>
  <c r="W34" i="5"/>
  <c r="W46" i="20"/>
  <c r="W47" i="20" s="1"/>
  <c r="W17" i="5"/>
  <c r="V9" i="5"/>
  <c r="W18" i="5"/>
  <c r="W84" i="17" l="1"/>
  <c r="W85" i="17"/>
  <c r="W86" i="17" s="1"/>
  <c r="W87" i="17" s="1"/>
  <c r="W51" i="5"/>
  <c r="W88" i="17"/>
  <c r="W68" i="5" s="1"/>
  <c r="W89" i="13"/>
  <c r="W13" i="5" s="1"/>
  <c r="W89" i="2"/>
  <c r="W8" i="5" s="1"/>
  <c r="W76" i="20"/>
  <c r="W80" i="20" s="1"/>
  <c r="W43" i="5"/>
  <c r="W44" i="5" s="1"/>
  <c r="W45" i="5" s="1"/>
  <c r="V89" i="20"/>
  <c r="W9" i="5"/>
  <c r="S19" i="5"/>
  <c r="S20" i="5" l="1"/>
  <c r="W60" i="5"/>
  <c r="W61" i="5" s="1"/>
  <c r="W62" i="5" s="1"/>
  <c r="W85" i="20"/>
  <c r="W84" i="20"/>
  <c r="W88" i="20"/>
  <c r="W77" i="5" s="1"/>
  <c r="W78" i="5" s="1"/>
  <c r="W79" i="5" s="1"/>
  <c r="W89" i="17"/>
  <c r="V10" i="5"/>
  <c r="S26" i="5" l="1"/>
  <c r="S21" i="5"/>
  <c r="S29" i="5"/>
  <c r="W86" i="20"/>
  <c r="W87" i="20" s="1"/>
  <c r="W10" i="5"/>
  <c r="S27" i="5" l="1"/>
  <c r="S28" i="5"/>
  <c r="W89" i="20"/>
  <c r="T19" i="5"/>
  <c r="T20" i="5" l="1"/>
  <c r="U19" i="5"/>
  <c r="U20" i="5" l="1"/>
  <c r="U26" i="5" s="1"/>
  <c r="U28" i="5" s="1"/>
  <c r="T26" i="5"/>
  <c r="T21" i="5"/>
  <c r="T29" i="5"/>
  <c r="V19" i="5"/>
  <c r="V20" i="5" l="1"/>
  <c r="V26" i="5" s="1"/>
  <c r="V28" i="5" s="1"/>
  <c r="U21" i="5"/>
  <c r="U29" i="5"/>
  <c r="U27" i="5"/>
  <c r="T28" i="5"/>
  <c r="T27" i="5"/>
  <c r="W19" i="5"/>
  <c r="W20" i="5" l="1"/>
  <c r="W29" i="5" s="1"/>
  <c r="V29" i="5"/>
  <c r="V27" i="5"/>
  <c r="V21" i="5"/>
  <c r="W21" i="5" l="1"/>
  <c r="W26" i="5"/>
  <c r="W28" i="5" s="1"/>
  <c r="W27" i="5" l="1"/>
</calcChain>
</file>

<file path=xl/sharedStrings.xml><?xml version="1.0" encoding="utf-8"?>
<sst xmlns="http://schemas.openxmlformats.org/spreadsheetml/2006/main" count="1157" uniqueCount="164">
  <si>
    <t>($ million)</t>
  </si>
  <si>
    <t>Line</t>
  </si>
  <si>
    <t>Column</t>
  </si>
  <si>
    <t>Reference</t>
  </si>
  <si>
    <t>Amortization</t>
  </si>
  <si>
    <t>Total</t>
  </si>
  <si>
    <t>Per Cent Increase</t>
  </si>
  <si>
    <t>Construction Work in Progress</t>
  </si>
  <si>
    <t xml:space="preserve"> </t>
  </si>
  <si>
    <t>Opening Balance</t>
  </si>
  <si>
    <t>Capital Expenditures</t>
  </si>
  <si>
    <t>Capital Additions</t>
  </si>
  <si>
    <t>Closing Balance</t>
  </si>
  <si>
    <t>Gross Property</t>
  </si>
  <si>
    <t>Retirements</t>
  </si>
  <si>
    <t>Accumulated Depreciation</t>
  </si>
  <si>
    <t>Mid-Year Balance</t>
  </si>
  <si>
    <t>Revenue Requirements</t>
  </si>
  <si>
    <t>Income Taxes</t>
  </si>
  <si>
    <t>Operations &amp; Maintenance</t>
  </si>
  <si>
    <t>CWIP in Rate Base</t>
  </si>
  <si>
    <t>Mid-Year Rate Base</t>
  </si>
  <si>
    <t>Project:</t>
  </si>
  <si>
    <t>In-Service Year (yyyy)</t>
  </si>
  <si>
    <t>Debt (% of Capital)</t>
  </si>
  <si>
    <t>Cost of Debt (%)</t>
  </si>
  <si>
    <t>Equity (% of Capital)</t>
  </si>
  <si>
    <t>Cost of Equity (%)</t>
  </si>
  <si>
    <t>O&amp;M (% of Capital Additions)</t>
  </si>
  <si>
    <t>O&amp;M Escalation Rate (%)</t>
  </si>
  <si>
    <t>CWIP Carrying Cost (IDC or AFUDC)</t>
  </si>
  <si>
    <t>CWIP in Rate Base (Y or N)</t>
  </si>
  <si>
    <t>Capital Expenditures (nominal $ millions)</t>
  </si>
  <si>
    <t>AFUDC</t>
  </si>
  <si>
    <t>Cost of Debt</t>
  </si>
  <si>
    <t>Cost of Equity</t>
  </si>
  <si>
    <t>Deferred Income Tax Account</t>
  </si>
  <si>
    <t>Y</t>
  </si>
  <si>
    <t>SCE</t>
  </si>
  <si>
    <t>Anaheim</t>
  </si>
  <si>
    <t>Azusa</t>
  </si>
  <si>
    <t>Banning</t>
  </si>
  <si>
    <t>Pasadena</t>
  </si>
  <si>
    <t>Riverside</t>
  </si>
  <si>
    <t>Vernon</t>
  </si>
  <si>
    <t>HV Base TRR</t>
  </si>
  <si>
    <t>HV TRBAA</t>
  </si>
  <si>
    <t>HV Standby Credit</t>
  </si>
  <si>
    <t>HV TRBAA Escalation</t>
  </si>
  <si>
    <t>HV Standby Credit Escalation</t>
  </si>
  <si>
    <t>Gross Load Growth</t>
  </si>
  <si>
    <t>Gross Load (GWh)</t>
  </si>
  <si>
    <t>TAC Rate ($/MWh)</t>
  </si>
  <si>
    <t>HV Revenue Requirements</t>
  </si>
  <si>
    <t>Existing Facilities</t>
  </si>
  <si>
    <t>Summary</t>
  </si>
  <si>
    <t>Rate Base</t>
  </si>
  <si>
    <t>Return</t>
  </si>
  <si>
    <t>Subtotal</t>
  </si>
  <si>
    <t>Other PTOs</t>
  </si>
  <si>
    <t>Gross Plant</t>
  </si>
  <si>
    <t>HV Gross Plant</t>
  </si>
  <si>
    <t>HV Rate Base</t>
  </si>
  <si>
    <t>Total HV Base TRR</t>
  </si>
  <si>
    <t>Forecast Assumptions:</t>
  </si>
  <si>
    <t>Average Return Rate</t>
  </si>
  <si>
    <t>Reliability</t>
  </si>
  <si>
    <t>WOD</t>
  </si>
  <si>
    <t>Depreciation Rate (%)</t>
  </si>
  <si>
    <t>Depreciation</t>
  </si>
  <si>
    <t>Income Taxes - Federal</t>
  </si>
  <si>
    <t>Income Taxes - State</t>
  </si>
  <si>
    <t>Cumulative Per Cent Increase</t>
  </si>
  <si>
    <t>Deferred Income Taxes</t>
  </si>
  <si>
    <t>Deferred Income Taxes - Federal</t>
  </si>
  <si>
    <t>Deferred Income Taxes - State</t>
  </si>
  <si>
    <t>Depreciation - Federal Income Tax</t>
  </si>
  <si>
    <t>Depreciation - State Income Tax</t>
  </si>
  <si>
    <t>Federal Income Tax (MACRS 15-year)</t>
  </si>
  <si>
    <t>Federal Income Tax Rate (%)</t>
  </si>
  <si>
    <t>State Income Tax Declining Balance (%)</t>
  </si>
  <si>
    <t>State Income Tax Rate</t>
  </si>
  <si>
    <t>Deferred Federal Income Tax (Y or N)</t>
  </si>
  <si>
    <t>Deferred State Income Tax (Y or N)</t>
  </si>
  <si>
    <t>Links</t>
  </si>
  <si>
    <t>PG&amp;E</t>
  </si>
  <si>
    <t>SDG&amp;E</t>
  </si>
  <si>
    <t>Trans Bay Cable</t>
  </si>
  <si>
    <t>Citizens Sunrise</t>
  </si>
  <si>
    <t>Colton</t>
  </si>
  <si>
    <t>Line 141</t>
  </si>
  <si>
    <t xml:space="preserve">HV Total </t>
  </si>
  <si>
    <r>
      <t xml:space="preserve">Gross Load </t>
    </r>
    <r>
      <rPr>
        <b/>
        <sz val="10"/>
        <color theme="1"/>
        <rFont val="Arial"/>
        <family val="2"/>
      </rPr>
      <t xml:space="preserve">(GWh) </t>
    </r>
  </si>
  <si>
    <t xml:space="preserve">TAC Rate ($/MWh) </t>
  </si>
  <si>
    <t xml:space="preserve">HV Utility Specific Rates ($/MWh) </t>
  </si>
  <si>
    <t>DATC Path 15</t>
  </si>
  <si>
    <t>Startrans IO</t>
  </si>
  <si>
    <t>DATC Path 15 Tariff Filing</t>
  </si>
  <si>
    <t>Trans Bay Cable Tariff Filing</t>
  </si>
  <si>
    <t>Operations and Maintenance Costs</t>
  </si>
  <si>
    <t>New Project 10</t>
  </si>
  <si>
    <t>New Project 11</t>
  </si>
  <si>
    <t>New Project 12</t>
  </si>
  <si>
    <t>ClrdoRvr</t>
  </si>
  <si>
    <t>TAC Rate excluding existing facilities</t>
  </si>
  <si>
    <t>GWT/VEA</t>
  </si>
  <si>
    <t>Docket</t>
  </si>
  <si>
    <t>https://elibrary.ferc.gov/idmws/common/OpenNat.asp?fileID=14495819</t>
  </si>
  <si>
    <t>ER17-998-000</t>
  </si>
  <si>
    <t>ER19-13-000</t>
  </si>
  <si>
    <t>Tehachapi (Completed)</t>
  </si>
  <si>
    <t>N</t>
  </si>
  <si>
    <t>Red Bluff 2nd 'AA' Bank</t>
  </si>
  <si>
    <t>Calcite</t>
  </si>
  <si>
    <t>https://www.pge.com/en_US/about-pge/company-information/regulation/contracts-and-tariffs/contracts-and-tariffs.page</t>
  </si>
  <si>
    <t>ER19-1553-000</t>
  </si>
  <si>
    <t>https://www.sce.com/regulatory/open-access-information</t>
  </si>
  <si>
    <t>January 1, 2020 ISO Access Charge Rate</t>
  </si>
  <si>
    <t>2019-20 Policy and Econ</t>
  </si>
  <si>
    <t>CW-Lugo(Completed)</t>
  </si>
  <si>
    <t>South CC(Completed)</t>
  </si>
  <si>
    <t>CAISO January 01, 2021 TAC Rates (updated as of January 13, 2021)</t>
  </si>
  <si>
    <t>https://www.sdge.com/rates-and-regulations/tariff-information/ferc-tariffs</t>
  </si>
  <si>
    <t>Non-ISO Gross Capital Growth Rate</t>
  </si>
  <si>
    <t>TO20 Filing Model, 26-WholesaleTRRs, Line 100. HV only</t>
  </si>
  <si>
    <t>TO20 Filing Model, 26-WholesaleTRRs, Line 115. HV only</t>
  </si>
  <si>
    <t>TO20 Filing Model, 26-WholesaleTRRs, Line 203 &amp; 204. HV only</t>
  </si>
  <si>
    <t>TO20 Filing Model, 26-WholesaleTRRs, Line 206. HV only</t>
  </si>
  <si>
    <t>TO20 Filing Model, 26-WholesaleTRRs, Line 216. HV only</t>
  </si>
  <si>
    <t>Docket ER17-998 Tariff Filing, Exhibit DAT-3, Page 1, Line 1</t>
  </si>
  <si>
    <t>Docket ER17-998 Tariff Filing, Exhibit DAT-3, Page 1, Line 10</t>
  </si>
  <si>
    <t>Docket ER17-998 Tariff Filing, Exhibit DAT-3, Page 1, Line 11</t>
  </si>
  <si>
    <t>Docket ER17-998 Tariff Filing, Exhibit DAT-3, Page 1, Line 18</t>
  </si>
  <si>
    <t>https://elibrary.ferc.gov/eLibrary/filelist?document_id=14800836&amp;accessionnumber=20190920-5131</t>
  </si>
  <si>
    <t>Docket ER19-2846 Tariff Filing, Statement BK, Period II, Line 10</t>
  </si>
  <si>
    <t>Docket ER19-2846 Tariff Filing, Statement BK, Period II, Line 1</t>
  </si>
  <si>
    <t>Docket ER19-2846 Tariff Filing, Statement BK, Period II, Line 14</t>
  </si>
  <si>
    <t>Docket ER19-2846 Tariff Filing, Statement BK, Period II, Line 12</t>
  </si>
  <si>
    <t>Docket ER19-2846 Tariff Filing, Statement BK, Period II, Line 17</t>
  </si>
  <si>
    <t>Docket ER19-2846 Tariff Filing, Statement BK, Period II, Line 20</t>
  </si>
  <si>
    <t>TO20 Filing Model, 26-WholesaleTRRs, Line 208. HV only</t>
  </si>
  <si>
    <t xml:space="preserve">TO2021 Annual Update, Attachment 2 to Appendix IX, Schedule 1 BaseTRR, Line 1. </t>
  </si>
  <si>
    <t>TO2021 Annual Update, Attachment 2 to Appendix IX, Schedule 1 BaseTRR, Line 18.</t>
  </si>
  <si>
    <t xml:space="preserve">TO2021 Annual Update, Attachment 2 to Appendix IX, Schedule 1 BaseTRR, Line 69. </t>
  </si>
  <si>
    <t>TO2021 Annual Update, Attachment 2 to Appendix IX, Schedule 1 BaseTRR, Line 73.</t>
  </si>
  <si>
    <t>TO2021 Annual Update, Attachment 2 to Appendix IX, Schedule 1 BaseTRR, Line 74.</t>
  </si>
  <si>
    <t>TO2021 Annual Update, Attachment 2 to Appendix IX, Schedule 1 BaseTRR, Line 89.</t>
  </si>
  <si>
    <t>T05 Filing Cycle 2, Statement BK-1 Retail TRR, Page 4, Line 2</t>
  </si>
  <si>
    <t>T05 Filing Cycle 2, Statement BK-1 Retail TRR, Page 1, Line 18</t>
  </si>
  <si>
    <t>T05 Filing Cycle 2, Statement AV, Page 3, Line 27</t>
  </si>
  <si>
    <t>T05 Filing Cycle 2, Statement BK-1 Retail TRR, Page 1, Line 8</t>
  </si>
  <si>
    <t>SDG&amp;E TO5 Second Cycle Filing</t>
  </si>
  <si>
    <t>ER20-503-000</t>
  </si>
  <si>
    <t>https://www.sdge.com/san-diego-gas-electric-companys-fifth-transmission-owner-formulas-second-annual-informational</t>
  </si>
  <si>
    <t>Docket ER17-998 Tariff Filing, Exhibit DAT-3, Page 1, Line 14 and Line 15</t>
  </si>
  <si>
    <t>Docket  ER17-998 Tariff Filing, Exhibit DAT-3, Page 1, Line 20</t>
  </si>
  <si>
    <t>ER19-2846-0009</t>
  </si>
  <si>
    <t>SCE TO2021 Annual Update</t>
  </si>
  <si>
    <t>https://elibrary.ferc.gov/eLibrary/filelist?document_id=14911081&amp;accessionnumber=20201201-5280</t>
  </si>
  <si>
    <t>T05 Filing Cycle 2, Statement BK-2 ISO TRR, Page 1, Line 32</t>
  </si>
  <si>
    <t>T05 Filing Cycle 2, Statement AV, Page 1, Line 40</t>
  </si>
  <si>
    <t>CAISO January 01, 2021 TAC Rates</t>
  </si>
  <si>
    <t>http://www.caiso.com/Documents/HighVoltageAccessChargeRatesEffectiveJan01_2021.pdf</t>
  </si>
  <si>
    <t>PG&amp;E TO20 RY2021 Filing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</si>
</sst>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#,##0.0"/>
    <numFmt numFmtId="165" formatCode="#,##0.0_);\(#,##0.0\)"/>
    <numFmt numFmtId="166" formatCode="0.0%"/>
    <numFmt numFmtId="167" formatCode="#,##0.000_);\(#,##0.000\)"/>
    <numFmt numFmtId="168" formatCode="#,##0.0000_);\(#,##0.0000\)"/>
    <numFmt numFmtId="169" formatCode="0.000%"/>
    <numFmt numFmtId="170" formatCode="#,##0.000000"/>
    <numFmt numFmtId="171" formatCode="#,##0.0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rgb="FF333333"/>
      <name val="Arial"/>
      <family val="2"/>
    </font>
    <font>
      <sz val="10"/>
      <color rgb="FF00B0F0"/>
      <name val="Arial"/>
      <family val="2"/>
    </font>
    <font>
      <sz val="11"/>
      <name val="Calibri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164" fontId="4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164" fontId="0" fillId="0" borderId="0" xfId="0" applyNumberFormat="1" applyFill="1"/>
    <xf numFmtId="164" fontId="6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left"/>
    </xf>
    <xf numFmtId="1" fontId="4" fillId="0" borderId="0" xfId="0" applyNumberFormat="1" applyFont="1" applyFill="1"/>
    <xf numFmtId="164" fontId="6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165" fontId="8" fillId="0" borderId="0" xfId="0" applyNumberFormat="1" applyFont="1" applyFill="1" applyBorder="1"/>
    <xf numFmtId="1" fontId="8" fillId="0" borderId="0" xfId="0" applyNumberFormat="1" applyFont="1" applyFill="1"/>
    <xf numFmtId="165" fontId="8" fillId="2" borderId="0" xfId="0" applyNumberFormat="1" applyFont="1" applyFill="1" applyBorder="1"/>
    <xf numFmtId="166" fontId="8" fillId="0" borderId="0" xfId="1" applyNumberFormat="1" applyFont="1" applyFill="1" applyBorder="1"/>
    <xf numFmtId="1" fontId="4" fillId="0" borderId="0" xfId="0" applyNumberFormat="1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right"/>
    </xf>
    <xf numFmtId="165" fontId="8" fillId="0" borderId="1" xfId="0" applyNumberFormat="1" applyFont="1" applyFill="1" applyBorder="1"/>
    <xf numFmtId="1" fontId="8" fillId="2" borderId="0" xfId="0" applyNumberFormat="1" applyFont="1" applyFill="1" applyBorder="1" applyAlignment="1">
      <alignment horizontal="center" vertical="center"/>
    </xf>
    <xf numFmtId="166" fontId="8" fillId="2" borderId="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166" fontId="4" fillId="0" borderId="0" xfId="0" applyNumberFormat="1" applyFont="1" applyFill="1" applyAlignment="1">
      <alignment horizontal="center" vertical="center"/>
    </xf>
    <xf numFmtId="166" fontId="7" fillId="0" borderId="0" xfId="0" applyNumberFormat="1" applyFont="1" applyFill="1" applyAlignment="1">
      <alignment horizontal="center"/>
    </xf>
    <xf numFmtId="166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/>
    <xf numFmtId="1" fontId="8" fillId="0" borderId="0" xfId="0" applyNumberFormat="1" applyFont="1" applyFill="1" applyAlignment="1">
      <alignment horizontal="center"/>
    </xf>
    <xf numFmtId="165" fontId="4" fillId="2" borderId="0" xfId="0" applyNumberFormat="1" applyFont="1" applyFill="1" applyBorder="1"/>
    <xf numFmtId="164" fontId="5" fillId="0" borderId="0" xfId="0" applyNumberFormat="1" applyFont="1" applyFill="1" applyAlignment="1">
      <alignment horizontal="center" vertical="center"/>
    </xf>
    <xf numFmtId="37" fontId="8" fillId="0" borderId="1" xfId="0" applyNumberFormat="1" applyFont="1" applyFill="1" applyBorder="1"/>
    <xf numFmtId="168" fontId="8" fillId="0" borderId="1" xfId="0" applyNumberFormat="1" applyFont="1" applyFill="1" applyBorder="1"/>
    <xf numFmtId="166" fontId="0" fillId="0" borderId="0" xfId="1" applyNumberFormat="1" applyFont="1" applyFill="1"/>
    <xf numFmtId="10" fontId="0" fillId="0" borderId="0" xfId="1" applyNumberFormat="1" applyFont="1" applyFill="1"/>
    <xf numFmtId="169" fontId="0" fillId="0" borderId="0" xfId="1" applyNumberFormat="1" applyFont="1" applyFill="1"/>
    <xf numFmtId="166" fontId="8" fillId="4" borderId="0" xfId="1" applyNumberFormat="1" applyFont="1" applyFill="1" applyBorder="1"/>
    <xf numFmtId="10" fontId="0" fillId="4" borderId="0" xfId="1" applyNumberFormat="1" applyFont="1" applyFill="1"/>
    <xf numFmtId="9" fontId="8" fillId="2" borderId="0" xfId="1" applyNumberFormat="1" applyFont="1" applyFill="1" applyBorder="1" applyAlignment="1">
      <alignment horizontal="center" vertical="center"/>
    </xf>
    <xf numFmtId="10" fontId="8" fillId="2" borderId="0" xfId="1" applyNumberFormat="1" applyFont="1" applyFill="1" applyBorder="1" applyAlignment="1">
      <alignment horizontal="center" vertical="center"/>
    </xf>
    <xf numFmtId="10" fontId="8" fillId="4" borderId="0" xfId="1" applyNumberFormat="1" applyFont="1" applyFill="1" applyBorder="1"/>
    <xf numFmtId="166" fontId="8" fillId="0" borderId="0" xfId="1" applyNumberFormat="1" applyFont="1" applyFill="1" applyBorder="1" applyAlignment="1">
      <alignment horizontal="center" vertical="center"/>
    </xf>
    <xf numFmtId="10" fontId="8" fillId="0" borderId="0" xfId="1" applyNumberFormat="1" applyFont="1" applyFill="1" applyBorder="1"/>
    <xf numFmtId="164" fontId="9" fillId="0" borderId="0" xfId="0" applyNumberFormat="1" applyFont="1" applyFill="1"/>
    <xf numFmtId="164" fontId="13" fillId="0" borderId="0" xfId="0" applyNumberFormat="1" applyFont="1" applyFill="1"/>
    <xf numFmtId="165" fontId="8" fillId="6" borderId="0" xfId="0" applyNumberFormat="1" applyFont="1" applyFill="1" applyBorder="1"/>
    <xf numFmtId="1" fontId="11" fillId="6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65" fontId="3" fillId="6" borderId="0" xfId="0" applyNumberFormat="1" applyFont="1" applyFill="1" applyBorder="1"/>
    <xf numFmtId="1" fontId="14" fillId="0" borderId="0" xfId="0" applyNumberFormat="1" applyFont="1" applyFill="1"/>
    <xf numFmtId="1" fontId="13" fillId="0" borderId="0" xfId="0" applyNumberFormat="1" applyFont="1" applyFill="1"/>
    <xf numFmtId="165" fontId="3" fillId="2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/>
    <xf numFmtId="165" fontId="5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 wrapText="1"/>
    </xf>
    <xf numFmtId="164" fontId="0" fillId="0" borderId="0" xfId="0" applyNumberFormat="1" applyFill="1" applyBorder="1"/>
    <xf numFmtId="165" fontId="0" fillId="0" borderId="0" xfId="0" applyNumberFormat="1" applyFill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center"/>
    </xf>
    <xf numFmtId="164" fontId="0" fillId="7" borderId="0" xfId="0" applyNumberFormat="1" applyFill="1"/>
    <xf numFmtId="164" fontId="4" fillId="7" borderId="0" xfId="0" applyNumberFormat="1" applyFont="1" applyFill="1"/>
    <xf numFmtId="165" fontId="3" fillId="0" borderId="0" xfId="0" applyNumberFormat="1" applyFont="1" applyFill="1" applyBorder="1"/>
    <xf numFmtId="164" fontId="3" fillId="0" borderId="0" xfId="4" applyNumberFormat="1" applyFill="1"/>
    <xf numFmtId="170" fontId="3" fillId="0" borderId="0" xfId="4" applyNumberFormat="1" applyFill="1"/>
    <xf numFmtId="164" fontId="5" fillId="0" borderId="0" xfId="4" applyNumberFormat="1" applyFont="1" applyFill="1" applyAlignment="1">
      <alignment horizontal="center"/>
    </xf>
    <xf numFmtId="164" fontId="4" fillId="0" borderId="0" xfId="4" applyNumberFormat="1" applyFont="1" applyFill="1"/>
    <xf numFmtId="0" fontId="9" fillId="0" borderId="0" xfId="4" applyFont="1"/>
    <xf numFmtId="3" fontId="5" fillId="0" borderId="0" xfId="4" applyNumberFormat="1" applyFont="1" applyFill="1" applyAlignment="1">
      <alignment horizontal="center"/>
    </xf>
    <xf numFmtId="165" fontId="3" fillId="0" borderId="1" xfId="4" applyNumberFormat="1" applyFont="1" applyFill="1" applyBorder="1"/>
    <xf numFmtId="165" fontId="3" fillId="0" borderId="0" xfId="4" applyNumberFormat="1" applyFont="1" applyFill="1" applyBorder="1"/>
    <xf numFmtId="165" fontId="3" fillId="0" borderId="2" xfId="4" applyNumberFormat="1" applyFont="1" applyFill="1" applyBorder="1"/>
    <xf numFmtId="1" fontId="3" fillId="0" borderId="0" xfId="4" applyNumberFormat="1" applyFont="1" applyFill="1"/>
    <xf numFmtId="165" fontId="3" fillId="5" borderId="1" xfId="4" applyNumberFormat="1" applyFont="1" applyFill="1" applyBorder="1"/>
    <xf numFmtId="165" fontId="3" fillId="3" borderId="0" xfId="4" applyNumberFormat="1" applyFont="1" applyFill="1" applyBorder="1"/>
    <xf numFmtId="165" fontId="3" fillId="5" borderId="0" xfId="4" applyNumberFormat="1" applyFont="1" applyFill="1" applyBorder="1"/>
    <xf numFmtId="1" fontId="4" fillId="0" borderId="0" xfId="4" applyNumberFormat="1" applyFont="1" applyFill="1"/>
    <xf numFmtId="168" fontId="3" fillId="0" borderId="0" xfId="4" applyNumberFormat="1" applyFont="1" applyFill="1" applyBorder="1"/>
    <xf numFmtId="164" fontId="6" fillId="0" borderId="0" xfId="4" applyNumberFormat="1" applyFont="1" applyFill="1" applyAlignment="1">
      <alignment horizontal="right"/>
    </xf>
    <xf numFmtId="170" fontId="3" fillId="0" borderId="0" xfId="4" applyNumberFormat="1" applyFont="1" applyFill="1" applyBorder="1"/>
    <xf numFmtId="37" fontId="3" fillId="4" borderId="1" xfId="4" applyNumberFormat="1" applyFont="1" applyFill="1" applyBorder="1"/>
    <xf numFmtId="37" fontId="3" fillId="0" borderId="1" xfId="4" applyNumberFormat="1" applyFont="1" applyFill="1" applyBorder="1"/>
    <xf numFmtId="165" fontId="9" fillId="0" borderId="0" xfId="4" applyNumberFormat="1" applyFont="1" applyFill="1" applyBorder="1"/>
    <xf numFmtId="37" fontId="3" fillId="5" borderId="0" xfId="4" applyNumberFormat="1" applyFont="1" applyFill="1" applyBorder="1"/>
    <xf numFmtId="165" fontId="3" fillId="4" borderId="1" xfId="4" applyNumberFormat="1" applyFont="1" applyFill="1" applyBorder="1"/>
    <xf numFmtId="166" fontId="3" fillId="7" borderId="0" xfId="1" applyNumberFormat="1" applyFont="1" applyFill="1" applyBorder="1"/>
    <xf numFmtId="170" fontId="5" fillId="0" borderId="0" xfId="4" applyNumberFormat="1" applyFont="1" applyFill="1" applyAlignment="1">
      <alignment horizontal="center"/>
    </xf>
    <xf numFmtId="1" fontId="4" fillId="0" borderId="0" xfId="4" applyNumberFormat="1" applyFont="1" applyFill="1" applyAlignment="1">
      <alignment horizontal="center" vertical="center"/>
    </xf>
    <xf numFmtId="164" fontId="6" fillId="0" borderId="0" xfId="4" applyNumberFormat="1" applyFont="1" applyFill="1" applyAlignment="1">
      <alignment horizontal="center"/>
    </xf>
    <xf numFmtId="170" fontId="3" fillId="0" borderId="0" xfId="1" applyNumberFormat="1" applyFont="1" applyFill="1" applyBorder="1"/>
    <xf numFmtId="166" fontId="3" fillId="2" borderId="0" xfId="1" applyNumberFormat="1" applyFont="1" applyFill="1" applyBorder="1" applyAlignment="1">
      <alignment horizontal="center" vertical="center"/>
    </xf>
    <xf numFmtId="164" fontId="6" fillId="7" borderId="0" xfId="4" applyNumberFormat="1" applyFont="1" applyFill="1" applyAlignment="1">
      <alignment horizontal="right"/>
    </xf>
    <xf numFmtId="1" fontId="3" fillId="7" borderId="0" xfId="4" applyNumberFormat="1" applyFont="1" applyFill="1"/>
    <xf numFmtId="166" fontId="4" fillId="0" borderId="0" xfId="4" applyNumberFormat="1" applyFont="1" applyFill="1"/>
    <xf numFmtId="164" fontId="5" fillId="0" borderId="0" xfId="4" applyNumberFormat="1" applyFont="1" applyFill="1" applyAlignment="1">
      <alignment horizontal="right"/>
    </xf>
    <xf numFmtId="1" fontId="4" fillId="0" borderId="0" xfId="4" applyNumberFormat="1" applyFont="1" applyFill="1" applyAlignment="1">
      <alignment horizontal="right" vertical="center"/>
    </xf>
    <xf numFmtId="164" fontId="6" fillId="0" borderId="0" xfId="4" applyNumberFormat="1" applyFont="1" applyFill="1" applyAlignment="1">
      <alignment horizontal="left"/>
    </xf>
    <xf numFmtId="1" fontId="4" fillId="0" borderId="0" xfId="4" applyNumberFormat="1" applyFont="1" applyFill="1" applyAlignment="1">
      <alignment horizontal="center"/>
    </xf>
    <xf numFmtId="1" fontId="6" fillId="0" borderId="0" xfId="4" applyNumberFormat="1" applyFont="1" applyFill="1" applyAlignment="1">
      <alignment horizontal="right"/>
    </xf>
    <xf numFmtId="165" fontId="4" fillId="0" borderId="0" xfId="4" applyNumberFormat="1" applyFont="1" applyFill="1" applyBorder="1"/>
    <xf numFmtId="2" fontId="4" fillId="0" borderId="0" xfId="0" applyNumberFormat="1" applyFont="1" applyFill="1"/>
    <xf numFmtId="171" fontId="5" fillId="0" borderId="0" xfId="4" applyNumberFormat="1" applyFont="1" applyFill="1" applyAlignment="1">
      <alignment horizontal="center"/>
    </xf>
    <xf numFmtId="165" fontId="3" fillId="2" borderId="0" xfId="0" applyNumberFormat="1" applyFont="1" applyFill="1" applyBorder="1"/>
    <xf numFmtId="165" fontId="12" fillId="2" borderId="0" xfId="0" applyNumberFormat="1" applyFont="1" applyFill="1" applyBorder="1"/>
    <xf numFmtId="10" fontId="3" fillId="2" borderId="0" xfId="1" applyNumberFormat="1" applyFont="1" applyFill="1" applyBorder="1" applyAlignment="1">
      <alignment horizontal="center" vertical="center"/>
    </xf>
    <xf numFmtId="10" fontId="3" fillId="4" borderId="0" xfId="1" applyNumberFormat="1" applyFont="1" applyFill="1" applyBorder="1" applyAlignment="1">
      <alignment horizontal="center" vertical="center"/>
    </xf>
    <xf numFmtId="166" fontId="3" fillId="4" borderId="0" xfId="1" applyNumberFormat="1" applyFont="1" applyFill="1" applyBorder="1" applyAlignment="1">
      <alignment horizontal="center"/>
    </xf>
    <xf numFmtId="164" fontId="14" fillId="0" borderId="0" xfId="4" applyNumberFormat="1" applyFont="1" applyFill="1"/>
    <xf numFmtId="164" fontId="9" fillId="0" borderId="0" xfId="4" applyNumberFormat="1" applyFont="1" applyFill="1"/>
    <xf numFmtId="0" fontId="0" fillId="0" borderId="0" xfId="1" applyNumberFormat="1" applyFont="1" applyFill="1"/>
    <xf numFmtId="169" fontId="9" fillId="0" borderId="0" xfId="1" applyNumberFormat="1" applyFont="1" applyFill="1"/>
    <xf numFmtId="164" fontId="17" fillId="0" borderId="0" xfId="4" applyNumberFormat="1" applyFont="1" applyFill="1"/>
    <xf numFmtId="0" fontId="16" fillId="0" borderId="0" xfId="0" applyFont="1" applyFill="1"/>
    <xf numFmtId="164" fontId="13" fillId="0" borderId="0" xfId="4" applyNumberFormat="1" applyFont="1" applyFill="1"/>
    <xf numFmtId="0" fontId="18" fillId="0" borderId="0" xfId="0" applyFont="1"/>
    <xf numFmtId="0" fontId="9" fillId="0" borderId="0" xfId="4" applyFont="1" applyFill="1"/>
    <xf numFmtId="164" fontId="3" fillId="0" borderId="0" xfId="4" applyNumberFormat="1" applyFont="1" applyFill="1"/>
    <xf numFmtId="170" fontId="3" fillId="0" borderId="0" xfId="4" applyNumberFormat="1" applyFont="1" applyFill="1"/>
    <xf numFmtId="0" fontId="19" fillId="0" borderId="0" xfId="2" applyFont="1"/>
    <xf numFmtId="164" fontId="19" fillId="0" borderId="0" xfId="2" applyNumberFormat="1" applyFont="1" applyFill="1"/>
    <xf numFmtId="170" fontId="19" fillId="0" borderId="0" xfId="2" applyNumberFormat="1" applyFont="1" applyFill="1"/>
    <xf numFmtId="0" fontId="20" fillId="0" borderId="0" xfId="0" applyFont="1"/>
    <xf numFmtId="0" fontId="19" fillId="0" borderId="0" xfId="2" applyFont="1" applyFill="1"/>
  </cellXfs>
  <cellStyles count="7">
    <cellStyle name="Comma 2" xfId="6"/>
    <cellStyle name="Hyperlink" xfId="2" builtinId="8"/>
    <cellStyle name="Normal" xfId="0" builtinId="0"/>
    <cellStyle name="Normal 2" xfId="3"/>
    <cellStyle name="Normal 3" xfId="4"/>
    <cellStyle name="Normal 4" xfId="5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library.ferc.gov/eLibrary/filelist?document_id=14911081&amp;accessionnumber=20201201-5280" TargetMode="External"/><Relationship Id="rId3" Type="http://schemas.openxmlformats.org/officeDocument/2006/relationships/hyperlink" Target="https://www.sdge.com/rates-and-regulations/tariff-information/ferc-tariffs" TargetMode="External"/><Relationship Id="rId7" Type="http://schemas.openxmlformats.org/officeDocument/2006/relationships/hyperlink" Target="https://www.pge.com/en_US/about-pge/company-information/regulation/contracts-and-tariffs/contracts-and-tariffs.page" TargetMode="External"/><Relationship Id="rId2" Type="http://schemas.openxmlformats.org/officeDocument/2006/relationships/hyperlink" Target="https://elibrary.ferc.gov/idmws/common/OpenNat.asp?fileID=14495819" TargetMode="External"/><Relationship Id="rId1" Type="http://schemas.openxmlformats.org/officeDocument/2006/relationships/hyperlink" Target="https://www.sce.com/regulatory/open-access-information" TargetMode="External"/><Relationship Id="rId6" Type="http://schemas.openxmlformats.org/officeDocument/2006/relationships/hyperlink" Target="http://www.caiso.com/Documents/HighVoltageAccessChargeRatesEffectiveJan01_2021.pdf" TargetMode="External"/><Relationship Id="rId5" Type="http://schemas.openxmlformats.org/officeDocument/2006/relationships/hyperlink" Target="https://www.sdge.com/san-diego-gas-electric-companys-fifth-transmission-owner-formulas-second-annual-informational" TargetMode="External"/><Relationship Id="rId4" Type="http://schemas.openxmlformats.org/officeDocument/2006/relationships/hyperlink" Target="https://elibrary.ferc.gov/eLibrary/filelist?document_id=14800836&amp;accessionnumber=20190920-5131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9"/>
  <sheetViews>
    <sheetView tabSelected="1" zoomScale="130" zoomScaleNormal="130" workbookViewId="0">
      <selection activeCell="X15" sqref="X15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3.7109375" style="1" customWidth="1"/>
    <col min="4" max="4" width="16.85546875" style="3" bestFit="1" customWidth="1"/>
    <col min="5" max="5" width="30.855468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3" x14ac:dyDescent="0.2">
      <c r="A1" s="1" t="s">
        <v>55</v>
      </c>
      <c r="B1" s="1"/>
      <c r="D1" s="1"/>
      <c r="E1" s="1"/>
    </row>
    <row r="2" spans="1:23" x14ac:dyDescent="0.2">
      <c r="A2" s="1" t="s">
        <v>0</v>
      </c>
      <c r="B2" s="1"/>
    </row>
    <row r="3" spans="1:23" s="5" customFormat="1" x14ac:dyDescent="0.2">
      <c r="A3" s="4"/>
      <c r="E3" s="6"/>
      <c r="F3" s="4" t="s">
        <v>3</v>
      </c>
      <c r="H3" s="5">
        <v>2020</v>
      </c>
      <c r="I3" s="5">
        <f>H3+1</f>
        <v>2021</v>
      </c>
      <c r="J3" s="5">
        <f t="shared" ref="J3:W3" si="0">I3+1</f>
        <v>2022</v>
      </c>
      <c r="K3" s="5">
        <f t="shared" si="0"/>
        <v>2023</v>
      </c>
      <c r="L3" s="5">
        <f t="shared" si="0"/>
        <v>2024</v>
      </c>
      <c r="M3" s="5">
        <f t="shared" si="0"/>
        <v>2025</v>
      </c>
      <c r="N3" s="5">
        <f t="shared" si="0"/>
        <v>2026</v>
      </c>
      <c r="O3" s="5">
        <f t="shared" si="0"/>
        <v>2027</v>
      </c>
      <c r="P3" s="5">
        <f t="shared" si="0"/>
        <v>2028</v>
      </c>
      <c r="Q3" s="5">
        <f t="shared" si="0"/>
        <v>2029</v>
      </c>
      <c r="R3" s="5">
        <f t="shared" si="0"/>
        <v>2030</v>
      </c>
      <c r="S3" s="5">
        <f t="shared" si="0"/>
        <v>2031</v>
      </c>
      <c r="T3" s="5">
        <f t="shared" si="0"/>
        <v>2032</v>
      </c>
      <c r="U3" s="5">
        <f t="shared" si="0"/>
        <v>2033</v>
      </c>
      <c r="V3" s="5">
        <f t="shared" si="0"/>
        <v>2034</v>
      </c>
      <c r="W3" s="5">
        <f t="shared" si="0"/>
        <v>2035</v>
      </c>
    </row>
    <row r="4" spans="1:23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1">J4+1</f>
        <v>3</v>
      </c>
      <c r="L4" s="10">
        <f t="shared" si="1"/>
        <v>4</v>
      </c>
      <c r="M4" s="10">
        <f t="shared" si="1"/>
        <v>5</v>
      </c>
      <c r="N4" s="10">
        <f t="shared" si="1"/>
        <v>6</v>
      </c>
      <c r="O4" s="10">
        <f t="shared" si="1"/>
        <v>7</v>
      </c>
      <c r="P4" s="10">
        <f t="shared" si="1"/>
        <v>8</v>
      </c>
      <c r="Q4" s="10">
        <f t="shared" si="1"/>
        <v>9</v>
      </c>
      <c r="R4" s="10">
        <f t="shared" si="1"/>
        <v>10</v>
      </c>
      <c r="S4" s="10">
        <f t="shared" si="1"/>
        <v>11</v>
      </c>
      <c r="T4" s="10">
        <f t="shared" si="1"/>
        <v>12</v>
      </c>
      <c r="U4" s="10">
        <f t="shared" si="1"/>
        <v>13</v>
      </c>
      <c r="V4" s="10">
        <f t="shared" si="1"/>
        <v>14</v>
      </c>
      <c r="W4" s="10">
        <f t="shared" si="1"/>
        <v>15</v>
      </c>
    </row>
    <row r="5" spans="1:23" s="8" customFormat="1" x14ac:dyDescent="0.2">
      <c r="A5" s="4"/>
      <c r="E5" s="9"/>
      <c r="F5" s="16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s="8" customFormat="1" x14ac:dyDescent="0.2">
      <c r="A6" s="4"/>
      <c r="C6" s="8" t="s">
        <v>53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8" customFormat="1" x14ac:dyDescent="0.2">
      <c r="A7" s="10">
        <v>1</v>
      </c>
      <c r="D7" s="13" t="s">
        <v>54</v>
      </c>
      <c r="E7" s="9"/>
      <c r="F7" s="17"/>
      <c r="I7" s="12">
        <f>Existing!I83</f>
        <v>2558.3287569999998</v>
      </c>
      <c r="J7" s="12">
        <f>Existing!J83</f>
        <v>2571.2440358480267</v>
      </c>
      <c r="K7" s="12">
        <f>Existing!K83</f>
        <v>2584.4196803043137</v>
      </c>
      <c r="L7" s="12">
        <f>Existing!L83</f>
        <v>2597.8609182813389</v>
      </c>
      <c r="M7" s="12">
        <f>Existing!M83</f>
        <v>2611.573082455835</v>
      </c>
      <c r="N7" s="12">
        <f>Existing!N83</f>
        <v>2625.5616123661284</v>
      </c>
      <c r="O7" s="12">
        <f>Existing!O83</f>
        <v>2639.8320565514591</v>
      </c>
      <c r="P7" s="12">
        <f>Existing!P83</f>
        <v>2654.3900747340967</v>
      </c>
      <c r="Q7" s="12">
        <f>Existing!Q83</f>
        <v>2669.2414400451221</v>
      </c>
      <c r="R7" s="12">
        <f>Existing!R83</f>
        <v>2684.3920412947518</v>
      </c>
      <c r="S7" s="12">
        <f>Existing!S83</f>
        <v>2699.8478852880817</v>
      </c>
      <c r="T7" s="12">
        <f>Existing!T83</f>
        <v>2715.6150991871714</v>
      </c>
      <c r="U7" s="12">
        <f>Existing!U83</f>
        <v>2731.6999329203959</v>
      </c>
      <c r="V7" s="12">
        <f>Existing!V83</f>
        <v>2748.1087616400005</v>
      </c>
      <c r="W7" s="12">
        <f>Existing!W83</f>
        <v>2764.8480882288281</v>
      </c>
    </row>
    <row r="8" spans="1:23" s="8" customFormat="1" x14ac:dyDescent="0.2">
      <c r="A8" s="10">
        <f t="shared" ref="A8:A20" si="2">A7+1</f>
        <v>2</v>
      </c>
      <c r="D8" s="13" t="str">
        <f>Reliability!E1</f>
        <v>Reliability</v>
      </c>
      <c r="E8" s="9"/>
      <c r="F8" s="17"/>
      <c r="I8" s="12">
        <f>Reliability!I89</f>
        <v>23.756482326492055</v>
      </c>
      <c r="J8" s="12">
        <f>Reliability!J89</f>
        <v>65.037941308617235</v>
      </c>
      <c r="K8" s="12">
        <f>Reliability!K89</f>
        <v>120.86135541616962</v>
      </c>
      <c r="L8" s="12">
        <f>Reliability!L89</f>
        <v>204.4394914658676</v>
      </c>
      <c r="M8" s="12">
        <f>Reliability!M89</f>
        <v>249.64513321986945</v>
      </c>
      <c r="N8" s="12">
        <f>Reliability!N89</f>
        <v>311.52934898986206</v>
      </c>
      <c r="O8" s="12">
        <f>Reliability!O89</f>
        <v>388.52613499517543</v>
      </c>
      <c r="P8" s="12">
        <f>Reliability!P89</f>
        <v>411.12591094462363</v>
      </c>
      <c r="Q8" s="12">
        <f>Reliability!Q89</f>
        <v>418.55220309876529</v>
      </c>
      <c r="R8" s="12">
        <f>Reliability!R89</f>
        <v>408.32634875433217</v>
      </c>
      <c r="S8" s="12">
        <f>Reliability!S89</f>
        <v>398.42929288287002</v>
      </c>
      <c r="T8" s="12">
        <f>Reliability!T89</f>
        <v>388.77939502629408</v>
      </c>
      <c r="U8" s="12">
        <f>Reliability!U89</f>
        <v>379.28924522681427</v>
      </c>
      <c r="V8" s="12">
        <f>Reliability!V89</f>
        <v>369.89902609346751</v>
      </c>
      <c r="W8" s="12">
        <f>Reliability!W89</f>
        <v>360.58296060731743</v>
      </c>
    </row>
    <row r="9" spans="1:23" s="8" customFormat="1" x14ac:dyDescent="0.2">
      <c r="A9" s="10">
        <f t="shared" si="2"/>
        <v>3</v>
      </c>
      <c r="D9" s="13" t="str">
        <f>'South CC'!E1</f>
        <v>South CC(Completed)</v>
      </c>
      <c r="E9" s="9"/>
      <c r="F9" s="17"/>
      <c r="I9" s="12">
        <f ca="1">IFERROR(OFFSET(INDIRECT("'"&amp;$D9&amp;"'!G89"),0,MATCH(Summary!I$3,INDIRECT("'"&amp;$D9&amp;"'!$H$3:$W$3"),0)),H9)</f>
        <v>0</v>
      </c>
      <c r="J9" s="12">
        <f ca="1">IFERROR(OFFSET(INDIRECT("'"&amp;$D9&amp;"'!G89"),0,MATCH(Summary!J$3,INDIRECT("'"&amp;$D9&amp;"'!$H$3:$W$3"),0)),I9)</f>
        <v>0</v>
      </c>
      <c r="K9" s="12">
        <f ca="1">IFERROR(OFFSET(INDIRECT("'"&amp;$D9&amp;"'!G89"),0,MATCH(Summary!K$3,INDIRECT("'"&amp;$D9&amp;"'!$H$3:$W$3"),0)),J9)</f>
        <v>0</v>
      </c>
      <c r="L9" s="12">
        <f ca="1">IFERROR(OFFSET(INDIRECT("'"&amp;$D9&amp;"'!G89"),0,MATCH(Summary!L$3,INDIRECT("'"&amp;$D9&amp;"'!$H$3:$W$3"),0)),K9)</f>
        <v>0</v>
      </c>
      <c r="M9" s="12">
        <f ca="1">IFERROR(OFFSET(INDIRECT("'"&amp;$D9&amp;"'!G89"),0,MATCH(Summary!M$3,INDIRECT("'"&amp;$D9&amp;"'!$H$3:$W$3"),0)),L9)</f>
        <v>0</v>
      </c>
      <c r="N9" s="12">
        <f ca="1">IFERROR(OFFSET(INDIRECT("'"&amp;$D9&amp;"'!G89"),0,MATCH(Summary!N$3,INDIRECT("'"&amp;$D9&amp;"'!$H$3:$W$3"),0)),M9)</f>
        <v>0</v>
      </c>
      <c r="O9" s="12">
        <f ca="1">IFERROR(OFFSET(INDIRECT("'"&amp;$D9&amp;"'!G89"),0,MATCH(Summary!O$3,INDIRECT("'"&amp;$D9&amp;"'!$H$3:$W$3"),0)),N9)</f>
        <v>0</v>
      </c>
      <c r="P9" s="12">
        <f ca="1">IFERROR(OFFSET(INDIRECT("'"&amp;$D9&amp;"'!G89"),0,MATCH(Summary!P$3,INDIRECT("'"&amp;$D9&amp;"'!$H$3:$W$3"),0)),O9)</f>
        <v>0</v>
      </c>
      <c r="Q9" s="12">
        <f ca="1">IFERROR(OFFSET(INDIRECT("'"&amp;$D9&amp;"'!G89"),0,MATCH(Summary!Q$3,INDIRECT("'"&amp;$D9&amp;"'!$H$3:$W$3"),0)),P9)</f>
        <v>0</v>
      </c>
      <c r="R9" s="12">
        <f ca="1">IFERROR(OFFSET(INDIRECT("'"&amp;$D9&amp;"'!G89"),0,MATCH(Summary!R$3,INDIRECT("'"&amp;$D9&amp;"'!$H$3:$W$3"),0)),Q9)</f>
        <v>0</v>
      </c>
      <c r="S9" s="12">
        <f ca="1">IFERROR(OFFSET(INDIRECT("'"&amp;$D9&amp;"'!G89"),0,MATCH(Summary!S$3,INDIRECT("'"&amp;$D9&amp;"'!$H$3:$W$3"),0)),R9)</f>
        <v>0</v>
      </c>
      <c r="T9" s="12">
        <f ca="1">IFERROR(OFFSET(INDIRECT("'"&amp;$D9&amp;"'!G89"),0,MATCH(Summary!T$3,INDIRECT("'"&amp;$D9&amp;"'!$H$3:$W$3"),0)),S9)</f>
        <v>0</v>
      </c>
      <c r="U9" s="12">
        <f ca="1">IFERROR(OFFSET(INDIRECT("'"&amp;$D9&amp;"'!G89"),0,MATCH(Summary!U$3,INDIRECT("'"&amp;$D9&amp;"'!$H$3:$W$3"),0)),T9)</f>
        <v>0</v>
      </c>
      <c r="V9" s="12">
        <f ca="1">IFERROR(OFFSET(INDIRECT("'"&amp;$D9&amp;"'!G89"),0,MATCH(Summary!V$3,INDIRECT("'"&amp;$D9&amp;"'!$H$3:$W$3"),0)),U9)</f>
        <v>0</v>
      </c>
      <c r="W9" s="12">
        <f ca="1">IFERROR(OFFSET(INDIRECT("'"&amp;$D9&amp;"'!G89"),0,MATCH(Summary!W$3,INDIRECT("'"&amp;$D9&amp;"'!$H$3:$W$3"),0)),V9)</f>
        <v>0</v>
      </c>
    </row>
    <row r="10" spans="1:23" s="8" customFormat="1" x14ac:dyDescent="0.2">
      <c r="A10" s="10">
        <f t="shared" si="2"/>
        <v>4</v>
      </c>
      <c r="D10" s="13" t="str">
        <f>Tehachapi!E1</f>
        <v>Tehachapi (Completed)</v>
      </c>
      <c r="E10" s="9"/>
      <c r="F10" s="17"/>
      <c r="I10" s="12">
        <f ca="1">IFERROR(OFFSET(INDIRECT("'"&amp;$D10&amp;"'!G89"),0,MATCH(Summary!I$3,INDIRECT("'"&amp;$D10&amp;"'!$H$3:$W$3"),0)),H10)</f>
        <v>0</v>
      </c>
      <c r="J10" s="12">
        <f ca="1">IFERROR(OFFSET(INDIRECT("'"&amp;$D10&amp;"'!G89"),0,MATCH(Summary!J$3,INDIRECT("'"&amp;$D10&amp;"'!$H$3:$W$3"),0)),I10)</f>
        <v>0</v>
      </c>
      <c r="K10" s="12">
        <f ca="1">IFERROR(OFFSET(INDIRECT("'"&amp;$D10&amp;"'!G89"),0,MATCH(Summary!K$3,INDIRECT("'"&amp;$D10&amp;"'!$H$3:$W$3"),0)),J10)</f>
        <v>0</v>
      </c>
      <c r="L10" s="12">
        <f ca="1">IFERROR(OFFSET(INDIRECT("'"&amp;$D10&amp;"'!G89"),0,MATCH(Summary!L$3,INDIRECT("'"&amp;$D10&amp;"'!$H$3:$W$3"),0)),K10)</f>
        <v>0</v>
      </c>
      <c r="M10" s="12">
        <f ca="1">IFERROR(OFFSET(INDIRECT("'"&amp;$D10&amp;"'!G89"),0,MATCH(Summary!M$3,INDIRECT("'"&amp;$D10&amp;"'!$H$3:$W$3"),0)),L10)</f>
        <v>0</v>
      </c>
      <c r="N10" s="12">
        <f ca="1">IFERROR(OFFSET(INDIRECT("'"&amp;$D10&amp;"'!G89"),0,MATCH(Summary!N$3,INDIRECT("'"&amp;$D10&amp;"'!$H$3:$W$3"),0)),M10)</f>
        <v>0</v>
      </c>
      <c r="O10" s="12">
        <f ca="1">IFERROR(OFFSET(INDIRECT("'"&amp;$D10&amp;"'!G89"),0,MATCH(Summary!O$3,INDIRECT("'"&amp;$D10&amp;"'!$H$3:$W$3"),0)),N10)</f>
        <v>0</v>
      </c>
      <c r="P10" s="12">
        <f ca="1">IFERROR(OFFSET(INDIRECT("'"&amp;$D10&amp;"'!G89"),0,MATCH(Summary!P$3,INDIRECT("'"&amp;$D10&amp;"'!$H$3:$W$3"),0)),O10)</f>
        <v>0</v>
      </c>
      <c r="Q10" s="12">
        <f ca="1">IFERROR(OFFSET(INDIRECT("'"&amp;$D10&amp;"'!G89"),0,MATCH(Summary!Q$3,INDIRECT("'"&amp;$D10&amp;"'!$H$3:$W$3"),0)),P10)</f>
        <v>0</v>
      </c>
      <c r="R10" s="12">
        <f ca="1">IFERROR(OFFSET(INDIRECT("'"&amp;$D10&amp;"'!G89"),0,MATCH(Summary!R$3,INDIRECT("'"&amp;$D10&amp;"'!$H$3:$W$3"),0)),Q10)</f>
        <v>0</v>
      </c>
      <c r="S10" s="12">
        <f ca="1">IFERROR(OFFSET(INDIRECT("'"&amp;$D10&amp;"'!G89"),0,MATCH(Summary!S$3,INDIRECT("'"&amp;$D10&amp;"'!$H$3:$W$3"),0)),R10)</f>
        <v>0</v>
      </c>
      <c r="T10" s="12">
        <f ca="1">IFERROR(OFFSET(INDIRECT("'"&amp;$D10&amp;"'!G89"),0,MATCH(Summary!T$3,INDIRECT("'"&amp;$D10&amp;"'!$H$3:$W$3"),0)),S10)</f>
        <v>0</v>
      </c>
      <c r="U10" s="12">
        <f ca="1">IFERROR(OFFSET(INDIRECT("'"&amp;$D10&amp;"'!G89"),0,MATCH(Summary!U$3,INDIRECT("'"&amp;$D10&amp;"'!$H$3:$W$3"),0)),T10)</f>
        <v>0</v>
      </c>
      <c r="V10" s="12">
        <f ca="1">IFERROR(OFFSET(INDIRECT("'"&amp;$D10&amp;"'!G89"),0,MATCH(Summary!V$3,INDIRECT("'"&amp;$D10&amp;"'!$H$3:$W$3"),0)),U10)</f>
        <v>0</v>
      </c>
      <c r="W10" s="12">
        <f ca="1">IFERROR(OFFSET(INDIRECT("'"&amp;$D10&amp;"'!G89"),0,MATCH(Summary!W$3,INDIRECT("'"&amp;$D10&amp;"'!$H$3:$W$3"),0)),V10)</f>
        <v>0</v>
      </c>
    </row>
    <row r="11" spans="1:23" s="8" customFormat="1" x14ac:dyDescent="0.2">
      <c r="A11" s="10">
        <f t="shared" si="2"/>
        <v>5</v>
      </c>
      <c r="D11" s="13" t="str">
        <f>WOD!E1</f>
        <v>WOD</v>
      </c>
      <c r="E11" s="9"/>
      <c r="F11" s="17"/>
      <c r="I11" s="12">
        <f ca="1">IFERROR(OFFSET(INDIRECT("'"&amp;$D11&amp;"'!G89"),0,MATCH(Summary!I$3,INDIRECT("'"&amp;$D11&amp;"'!$H$3:$W$3"),0)),H11)</f>
        <v>0</v>
      </c>
      <c r="J11" s="12">
        <f ca="1">IFERROR(OFFSET(INDIRECT("'"&amp;$D11&amp;"'!G89"),0,MATCH(Summary!J$3,INDIRECT("'"&amp;$D11&amp;"'!$H$3:$W$3"),0)),I11)</f>
        <v>6.0036762401189163</v>
      </c>
      <c r="K11" s="12">
        <f ca="1">IFERROR(OFFSET(INDIRECT("'"&amp;$D11&amp;"'!G89"),0,MATCH(Summary!K$3,INDIRECT("'"&amp;$D11&amp;"'!$H$3:$W$3"),0)),J11)</f>
        <v>13.662781469785832</v>
      </c>
      <c r="L11" s="12">
        <f ca="1">IFERROR(OFFSET(INDIRECT("'"&amp;$D11&amp;"'!G89"),0,MATCH(Summary!L$3,INDIRECT("'"&amp;$D11&amp;"'!$H$3:$W$3"),0)),K11)</f>
        <v>13.301549247175293</v>
      </c>
      <c r="M11" s="12">
        <f ca="1">IFERROR(OFFSET(INDIRECT("'"&amp;$D11&amp;"'!G89"),0,MATCH(Summary!M$3,INDIRECT("'"&amp;$D11&amp;"'!$H$3:$W$3"),0)),L11)</f>
        <v>12.96145174036241</v>
      </c>
      <c r="N11" s="12">
        <f ca="1">IFERROR(OFFSET(INDIRECT("'"&amp;$D11&amp;"'!G89"),0,MATCH(Summary!N$3,INDIRECT("'"&amp;$D11&amp;"'!$H$3:$W$3"),0)),M11)</f>
        <v>12.640546850895579</v>
      </c>
      <c r="O11" s="12">
        <f ca="1">IFERROR(OFFSET(INDIRECT("'"&amp;$D11&amp;"'!G89"),0,MATCH(Summary!O$3,INDIRECT("'"&amp;$D11&amp;"'!$H$3:$W$3"),0)),N11)</f>
        <v>12.337084371111962</v>
      </c>
      <c r="P11" s="12">
        <f ca="1">IFERROR(OFFSET(INDIRECT("'"&amp;$D11&amp;"'!G89"),0,MATCH(Summary!P$3,INDIRECT("'"&amp;$D11&amp;"'!$H$3:$W$3"),0)),O11)</f>
        <v>12.046420274134627</v>
      </c>
      <c r="Q11" s="12">
        <f ca="1">IFERROR(OFFSET(INDIRECT("'"&amp;$D11&amp;"'!G89"),0,MATCH(Summary!Q$3,INDIRECT("'"&amp;$D11&amp;"'!$H$3:$W$3"),0)),P11)</f>
        <v>11.7613063271914</v>
      </c>
      <c r="R11" s="12">
        <f ca="1">IFERROR(OFFSET(INDIRECT("'"&amp;$D11&amp;"'!G89"),0,MATCH(Summary!R$3,INDIRECT("'"&amp;$D11&amp;"'!$H$3:$W$3"),0)),Q11)</f>
        <v>11.478284258319309</v>
      </c>
      <c r="S11" s="12">
        <f ca="1">IFERROR(OFFSET(INDIRECT("'"&amp;$D11&amp;"'!G89"),0,MATCH(Summary!S$3,INDIRECT("'"&amp;$D11&amp;"'!$H$3:$W$3"),0)),R11)</f>
        <v>11.197306974143029</v>
      </c>
      <c r="T11" s="12">
        <f ca="1">IFERROR(OFFSET(INDIRECT("'"&amp;$D11&amp;"'!G89"),0,MATCH(Summary!T$3,INDIRECT("'"&amp;$D11&amp;"'!$H$3:$W$3"),0)),S11)</f>
        <v>10.918330885966562</v>
      </c>
      <c r="U11" s="12">
        <f ca="1">IFERROR(OFFSET(INDIRECT("'"&amp;$D11&amp;"'!G89"),0,MATCH(Summary!U$3,INDIRECT("'"&amp;$D11&amp;"'!$H$3:$W$3"),0)),T11)</f>
        <v>10.641315757539491</v>
      </c>
      <c r="V11" s="12">
        <f ca="1">IFERROR(OFFSET(INDIRECT("'"&amp;$D11&amp;"'!G89"),0,MATCH(Summary!V$3,INDIRECT("'"&amp;$D11&amp;"'!$H$3:$W$3"),0)),U11)</f>
        <v>10.366224560894908</v>
      </c>
      <c r="W11" s="12">
        <f ca="1">IFERROR(OFFSET(INDIRECT("'"&amp;$D11&amp;"'!G89"),0,MATCH(Summary!W$3,INDIRECT("'"&amp;$D11&amp;"'!$H$3:$W$3"),0)),V11)</f>
        <v>10.093023339864661</v>
      </c>
    </row>
    <row r="12" spans="1:23" s="8" customFormat="1" x14ac:dyDescent="0.2">
      <c r="A12" s="10">
        <f t="shared" si="2"/>
        <v>6</v>
      </c>
      <c r="D12" s="13" t="str">
        <f>'CW-Lugo'!E1</f>
        <v>CW-Lugo(Completed)</v>
      </c>
      <c r="E12" s="9"/>
      <c r="F12" s="17"/>
      <c r="I12" s="12">
        <f ca="1">IFERROR(OFFSET(INDIRECT("'"&amp;$D12&amp;"'!G89"),0,MATCH(Summary!I$3,INDIRECT("'"&amp;$D12&amp;"'!$H$3:$W$3"),0)),H12)</f>
        <v>0</v>
      </c>
      <c r="J12" s="12">
        <f ca="1">IFERROR(OFFSET(INDIRECT("'"&amp;$D12&amp;"'!G89"),0,MATCH(Summary!J$3,INDIRECT("'"&amp;$D12&amp;"'!$H$3:$W$3"),0)),I12)</f>
        <v>0</v>
      </c>
      <c r="K12" s="12">
        <f ca="1">IFERROR(OFFSET(INDIRECT("'"&amp;$D12&amp;"'!G89"),0,MATCH(Summary!K$3,INDIRECT("'"&amp;$D12&amp;"'!$H$3:$W$3"),0)),J12)</f>
        <v>0</v>
      </c>
      <c r="L12" s="12">
        <f ca="1">IFERROR(OFFSET(INDIRECT("'"&amp;$D12&amp;"'!G89"),0,MATCH(Summary!L$3,INDIRECT("'"&amp;$D12&amp;"'!$H$3:$W$3"),0)),K12)</f>
        <v>0</v>
      </c>
      <c r="M12" s="12">
        <f ca="1">IFERROR(OFFSET(INDIRECT("'"&amp;$D12&amp;"'!G89"),0,MATCH(Summary!M$3,INDIRECT("'"&amp;$D12&amp;"'!$H$3:$W$3"),0)),L12)</f>
        <v>0</v>
      </c>
      <c r="N12" s="12">
        <f ca="1">IFERROR(OFFSET(INDIRECT("'"&amp;$D12&amp;"'!G89"),0,MATCH(Summary!N$3,INDIRECT("'"&amp;$D12&amp;"'!$H$3:$W$3"),0)),M12)</f>
        <v>0</v>
      </c>
      <c r="O12" s="12">
        <f ca="1">IFERROR(OFFSET(INDIRECT("'"&amp;$D12&amp;"'!G89"),0,MATCH(Summary!O$3,INDIRECT("'"&amp;$D12&amp;"'!$H$3:$W$3"),0)),N12)</f>
        <v>0</v>
      </c>
      <c r="P12" s="12">
        <f ca="1">IFERROR(OFFSET(INDIRECT("'"&amp;$D12&amp;"'!G89"),0,MATCH(Summary!P$3,INDIRECT("'"&amp;$D12&amp;"'!$H$3:$W$3"),0)),O12)</f>
        <v>0</v>
      </c>
      <c r="Q12" s="12">
        <f ca="1">IFERROR(OFFSET(INDIRECT("'"&amp;$D12&amp;"'!G89"),0,MATCH(Summary!Q$3,INDIRECT("'"&amp;$D12&amp;"'!$H$3:$W$3"),0)),P12)</f>
        <v>0</v>
      </c>
      <c r="R12" s="12">
        <f ca="1">IFERROR(OFFSET(INDIRECT("'"&amp;$D12&amp;"'!G89"),0,MATCH(Summary!R$3,INDIRECT("'"&amp;$D12&amp;"'!$H$3:$W$3"),0)),Q12)</f>
        <v>0</v>
      </c>
      <c r="S12" s="12">
        <f ca="1">IFERROR(OFFSET(INDIRECT("'"&amp;$D12&amp;"'!G89"),0,MATCH(Summary!S$3,INDIRECT("'"&amp;$D12&amp;"'!$H$3:$W$3"),0)),R12)</f>
        <v>0</v>
      </c>
      <c r="T12" s="12">
        <f ca="1">IFERROR(OFFSET(INDIRECT("'"&amp;$D12&amp;"'!G89"),0,MATCH(Summary!T$3,INDIRECT("'"&amp;$D12&amp;"'!$H$3:$W$3"),0)),S12)</f>
        <v>0</v>
      </c>
      <c r="U12" s="12">
        <f ca="1">IFERROR(OFFSET(INDIRECT("'"&amp;$D12&amp;"'!G89"),0,MATCH(Summary!U$3,INDIRECT("'"&amp;$D12&amp;"'!$H$3:$W$3"),0)),T12)</f>
        <v>0</v>
      </c>
      <c r="V12" s="12">
        <f ca="1">IFERROR(OFFSET(INDIRECT("'"&amp;$D12&amp;"'!G89"),0,MATCH(Summary!V$3,INDIRECT("'"&amp;$D12&amp;"'!$H$3:$W$3"),0)),U12)</f>
        <v>0</v>
      </c>
      <c r="W12" s="12">
        <f ca="1">IFERROR(OFFSET(INDIRECT("'"&amp;$D12&amp;"'!G89"),0,MATCH(Summary!W$3,INDIRECT("'"&amp;$D12&amp;"'!$H$3:$W$3"),0)),V12)</f>
        <v>0</v>
      </c>
    </row>
    <row r="13" spans="1:23" s="8" customFormat="1" x14ac:dyDescent="0.2">
      <c r="A13" s="10">
        <f t="shared" si="2"/>
        <v>7</v>
      </c>
      <c r="D13" s="13" t="str">
        <f>'2020-21 Policy and Econ'!E1</f>
        <v>2019-20 Policy and Econ</v>
      </c>
      <c r="E13" s="9"/>
      <c r="F13" s="17"/>
      <c r="I13" s="12">
        <f>'2020-21 Policy and Econ'!I89</f>
        <v>18.850252280803478</v>
      </c>
      <c r="J13" s="12">
        <f>'2020-21 Policy and Econ'!J89</f>
        <v>64.718008154168359</v>
      </c>
      <c r="K13" s="12">
        <f>'2020-21 Policy and Econ'!K89</f>
        <v>100.26425980493644</v>
      </c>
      <c r="L13" s="12">
        <f>'2020-21 Policy and Econ'!L89</f>
        <v>110.78022065693231</v>
      </c>
      <c r="M13" s="12">
        <f>'2020-21 Policy and Econ'!M89</f>
        <v>110.12791213496541</v>
      </c>
      <c r="N13" s="12">
        <f>'2020-21 Policy and Econ'!N89</f>
        <v>107.49305239834641</v>
      </c>
      <c r="O13" s="12">
        <f>'2020-21 Policy and Econ'!O89</f>
        <v>104.90948385819445</v>
      </c>
      <c r="P13" s="12">
        <f>'2020-21 Policy and Econ'!P89</f>
        <v>102.42093744142456</v>
      </c>
      <c r="Q13" s="12">
        <f>'2020-21 Policy and Econ'!Q89</f>
        <v>99.982879308656678</v>
      </c>
      <c r="R13" s="12">
        <f>'2020-21 Policy and Econ'!R89</f>
        <v>97.570648105498805</v>
      </c>
      <c r="S13" s="12">
        <f>'2020-21 Policy and Econ'!S89</f>
        <v>95.176842987163909</v>
      </c>
      <c r="T13" s="12">
        <f>'2020-21 Policy and Econ'!T89</f>
        <v>92.800102246247306</v>
      </c>
      <c r="U13" s="12">
        <f>'2020-21 Policy and Econ'!U89</f>
        <v>90.440049331386831</v>
      </c>
      <c r="V13" s="12">
        <f>'2020-21 Policy and Econ'!V89</f>
        <v>88.096371556227723</v>
      </c>
      <c r="W13" s="12">
        <f>'2020-21 Policy and Econ'!W89</f>
        <v>85.768782302831852</v>
      </c>
    </row>
    <row r="14" spans="1:23" s="8" customFormat="1" x14ac:dyDescent="0.2">
      <c r="A14" s="10">
        <f t="shared" si="2"/>
        <v>8</v>
      </c>
      <c r="D14" s="13" t="str">
        <f>ClrdoRvr!E1</f>
        <v>ClrdoRvr</v>
      </c>
      <c r="E14" s="9"/>
      <c r="F14" s="17"/>
      <c r="I14" s="12">
        <f>ClrdoRvr!I89</f>
        <v>0</v>
      </c>
      <c r="J14" s="12">
        <f>ClrdoRvr!J89</f>
        <v>0</v>
      </c>
      <c r="K14" s="12">
        <f>ClrdoRvr!K89</f>
        <v>0.32277829247951156</v>
      </c>
      <c r="L14" s="12">
        <f>ClrdoRvr!L89</f>
        <v>0.73455814353687288</v>
      </c>
      <c r="M14" s="12">
        <f>ClrdoRvr!M89</f>
        <v>0.71513705629974711</v>
      </c>
      <c r="N14" s="12">
        <f>ClrdoRvr!N89</f>
        <v>0.69685224410550595</v>
      </c>
      <c r="O14" s="12">
        <f>ClrdoRvr!O89</f>
        <v>0.67959929305890199</v>
      </c>
      <c r="P14" s="12">
        <f>ClrdoRvr!P89</f>
        <v>0.6632841059737612</v>
      </c>
      <c r="Q14" s="12">
        <f>ClrdoRvr!Q89</f>
        <v>0.64765700398573278</v>
      </c>
      <c r="R14" s="12">
        <f>ClrdoRvr!R89</f>
        <v>0.63232829716082795</v>
      </c>
      <c r="S14" s="12">
        <f>ClrdoRvr!S89</f>
        <v>0.61711205689888748</v>
      </c>
      <c r="T14" s="12">
        <f>ClrdoRvr!T89</f>
        <v>0.60200575129801215</v>
      </c>
      <c r="U14" s="12">
        <f>ClrdoRvr!U89</f>
        <v>0.58700703687992262</v>
      </c>
      <c r="V14" s="12">
        <f>ClrdoRvr!V89</f>
        <v>0.57211375040534895</v>
      </c>
      <c r="W14" s="12">
        <f>ClrdoRvr!W89</f>
        <v>0.55732390112338215</v>
      </c>
    </row>
    <row r="15" spans="1:23" s="8" customFormat="1" x14ac:dyDescent="0.2">
      <c r="A15" s="10">
        <f t="shared" si="2"/>
        <v>9</v>
      </c>
      <c r="D15" s="13" t="str">
        <f>'Red Bluff 2AA Bank'!E1</f>
        <v>Red Bluff 2nd 'AA' Bank</v>
      </c>
      <c r="E15" s="9"/>
      <c r="F15" s="17"/>
      <c r="I15" s="12">
        <f>'Red Bluff 2AA Bank'!I89</f>
        <v>0</v>
      </c>
      <c r="J15" s="12">
        <f>'Red Bluff 2AA Bank'!J89</f>
        <v>0.32277829247951156</v>
      </c>
      <c r="K15" s="12">
        <f>'Red Bluff 2AA Bank'!K89</f>
        <v>1.0573364360163846</v>
      </c>
      <c r="L15" s="12">
        <f>'Red Bluff 2AA Bank'!L89</f>
        <v>1.4496951998366201</v>
      </c>
      <c r="M15" s="12">
        <f>'Red Bluff 2AA Bank'!M89</f>
        <v>1.4119893004052531</v>
      </c>
      <c r="N15" s="12">
        <f>'Red Bluff 2AA Bank'!N89</f>
        <v>1.3764515371644079</v>
      </c>
      <c r="O15" s="12">
        <f>'Red Bluff 2AA Bank'!O89</f>
        <v>1.3428833990326634</v>
      </c>
      <c r="P15" s="12">
        <f>'Red Bluff 2AA Bank'!P89</f>
        <v>1.3109411099594939</v>
      </c>
      <c r="Q15" s="12">
        <f>'Red Bluff 2AA Bank'!Q89</f>
        <v>1.2799853011465607</v>
      </c>
      <c r="R15" s="12">
        <f>'Red Bluff 2AA Bank'!R89</f>
        <v>1.2494403540597157</v>
      </c>
      <c r="S15" s="12">
        <f>'Red Bluff 2AA Bank'!S89</f>
        <v>1.2191178081968999</v>
      </c>
      <c r="T15" s="12">
        <f>'Red Bluff 2AA Bank'!T89</f>
        <v>1.1890127881779349</v>
      </c>
      <c r="U15" s="12">
        <f>'Red Bluff 2AA Bank'!U89</f>
        <v>1.1591207872852716</v>
      </c>
      <c r="V15" s="12">
        <f>'Red Bluff 2AA Bank'!V89</f>
        <v>1.129437651528731</v>
      </c>
      <c r="W15" s="12">
        <f>'Red Bluff 2AA Bank'!W89</f>
        <v>1.099959564556966</v>
      </c>
    </row>
    <row r="16" spans="1:23" s="8" customFormat="1" x14ac:dyDescent="0.2">
      <c r="A16" s="10">
        <f t="shared" si="2"/>
        <v>10</v>
      </c>
      <c r="D16" s="13" t="str">
        <f>Calcite!E1</f>
        <v>Calcite</v>
      </c>
      <c r="E16" s="9"/>
      <c r="F16" s="17"/>
      <c r="I16" s="12">
        <f>Calcite!I89</f>
        <v>0</v>
      </c>
      <c r="J16" s="12">
        <f>Calcite!J89</f>
        <v>0.9589034468573262</v>
      </c>
      <c r="K16" s="12">
        <f>Calcite!K89</f>
        <v>3.2848006557097418</v>
      </c>
      <c r="L16" s="12">
        <f>Calcite!L89</f>
        <v>6.4551295991196236</v>
      </c>
      <c r="M16" s="12">
        <f>Calcite!M89</f>
        <v>7.7975913055744952</v>
      </c>
      <c r="N16" s="12">
        <f>Calcite!N89</f>
        <v>7.5959174801684997</v>
      </c>
      <c r="O16" s="12">
        <f>Calcite!O89</f>
        <v>7.405769698350813</v>
      </c>
      <c r="P16" s="12">
        <f>Calcite!P89</f>
        <v>7.2260940183590598</v>
      </c>
      <c r="Q16" s="12">
        <f>Calcite!Q89</f>
        <v>7.0547525378173024</v>
      </c>
      <c r="R16" s="12">
        <f>Calcite!R89</f>
        <v>6.8880383592647441</v>
      </c>
      <c r="S16" s="12">
        <f>Calcite!S89</f>
        <v>6.7232088223114355</v>
      </c>
      <c r="T16" s="12">
        <f>Calcite!T89</f>
        <v>6.5595763394503219</v>
      </c>
      <c r="U16" s="12">
        <f>Calcite!U89</f>
        <v>6.3971149090434896</v>
      </c>
      <c r="V16" s="12">
        <f>Calcite!V89</f>
        <v>6.2358005065562558</v>
      </c>
      <c r="W16" s="12">
        <f>Calcite!W89</f>
        <v>6.0756109992424321</v>
      </c>
    </row>
    <row r="17" spans="1:25" s="8" customFormat="1" x14ac:dyDescent="0.2">
      <c r="A17" s="10">
        <f t="shared" si="2"/>
        <v>11</v>
      </c>
      <c r="D17" s="13" t="str">
        <f>'New Project 10'!E1</f>
        <v>New Project 10</v>
      </c>
      <c r="E17" s="9"/>
      <c r="F17" s="17"/>
      <c r="I17" s="12">
        <f ca="1">IFERROR(OFFSET(INDIRECT("'"&amp;$D17&amp;"'!G89"),0,MATCH(Summary!I$3,INDIRECT("'"&amp;$D17&amp;"'!$H$3:$W$3"),0)),H17)</f>
        <v>0</v>
      </c>
      <c r="J17" s="12">
        <f ca="1">IFERROR(OFFSET(INDIRECT("'"&amp;$D17&amp;"'!G89"),0,MATCH(Summary!J$3,INDIRECT("'"&amp;$D17&amp;"'!$H$3:$W$3"),0)),I17)</f>
        <v>0</v>
      </c>
      <c r="K17" s="12">
        <f ca="1">IFERROR(OFFSET(INDIRECT("'"&amp;$D17&amp;"'!G89"),0,MATCH(Summary!K$3,INDIRECT("'"&amp;$D17&amp;"'!$H$3:$W$3"),0)),J17)</f>
        <v>0</v>
      </c>
      <c r="L17" s="12">
        <f ca="1">IFERROR(OFFSET(INDIRECT("'"&amp;$D17&amp;"'!G89"),0,MATCH(Summary!L$3,INDIRECT("'"&amp;$D17&amp;"'!$H$3:$W$3"),0)),K17)</f>
        <v>0</v>
      </c>
      <c r="M17" s="12">
        <f ca="1">IFERROR(OFFSET(INDIRECT("'"&amp;$D17&amp;"'!G89"),0,MATCH(Summary!M$3,INDIRECT("'"&amp;$D17&amp;"'!$H$3:$W$3"),0)),L17)</f>
        <v>0</v>
      </c>
      <c r="N17" s="12">
        <f ca="1">IFERROR(OFFSET(INDIRECT("'"&amp;$D17&amp;"'!G89"),0,MATCH(Summary!N$3,INDIRECT("'"&amp;$D17&amp;"'!$H$3:$W$3"),0)),M17)</f>
        <v>0</v>
      </c>
      <c r="O17" s="12">
        <f ca="1">IFERROR(OFFSET(INDIRECT("'"&amp;$D17&amp;"'!G89"),0,MATCH(Summary!O$3,INDIRECT("'"&amp;$D17&amp;"'!$H$3:$W$3"),0)),N17)</f>
        <v>0</v>
      </c>
      <c r="P17" s="12">
        <f ca="1">IFERROR(OFFSET(INDIRECT("'"&amp;$D17&amp;"'!G89"),0,MATCH(Summary!P$3,INDIRECT("'"&amp;$D17&amp;"'!$H$3:$W$3"),0)),O17)</f>
        <v>0</v>
      </c>
      <c r="Q17" s="12">
        <f ca="1">IFERROR(OFFSET(INDIRECT("'"&amp;$D17&amp;"'!G89"),0,MATCH(Summary!Q$3,INDIRECT("'"&amp;$D17&amp;"'!$H$3:$W$3"),0)),P17)</f>
        <v>0</v>
      </c>
      <c r="R17" s="12">
        <f ca="1">IFERROR(OFFSET(INDIRECT("'"&amp;$D17&amp;"'!G89"),0,MATCH(Summary!R$3,INDIRECT("'"&amp;$D17&amp;"'!$H$3:$W$3"),0)),Q17)</f>
        <v>0</v>
      </c>
      <c r="S17" s="12">
        <f ca="1">IFERROR(OFFSET(INDIRECT("'"&amp;$D17&amp;"'!G89"),0,MATCH(Summary!S$3,INDIRECT("'"&amp;$D17&amp;"'!$H$3:$W$3"),0)),R17)</f>
        <v>0</v>
      </c>
      <c r="T17" s="12">
        <f ca="1">IFERROR(OFFSET(INDIRECT("'"&amp;$D17&amp;"'!G89"),0,MATCH(Summary!T$3,INDIRECT("'"&amp;$D17&amp;"'!$H$3:$W$3"),0)),S17)</f>
        <v>0</v>
      </c>
      <c r="U17" s="12">
        <f ca="1">IFERROR(OFFSET(INDIRECT("'"&amp;$D17&amp;"'!G89"),0,MATCH(Summary!U$3,INDIRECT("'"&amp;$D17&amp;"'!$H$3:$W$3"),0)),T17)</f>
        <v>0</v>
      </c>
      <c r="V17" s="12">
        <f ca="1">IFERROR(OFFSET(INDIRECT("'"&amp;$D17&amp;"'!G89"),0,MATCH(Summary!V$3,INDIRECT("'"&amp;$D17&amp;"'!$H$3:$W$3"),0)),U17)</f>
        <v>0</v>
      </c>
      <c r="W17" s="12">
        <f ca="1">IFERROR(OFFSET(INDIRECT("'"&amp;$D17&amp;"'!G89"),0,MATCH(Summary!W$3,INDIRECT("'"&amp;$D17&amp;"'!$H$3:$W$3"),0)),V17)</f>
        <v>0</v>
      </c>
    </row>
    <row r="18" spans="1:25" s="8" customFormat="1" x14ac:dyDescent="0.2">
      <c r="A18" s="10">
        <f>A17+1</f>
        <v>12</v>
      </c>
      <c r="D18" s="13" t="str">
        <f>'New Project 11'!E1</f>
        <v>New Project 11</v>
      </c>
      <c r="E18" s="9"/>
      <c r="F18" s="17"/>
      <c r="I18" s="12">
        <f ca="1">IFERROR(OFFSET(INDIRECT("'"&amp;$D18&amp;"'!G89"),0,MATCH(Summary!I$3,INDIRECT("'"&amp;$D18&amp;"'!$H$3:$W$3"),0)),H18)</f>
        <v>0</v>
      </c>
      <c r="J18" s="12">
        <f ca="1">IFERROR(OFFSET(INDIRECT("'"&amp;$D18&amp;"'!G89"),0,MATCH(Summary!J$3,INDIRECT("'"&amp;$D18&amp;"'!$H$3:$W$3"),0)),I18)</f>
        <v>0</v>
      </c>
      <c r="K18" s="12">
        <f ca="1">IFERROR(OFFSET(INDIRECT("'"&amp;$D18&amp;"'!G89"),0,MATCH(Summary!K$3,INDIRECT("'"&amp;$D18&amp;"'!$H$3:$W$3"),0)),J18)</f>
        <v>0</v>
      </c>
      <c r="L18" s="12">
        <f ca="1">IFERROR(OFFSET(INDIRECT("'"&amp;$D18&amp;"'!G89"),0,MATCH(Summary!L$3,INDIRECT("'"&amp;$D18&amp;"'!$H$3:$W$3"),0)),K18)</f>
        <v>0</v>
      </c>
      <c r="M18" s="12">
        <f ca="1">IFERROR(OFFSET(INDIRECT("'"&amp;$D18&amp;"'!G89"),0,MATCH(Summary!M$3,INDIRECT("'"&amp;$D18&amp;"'!$H$3:$W$3"),0)),L18)</f>
        <v>0</v>
      </c>
      <c r="N18" s="12">
        <f ca="1">IFERROR(OFFSET(INDIRECT("'"&amp;$D18&amp;"'!G89"),0,MATCH(Summary!N$3,INDIRECT("'"&amp;$D18&amp;"'!$H$3:$W$3"),0)),M18)</f>
        <v>0</v>
      </c>
      <c r="O18" s="12">
        <f ca="1">IFERROR(OFFSET(INDIRECT("'"&amp;$D18&amp;"'!G89"),0,MATCH(Summary!O$3,INDIRECT("'"&amp;$D18&amp;"'!$H$3:$W$3"),0)),N18)</f>
        <v>0</v>
      </c>
      <c r="P18" s="12">
        <f ca="1">IFERROR(OFFSET(INDIRECT("'"&amp;$D18&amp;"'!G89"),0,MATCH(Summary!P$3,INDIRECT("'"&amp;$D18&amp;"'!$H$3:$W$3"),0)),O18)</f>
        <v>0</v>
      </c>
      <c r="Q18" s="12">
        <f ca="1">IFERROR(OFFSET(INDIRECT("'"&amp;$D18&amp;"'!G89"),0,MATCH(Summary!Q$3,INDIRECT("'"&amp;$D18&amp;"'!$H$3:$W$3"),0)),P18)</f>
        <v>0</v>
      </c>
      <c r="R18" s="12">
        <f ca="1">IFERROR(OFFSET(INDIRECT("'"&amp;$D18&amp;"'!G89"),0,MATCH(Summary!R$3,INDIRECT("'"&amp;$D18&amp;"'!$H$3:$W$3"),0)),Q18)</f>
        <v>0</v>
      </c>
      <c r="S18" s="12">
        <f ca="1">IFERROR(OFFSET(INDIRECT("'"&amp;$D18&amp;"'!G89"),0,MATCH(Summary!S$3,INDIRECT("'"&amp;$D18&amp;"'!$H$3:$W$3"),0)),R18)</f>
        <v>0</v>
      </c>
      <c r="T18" s="12">
        <f ca="1">IFERROR(OFFSET(INDIRECT("'"&amp;$D18&amp;"'!G89"),0,MATCH(Summary!T$3,INDIRECT("'"&amp;$D18&amp;"'!$H$3:$W$3"),0)),S18)</f>
        <v>0</v>
      </c>
      <c r="U18" s="12">
        <f ca="1">IFERROR(OFFSET(INDIRECT("'"&amp;$D18&amp;"'!G89"),0,MATCH(Summary!U$3,INDIRECT("'"&amp;$D18&amp;"'!$H$3:$W$3"),0)),T18)</f>
        <v>0</v>
      </c>
      <c r="V18" s="12">
        <f ca="1">IFERROR(OFFSET(INDIRECT("'"&amp;$D18&amp;"'!G89"),0,MATCH(Summary!V$3,INDIRECT("'"&amp;$D18&amp;"'!$H$3:$W$3"),0)),U18)</f>
        <v>0</v>
      </c>
      <c r="W18" s="12">
        <f ca="1">IFERROR(OFFSET(INDIRECT("'"&amp;$D18&amp;"'!G89"),0,MATCH(Summary!W$3,INDIRECT("'"&amp;$D18&amp;"'!$H$3:$W$3"),0)),V18)</f>
        <v>0</v>
      </c>
    </row>
    <row r="19" spans="1:25" s="8" customFormat="1" x14ac:dyDescent="0.2">
      <c r="A19" s="10">
        <f t="shared" si="2"/>
        <v>13</v>
      </c>
      <c r="D19" s="13" t="str">
        <f>'New Project 12'!E1</f>
        <v>New Project 12</v>
      </c>
      <c r="E19" s="9"/>
      <c r="F19" s="17"/>
      <c r="I19" s="12">
        <f ca="1">IFERROR(OFFSET(INDIRECT("'"&amp;$D19&amp;"'!G89"),0,MATCH(Summary!I$3,INDIRECT("'"&amp;$D19&amp;"'!$H$3:$W$3"),0)),H19)</f>
        <v>0</v>
      </c>
      <c r="J19" s="12">
        <f ca="1">IFERROR(OFFSET(INDIRECT("'"&amp;$D19&amp;"'!G89"),0,MATCH(Summary!J$3,INDIRECT("'"&amp;$D19&amp;"'!$H$3:$W$3"),0)),I19)</f>
        <v>0</v>
      </c>
      <c r="K19" s="12">
        <f ca="1">IFERROR(OFFSET(INDIRECT("'"&amp;$D19&amp;"'!G89"),0,MATCH(Summary!K$3,INDIRECT("'"&amp;$D19&amp;"'!$H$3:$W$3"),0)),J19)</f>
        <v>0</v>
      </c>
      <c r="L19" s="12">
        <f ca="1">IFERROR(OFFSET(INDIRECT("'"&amp;$D19&amp;"'!G89"),0,MATCH(Summary!L$3,INDIRECT("'"&amp;$D19&amp;"'!$H$3:$W$3"),0)),K19)</f>
        <v>0</v>
      </c>
      <c r="M19" s="12">
        <f ca="1">IFERROR(OFFSET(INDIRECT("'"&amp;$D19&amp;"'!G89"),0,MATCH(Summary!M$3,INDIRECT("'"&amp;$D19&amp;"'!$H$3:$W$3"),0)),L19)</f>
        <v>0</v>
      </c>
      <c r="N19" s="12">
        <f ca="1">IFERROR(OFFSET(INDIRECT("'"&amp;$D19&amp;"'!G89"),0,MATCH(Summary!N$3,INDIRECT("'"&amp;$D19&amp;"'!$H$3:$W$3"),0)),M19)</f>
        <v>0</v>
      </c>
      <c r="O19" s="12">
        <f ca="1">IFERROR(OFFSET(INDIRECT("'"&amp;$D19&amp;"'!G89"),0,MATCH(Summary!O$3,INDIRECT("'"&amp;$D19&amp;"'!$H$3:$W$3"),0)),N19)</f>
        <v>0</v>
      </c>
      <c r="P19" s="12">
        <f ca="1">IFERROR(OFFSET(INDIRECT("'"&amp;$D19&amp;"'!G89"),0,MATCH(Summary!P$3,INDIRECT("'"&amp;$D19&amp;"'!$H$3:$W$3"),0)),O19)</f>
        <v>0</v>
      </c>
      <c r="Q19" s="12">
        <f ca="1">IFERROR(OFFSET(INDIRECT("'"&amp;$D19&amp;"'!G89"),0,MATCH(Summary!Q$3,INDIRECT("'"&amp;$D19&amp;"'!$H$3:$W$3"),0)),P19)</f>
        <v>0</v>
      </c>
      <c r="R19" s="12">
        <f ca="1">IFERROR(OFFSET(INDIRECT("'"&amp;$D19&amp;"'!G89"),0,MATCH(Summary!R$3,INDIRECT("'"&amp;$D19&amp;"'!$H$3:$W$3"),0)),Q19)</f>
        <v>0</v>
      </c>
      <c r="S19" s="12">
        <f ca="1">IFERROR(OFFSET(INDIRECT("'"&amp;$D19&amp;"'!G89"),0,MATCH(Summary!S$3,INDIRECT("'"&amp;$D19&amp;"'!$H$3:$W$3"),0)),R19)</f>
        <v>0</v>
      </c>
      <c r="T19" s="12">
        <f ca="1">IFERROR(OFFSET(INDIRECT("'"&amp;$D19&amp;"'!G89"),0,MATCH(Summary!T$3,INDIRECT("'"&amp;$D19&amp;"'!$H$3:$W$3"),0)),S19)</f>
        <v>0</v>
      </c>
      <c r="U19" s="12">
        <f ca="1">IFERROR(OFFSET(INDIRECT("'"&amp;$D19&amp;"'!G89"),0,MATCH(Summary!U$3,INDIRECT("'"&amp;$D19&amp;"'!$H$3:$W$3"),0)),T19)</f>
        <v>0</v>
      </c>
      <c r="V19" s="12">
        <f ca="1">IFERROR(OFFSET(INDIRECT("'"&amp;$D19&amp;"'!G89"),0,MATCH(Summary!V$3,INDIRECT("'"&amp;$D19&amp;"'!$H$3:$W$3"),0)),U19)</f>
        <v>0</v>
      </c>
      <c r="W19" s="12">
        <f ca="1">IFERROR(OFFSET(INDIRECT("'"&amp;$D19&amp;"'!G89"),0,MATCH(Summary!W$3,INDIRECT("'"&amp;$D19&amp;"'!$H$3:$W$3"),0)),V19)</f>
        <v>0</v>
      </c>
    </row>
    <row r="20" spans="1:25" s="8" customFormat="1" x14ac:dyDescent="0.2">
      <c r="A20" s="10">
        <f t="shared" si="2"/>
        <v>14</v>
      </c>
      <c r="D20" s="13" t="s">
        <v>5</v>
      </c>
      <c r="E20" s="9"/>
      <c r="F20" s="17"/>
      <c r="I20" s="20">
        <f ca="1">SUM(I7:I19)</f>
        <v>2600.9354916072953</v>
      </c>
      <c r="J20" s="20">
        <f ca="1">SUM(J7:J19)</f>
        <v>2708.2853432902675</v>
      </c>
      <c r="K20" s="20">
        <f ca="1">SUM(K7:K19)</f>
        <v>2823.8729923794112</v>
      </c>
      <c r="L20" s="20">
        <f ca="1">SUM(L7:L19)</f>
        <v>2935.0215625938076</v>
      </c>
      <c r="M20" s="20">
        <f t="shared" ref="M20:W20" ca="1" si="3">SUM(M7:M19)</f>
        <v>2994.2322972133115</v>
      </c>
      <c r="N20" s="20">
        <f t="shared" ca="1" si="3"/>
        <v>3066.8937818666709</v>
      </c>
      <c r="O20" s="20">
        <f t="shared" ca="1" si="3"/>
        <v>3155.0330121663837</v>
      </c>
      <c r="P20" s="20">
        <f t="shared" ca="1" si="3"/>
        <v>3189.1836626285717</v>
      </c>
      <c r="Q20" s="20">
        <f t="shared" ca="1" si="3"/>
        <v>3208.5202236226855</v>
      </c>
      <c r="R20" s="20">
        <f t="shared" ca="1" si="3"/>
        <v>3210.5371294233873</v>
      </c>
      <c r="S20" s="20">
        <f t="shared" ca="1" si="3"/>
        <v>3213.2107668196659</v>
      </c>
      <c r="T20" s="20">
        <f t="shared" ca="1" si="3"/>
        <v>3216.4635222246052</v>
      </c>
      <c r="U20" s="20">
        <f t="shared" ca="1" si="3"/>
        <v>3220.2137859693453</v>
      </c>
      <c r="V20" s="20">
        <f t="shared" ca="1" si="3"/>
        <v>3224.4077357590804</v>
      </c>
      <c r="W20" s="20">
        <f t="shared" ca="1" si="3"/>
        <v>3229.0257489437654</v>
      </c>
    </row>
    <row r="21" spans="1:25" s="8" customFormat="1" x14ac:dyDescent="0.2">
      <c r="A21" s="10">
        <f>A20+1</f>
        <v>15</v>
      </c>
      <c r="B21" s="3"/>
      <c r="C21" s="1"/>
      <c r="D21" s="11" t="s">
        <v>6</v>
      </c>
      <c r="E21" s="3"/>
      <c r="F21" s="2"/>
      <c r="G21" s="3"/>
      <c r="H21" s="3"/>
      <c r="I21" s="3"/>
      <c r="J21" s="33">
        <f t="shared" ref="J21:W21" ca="1" si="4">J20/I20-1</f>
        <v>4.1273554084432007E-2</v>
      </c>
      <c r="K21" s="33">
        <f t="shared" ca="1" si="4"/>
        <v>4.267927283788997E-2</v>
      </c>
      <c r="L21" s="33">
        <f t="shared" ca="1" si="4"/>
        <v>3.9360329063787614E-2</v>
      </c>
      <c r="M21" s="33">
        <f t="shared" ca="1" si="4"/>
        <v>2.0173866991006539E-2</v>
      </c>
      <c r="N21" s="33">
        <f t="shared" ca="1" si="4"/>
        <v>2.4267150120912184E-2</v>
      </c>
      <c r="O21" s="33">
        <f t="shared" ca="1" si="4"/>
        <v>2.8738924973810809E-2</v>
      </c>
      <c r="P21" s="33">
        <f t="shared" ca="1" si="4"/>
        <v>1.0824181658479315E-2</v>
      </c>
      <c r="Q21" s="33">
        <f t="shared" ca="1" si="4"/>
        <v>6.0631694626755994E-3</v>
      </c>
      <c r="R21" s="33">
        <f t="shared" ca="1" si="4"/>
        <v>6.2860934640607269E-4</v>
      </c>
      <c r="S21" s="33">
        <f t="shared" ca="1" si="4"/>
        <v>8.3276949884036888E-4</v>
      </c>
      <c r="T21" s="33">
        <f t="shared" ca="1" si="4"/>
        <v>1.0123068920744327E-3</v>
      </c>
      <c r="U21" s="33">
        <f t="shared" ca="1" si="4"/>
        <v>1.1659587366146251E-3</v>
      </c>
      <c r="V21" s="33">
        <f t="shared" ca="1" si="4"/>
        <v>1.30238240951841E-3</v>
      </c>
      <c r="W21" s="33">
        <f t="shared" ca="1" si="4"/>
        <v>1.43220509412334E-3</v>
      </c>
      <c r="Y21" s="23"/>
    </row>
    <row r="22" spans="1:25" s="8" customFormat="1" x14ac:dyDescent="0.2">
      <c r="A22" s="10"/>
      <c r="E22" s="9"/>
      <c r="F22" s="17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5" s="8" customFormat="1" x14ac:dyDescent="0.2">
      <c r="A23" s="10">
        <f>A21+1</f>
        <v>16</v>
      </c>
      <c r="C23" s="8" t="s">
        <v>51</v>
      </c>
      <c r="E23" s="9"/>
      <c r="F23" s="17"/>
      <c r="I23" s="31">
        <f>Existing!I101</f>
        <v>196629.905</v>
      </c>
      <c r="J23" s="31">
        <f>Existing!J101</f>
        <v>196531.59004750001</v>
      </c>
      <c r="K23" s="31">
        <f>Existing!K101</f>
        <v>196433.32425247628</v>
      </c>
      <c r="L23" s="31">
        <f>Existing!L101</f>
        <v>196335.10759035006</v>
      </c>
      <c r="M23" s="31">
        <f>Existing!M101</f>
        <v>196236.94003655491</v>
      </c>
      <c r="N23" s="31">
        <f>Existing!N101</f>
        <v>196138.82156653664</v>
      </c>
      <c r="O23" s="31">
        <f>Existing!O101</f>
        <v>196040.75215575338</v>
      </c>
      <c r="P23" s="31">
        <f>Existing!P101</f>
        <v>195942.73177967552</v>
      </c>
      <c r="Q23" s="31">
        <f>Existing!Q101</f>
        <v>195844.7604137857</v>
      </c>
      <c r="R23" s="31">
        <f>Existing!R101</f>
        <v>195746.83803357882</v>
      </c>
      <c r="S23" s="31">
        <f>Existing!S101</f>
        <v>195648.96461456205</v>
      </c>
      <c r="T23" s="31">
        <f>Existing!T101</f>
        <v>195551.14013225478</v>
      </c>
      <c r="U23" s="31">
        <f>Existing!U101</f>
        <v>195453.36456218865</v>
      </c>
      <c r="V23" s="31">
        <f>Existing!V101</f>
        <v>195355.63787990756</v>
      </c>
      <c r="W23" s="31">
        <f>Existing!W101</f>
        <v>195257.96006096763</v>
      </c>
    </row>
    <row r="24" spans="1:25" s="8" customFormat="1" x14ac:dyDescent="0.2">
      <c r="A24" s="10">
        <f>A23+1</f>
        <v>17</v>
      </c>
      <c r="B24" s="3"/>
      <c r="C24" s="1"/>
      <c r="D24" s="11" t="s">
        <v>6</v>
      </c>
      <c r="E24" s="3"/>
      <c r="F24" s="2"/>
      <c r="G24" s="3"/>
      <c r="H24" s="3"/>
      <c r="I24" s="3"/>
      <c r="J24" s="33">
        <f t="shared" ref="J24:W24" si="5">J23/I23-1</f>
        <v>-4.9999999999994493E-4</v>
      </c>
      <c r="K24" s="33">
        <f t="shared" si="5"/>
        <v>-4.9999999999994493E-4</v>
      </c>
      <c r="L24" s="33">
        <f t="shared" si="5"/>
        <v>-4.9999999999983391E-4</v>
      </c>
      <c r="M24" s="33">
        <f t="shared" si="5"/>
        <v>-4.9999999999983391E-4</v>
      </c>
      <c r="N24" s="33">
        <f t="shared" si="5"/>
        <v>-4.9999999999994493E-4</v>
      </c>
      <c r="O24" s="33">
        <f t="shared" si="5"/>
        <v>-4.9999999999994493E-4</v>
      </c>
      <c r="P24" s="33">
        <f t="shared" si="5"/>
        <v>-4.9999999999983391E-4</v>
      </c>
      <c r="Q24" s="33">
        <f t="shared" si="5"/>
        <v>-4.9999999999994493E-4</v>
      </c>
      <c r="R24" s="33">
        <f t="shared" si="5"/>
        <v>-4.9999999999994493E-4</v>
      </c>
      <c r="S24" s="33">
        <f t="shared" si="5"/>
        <v>-4.9999999999994493E-4</v>
      </c>
      <c r="T24" s="33">
        <f t="shared" si="5"/>
        <v>-4.9999999999994493E-4</v>
      </c>
      <c r="U24" s="33">
        <f t="shared" si="5"/>
        <v>-4.9999999999994493E-4</v>
      </c>
      <c r="V24" s="33">
        <f t="shared" si="5"/>
        <v>-4.9999999999994493E-4</v>
      </c>
      <c r="W24" s="33">
        <f t="shared" si="5"/>
        <v>-4.9999999999994493E-4</v>
      </c>
    </row>
    <row r="25" spans="1:25" s="8" customFormat="1" x14ac:dyDescent="0.2">
      <c r="A25" s="10"/>
      <c r="B25" s="3"/>
      <c r="C25" s="1"/>
      <c r="D25" s="11"/>
      <c r="E25" s="3"/>
      <c r="F25" s="2"/>
      <c r="G25" s="3"/>
      <c r="H25" s="3"/>
      <c r="I25" s="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</row>
    <row r="26" spans="1:25" s="8" customFormat="1" x14ac:dyDescent="0.2">
      <c r="A26" s="10">
        <f>A24+1</f>
        <v>18</v>
      </c>
      <c r="C26" s="8" t="s">
        <v>52</v>
      </c>
      <c r="E26" s="9"/>
      <c r="F26" s="17"/>
      <c r="I26" s="32">
        <f ca="1">1000*I20/I23</f>
        <v>13.22756826642059</v>
      </c>
      <c r="J26" s="32">
        <f t="shared" ref="J26:W26" ca="1" si="6">1000*J20/J23</f>
        <v>13.780407224282357</v>
      </c>
      <c r="K26" s="32">
        <f t="shared" ca="1" si="6"/>
        <v>14.375732850449955</v>
      </c>
      <c r="L26" s="32">
        <f ca="1">1000*L20/L23</f>
        <v>14.94904094644999</v>
      </c>
      <c r="M26" s="32">
        <f ca="1">1000*M20/M23</f>
        <v>15.258250035164364</v>
      </c>
      <c r="N26" s="32">
        <f t="shared" ca="1" si="6"/>
        <v>15.636342450575402</v>
      </c>
      <c r="O26" s="32">
        <f t="shared" ca="1" si="6"/>
        <v>16.093761003629112</v>
      </c>
      <c r="P26" s="32">
        <f t="shared" ca="1" si="6"/>
        <v>16.276100846723903</v>
      </c>
      <c r="Q26" s="32">
        <f t="shared" ca="1" si="6"/>
        <v>16.38297709289564</v>
      </c>
      <c r="R26" s="32">
        <f t="shared" ca="1" si="6"/>
        <v>16.401476323579974</v>
      </c>
      <c r="S26" s="32">
        <f t="shared" ca="1" si="6"/>
        <v>16.423346646121264</v>
      </c>
      <c r="T26" s="32">
        <f t="shared" ca="1" si="6"/>
        <v>16.448196211227675</v>
      </c>
      <c r="U26" s="32">
        <f t="shared" ca="1" si="6"/>
        <v>16.475611935269342</v>
      </c>
      <c r="V26" s="32">
        <f t="shared" ca="1" si="6"/>
        <v>16.505322143511645</v>
      </c>
      <c r="W26" s="32">
        <f t="shared" ca="1" si="6"/>
        <v>16.537229764848149</v>
      </c>
      <c r="Y26" s="99"/>
    </row>
    <row r="27" spans="1:25" x14ac:dyDescent="0.2">
      <c r="A27" s="10">
        <f>A26+1</f>
        <v>19</v>
      </c>
      <c r="D27" s="11" t="s">
        <v>6</v>
      </c>
      <c r="J27" s="33">
        <f ca="1">J26/I26-1</f>
        <v>4.1794451310086966E-2</v>
      </c>
      <c r="K27" s="33">
        <f t="shared" ref="K27:W27" ca="1" si="7">K26/J26-1</f>
        <v>4.3200873274527041E-2</v>
      </c>
      <c r="L27" s="33">
        <f t="shared" ca="1" si="7"/>
        <v>3.9880269198386609E-2</v>
      </c>
      <c r="M27" s="33">
        <f t="shared" ca="1" si="7"/>
        <v>2.0684209095554351E-2</v>
      </c>
      <c r="N27" s="33">
        <f t="shared" ca="1" si="7"/>
        <v>2.4779539890857682E-2</v>
      </c>
      <c r="O27" s="33">
        <f t="shared" ca="1" si="7"/>
        <v>2.9253551749685469E-2</v>
      </c>
      <c r="P27" s="33">
        <f t="shared" ca="1" si="7"/>
        <v>1.1329846581769942E-2</v>
      </c>
      <c r="Q27" s="33">
        <f t="shared" ca="1" si="7"/>
        <v>6.5664526890203412E-3</v>
      </c>
      <c r="R27" s="33">
        <f t="shared" ca="1" si="7"/>
        <v>1.1291739333723072E-3</v>
      </c>
      <c r="S27" s="33">
        <f t="shared" ca="1" si="7"/>
        <v>1.3334362169488134E-3</v>
      </c>
      <c r="T27" s="33">
        <f t="shared" ca="1" si="7"/>
        <v>1.5130634237863205E-3</v>
      </c>
      <c r="U27" s="33">
        <f t="shared" ca="1" si="7"/>
        <v>1.6667921326809498E-3</v>
      </c>
      <c r="V27" s="33">
        <f t="shared" ca="1" si="7"/>
        <v>1.8032840515442849E-3</v>
      </c>
      <c r="W27" s="33">
        <f t="shared" ca="1" si="7"/>
        <v>1.9331716799630971E-3</v>
      </c>
    </row>
    <row r="28" spans="1:25" x14ac:dyDescent="0.2">
      <c r="A28" s="10">
        <f>A27+1</f>
        <v>20</v>
      </c>
      <c r="D28" s="3" t="s">
        <v>72</v>
      </c>
      <c r="J28" s="33">
        <f ca="1">J26/$I26-1</f>
        <v>4.1794451310086966E-2</v>
      </c>
      <c r="K28" s="33">
        <f t="shared" ref="K28:W28" ca="1" si="8">K26/$I26-1</f>
        <v>8.6800881379239359E-2</v>
      </c>
      <c r="L28" s="33">
        <f t="shared" ca="1" si="8"/>
        <v>0.13014279309368737</v>
      </c>
      <c r="M28" s="33">
        <f t="shared" ca="1" si="8"/>
        <v>0.15351890293387083</v>
      </c>
      <c r="N28" s="33">
        <f t="shared" ca="1" si="8"/>
        <v>0.18210257060397939</v>
      </c>
      <c r="O28" s="33">
        <f t="shared" ca="1" si="8"/>
        <v>0.216683269326579</v>
      </c>
      <c r="P28" s="33">
        <f t="shared" ca="1" si="8"/>
        <v>0.23046810410665541</v>
      </c>
      <c r="Q28" s="33">
        <f t="shared" ca="1" si="8"/>
        <v>0.23854791469762038</v>
      </c>
      <c r="R28" s="33">
        <f t="shared" ca="1" si="8"/>
        <v>0.2399464507181297</v>
      </c>
      <c r="S28" s="33">
        <f t="shared" ca="1" si="8"/>
        <v>0.24159984022259429</v>
      </c>
      <c r="T28" s="33">
        <f t="shared" ca="1" si="8"/>
        <v>0.24347845952781411</v>
      </c>
      <c r="U28" s="33">
        <f t="shared" ca="1" si="8"/>
        <v>0.2455510796413134</v>
      </c>
      <c r="V28" s="33">
        <f t="shared" ca="1" si="8"/>
        <v>0.24779716203861413</v>
      </c>
      <c r="W28" s="33">
        <f t="shared" ca="1" si="8"/>
        <v>0.2502093681746056</v>
      </c>
    </row>
    <row r="29" spans="1:25" x14ac:dyDescent="0.2">
      <c r="A29" s="10"/>
      <c r="D29" s="3" t="s">
        <v>104</v>
      </c>
      <c r="I29" s="3">
        <f ca="1">1000*(I20-I7)/I23</f>
        <v>0.21668491681006252</v>
      </c>
      <c r="J29" s="3">
        <f t="shared" ref="J29:W29" ca="1" si="9">1000*(J20-J7)/J23</f>
        <v>0.69729913348342187</v>
      </c>
      <c r="K29" s="3">
        <f t="shared" ca="1" si="9"/>
        <v>1.2190055479961615</v>
      </c>
      <c r="L29" s="3">
        <f t="shared" ca="1" si="9"/>
        <v>1.7172712942198236</v>
      </c>
      <c r="M29" s="3">
        <f t="shared" ca="1" si="9"/>
        <v>1.9499856382095797</v>
      </c>
      <c r="N29" s="3">
        <f t="shared" ca="1" si="9"/>
        <v>2.2501010558525674</v>
      </c>
      <c r="O29" s="3">
        <f t="shared" ca="1" si="9"/>
        <v>2.6280298863860718</v>
      </c>
      <c r="P29" s="3">
        <f t="shared" ca="1" si="9"/>
        <v>2.7293361842878383</v>
      </c>
      <c r="Q29" s="3">
        <f t="shared" ca="1" si="9"/>
        <v>2.7536033256042276</v>
      </c>
      <c r="R29" s="3">
        <f t="shared" ca="1" si="9"/>
        <v>2.6878855025917687</v>
      </c>
      <c r="S29" s="3">
        <f t="shared" ca="1" si="9"/>
        <v>2.6238977678360524</v>
      </c>
      <c r="T29" s="3">
        <f t="shared" ca="1" si="9"/>
        <v>2.5612145380420741</v>
      </c>
      <c r="U29" s="3">
        <f t="shared" ca="1" si="9"/>
        <v>2.4993883023871701</v>
      </c>
      <c r="V29" s="3">
        <f t="shared" ca="1" si="9"/>
        <v>2.4381122515229317</v>
      </c>
      <c r="W29" s="3">
        <f t="shared" ca="1" si="9"/>
        <v>2.3772534577847773</v>
      </c>
    </row>
    <row r="30" spans="1:25" x14ac:dyDescent="0.2">
      <c r="C30" s="1" t="s">
        <v>61</v>
      </c>
    </row>
    <row r="31" spans="1:25" x14ac:dyDescent="0.2">
      <c r="A31" s="10">
        <f>A28+1</f>
        <v>21</v>
      </c>
      <c r="D31" s="3" t="str">
        <f t="shared" ref="D31:D44" si="10">D7</f>
        <v>Existing Facilities</v>
      </c>
      <c r="I31" s="12">
        <f>Existing!I169</f>
        <v>18834.31018744102</v>
      </c>
      <c r="J31" s="12">
        <f>Existing!J169</f>
        <v>19210.996391189841</v>
      </c>
      <c r="K31" s="12">
        <f>Existing!K169</f>
        <v>19595.216319013638</v>
      </c>
      <c r="L31" s="12">
        <f>Existing!L169</f>
        <v>19987.120645393912</v>
      </c>
      <c r="M31" s="12">
        <f>Existing!M169</f>
        <v>20386.863058301791</v>
      </c>
      <c r="N31" s="12">
        <f>Existing!N169</f>
        <v>20794.600319467827</v>
      </c>
      <c r="O31" s="12">
        <f>Existing!O169</f>
        <v>21210.492325857183</v>
      </c>
      <c r="P31" s="12">
        <f>Existing!P169</f>
        <v>21634.702172374327</v>
      </c>
      <c r="Q31" s="12">
        <f>Existing!Q169</f>
        <v>22067.396215821813</v>
      </c>
      <c r="R31" s="12">
        <f>Existing!R169</f>
        <v>22508.744140138249</v>
      </c>
      <c r="S31" s="12">
        <f>Existing!S169</f>
        <v>22958.919022941016</v>
      </c>
      <c r="T31" s="12">
        <f>Existing!T169</f>
        <v>23418.097403399835</v>
      </c>
      <c r="U31" s="12">
        <f>Existing!U169</f>
        <v>23886.459351467831</v>
      </c>
      <c r="V31" s="12">
        <f>Existing!V169</f>
        <v>24364.188538497187</v>
      </c>
      <c r="W31" s="12">
        <f>Existing!W169</f>
        <v>24851.47230926713</v>
      </c>
    </row>
    <row r="32" spans="1:25" x14ac:dyDescent="0.2">
      <c r="A32" s="10">
        <f t="shared" ref="A32:A45" si="11">A31+1</f>
        <v>22</v>
      </c>
      <c r="D32" s="3" t="str">
        <f t="shared" si="10"/>
        <v>Reliability</v>
      </c>
      <c r="I32" s="12">
        <f>Reliability!I$47</f>
        <v>184</v>
      </c>
      <c r="J32" s="12">
        <f>Reliability!J$47</f>
        <v>453</v>
      </c>
      <c r="K32" s="12">
        <f>Reliability!K$47</f>
        <v>873</v>
      </c>
      <c r="L32" s="12">
        <f>Reliability!L$47</f>
        <v>1443.5</v>
      </c>
      <c r="M32" s="12">
        <f>Reliability!M$47</f>
        <v>1763.5</v>
      </c>
      <c r="N32" s="12">
        <f>Reliability!N$47</f>
        <v>2266.5</v>
      </c>
      <c r="O32" s="12">
        <f>Reliability!O$47</f>
        <v>2797</v>
      </c>
      <c r="P32" s="12">
        <f>Reliability!P$47</f>
        <v>3013.5</v>
      </c>
      <c r="Q32" s="12">
        <f>Reliability!Q$47</f>
        <v>3118</v>
      </c>
      <c r="R32" s="12">
        <f>Reliability!R$47</f>
        <v>3118</v>
      </c>
      <c r="S32" s="12">
        <f>Reliability!S$47</f>
        <v>3118</v>
      </c>
      <c r="T32" s="12">
        <f>Reliability!T$47</f>
        <v>3118</v>
      </c>
      <c r="U32" s="12">
        <f>Reliability!U$47</f>
        <v>3118</v>
      </c>
      <c r="V32" s="12">
        <f>Reliability!V$47</f>
        <v>3118</v>
      </c>
      <c r="W32" s="12">
        <f>Reliability!W$47</f>
        <v>3118</v>
      </c>
    </row>
    <row r="33" spans="1:23" x14ac:dyDescent="0.2">
      <c r="A33" s="10">
        <f t="shared" si="11"/>
        <v>23</v>
      </c>
      <c r="D33" s="3" t="str">
        <f t="shared" si="10"/>
        <v>South CC(Completed)</v>
      </c>
      <c r="I33" s="12">
        <f>'South CC'!I$47</f>
        <v>0</v>
      </c>
      <c r="J33" s="12">
        <f>'South CC'!J$47</f>
        <v>0</v>
      </c>
      <c r="K33" s="12">
        <f>'South CC'!K$47</f>
        <v>0</v>
      </c>
      <c r="L33" s="12">
        <f>'South CC'!L$47</f>
        <v>0</v>
      </c>
      <c r="M33" s="12">
        <f>'South CC'!M$47</f>
        <v>0</v>
      </c>
      <c r="N33" s="12">
        <f>'South CC'!N$47</f>
        <v>0</v>
      </c>
      <c r="O33" s="12">
        <f>'South CC'!O$47</f>
        <v>0</v>
      </c>
      <c r="P33" s="12">
        <f>'South CC'!P$47</f>
        <v>0</v>
      </c>
      <c r="Q33" s="12">
        <f>'South CC'!Q$47</f>
        <v>0</v>
      </c>
      <c r="R33" s="12">
        <f>'South CC'!R$47</f>
        <v>0</v>
      </c>
      <c r="S33" s="12">
        <f>'South CC'!S$47</f>
        <v>0</v>
      </c>
      <c r="T33" s="12">
        <f>'South CC'!T$47</f>
        <v>0</v>
      </c>
      <c r="U33" s="12">
        <f>'South CC'!U$47</f>
        <v>0</v>
      </c>
      <c r="V33" s="12">
        <f>'South CC'!V$47</f>
        <v>0</v>
      </c>
      <c r="W33" s="12">
        <f>'South CC'!W$47</f>
        <v>0</v>
      </c>
    </row>
    <row r="34" spans="1:23" x14ac:dyDescent="0.2">
      <c r="A34" s="10">
        <f t="shared" si="11"/>
        <v>24</v>
      </c>
      <c r="D34" s="3" t="str">
        <f t="shared" si="10"/>
        <v>Tehachapi (Completed)</v>
      </c>
      <c r="I34" s="12">
        <f>Tehachapi!I$47</f>
        <v>0</v>
      </c>
      <c r="J34" s="12">
        <f>Tehachapi!J$47</f>
        <v>0</v>
      </c>
      <c r="K34" s="12">
        <f>Tehachapi!K$47</f>
        <v>0</v>
      </c>
      <c r="L34" s="12">
        <f>Tehachapi!L$47</f>
        <v>0</v>
      </c>
      <c r="M34" s="12">
        <f>Tehachapi!M$47</f>
        <v>0</v>
      </c>
      <c r="N34" s="12">
        <f>Tehachapi!N$47</f>
        <v>0</v>
      </c>
      <c r="O34" s="12">
        <f>Tehachapi!O$47</f>
        <v>0</v>
      </c>
      <c r="P34" s="12">
        <f>Tehachapi!P$47</f>
        <v>0</v>
      </c>
      <c r="Q34" s="12">
        <f>Tehachapi!Q$47</f>
        <v>0</v>
      </c>
      <c r="R34" s="12">
        <f>Tehachapi!R$47</f>
        <v>0</v>
      </c>
      <c r="S34" s="12">
        <f>Tehachapi!S$47</f>
        <v>0</v>
      </c>
      <c r="T34" s="12">
        <f>Tehachapi!T$47</f>
        <v>0</v>
      </c>
      <c r="U34" s="12">
        <f>Tehachapi!U$47</f>
        <v>0</v>
      </c>
      <c r="V34" s="12">
        <f>Tehachapi!V$47</f>
        <v>0</v>
      </c>
      <c r="W34" s="12">
        <f>Tehachapi!W$47</f>
        <v>0</v>
      </c>
    </row>
    <row r="35" spans="1:23" x14ac:dyDescent="0.2">
      <c r="A35" s="10">
        <f t="shared" si="11"/>
        <v>25</v>
      </c>
      <c r="D35" s="3" t="str">
        <f t="shared" si="10"/>
        <v>WOD</v>
      </c>
      <c r="I35" s="12">
        <f>WOD!I$47</f>
        <v>0</v>
      </c>
      <c r="J35" s="12">
        <f>WOD!J$47</f>
        <v>46.5</v>
      </c>
      <c r="K35" s="12">
        <f>WOD!K$47</f>
        <v>93</v>
      </c>
      <c r="L35" s="12">
        <f>WOD!L$47</f>
        <v>93</v>
      </c>
      <c r="M35" s="12">
        <f>WOD!M$47</f>
        <v>93</v>
      </c>
      <c r="N35" s="12">
        <f>WOD!N$47</f>
        <v>93</v>
      </c>
      <c r="O35" s="12">
        <f>WOD!O$47</f>
        <v>93</v>
      </c>
      <c r="P35" s="12">
        <f>WOD!P$47</f>
        <v>93</v>
      </c>
      <c r="Q35" s="12">
        <f>WOD!Q$47</f>
        <v>93</v>
      </c>
      <c r="R35" s="12">
        <f>WOD!R$47</f>
        <v>93</v>
      </c>
      <c r="S35" s="12">
        <f>WOD!S$47</f>
        <v>93</v>
      </c>
      <c r="T35" s="12">
        <f>WOD!T$47</f>
        <v>93</v>
      </c>
      <c r="U35" s="12">
        <f>WOD!U$47</f>
        <v>93</v>
      </c>
      <c r="V35" s="12">
        <f>WOD!V$47</f>
        <v>93</v>
      </c>
      <c r="W35" s="12">
        <f>WOD!W$47</f>
        <v>93</v>
      </c>
    </row>
    <row r="36" spans="1:23" x14ac:dyDescent="0.2">
      <c r="A36" s="10">
        <f t="shared" si="11"/>
        <v>26</v>
      </c>
      <c r="D36" s="3" t="str">
        <f t="shared" si="10"/>
        <v>CW-Lugo(Completed)</v>
      </c>
      <c r="I36" s="12">
        <f>'CW-Lugo'!I$47</f>
        <v>0</v>
      </c>
      <c r="J36" s="12">
        <f>'CW-Lugo'!J$47</f>
        <v>0</v>
      </c>
      <c r="K36" s="12">
        <f>'CW-Lugo'!K$47</f>
        <v>0</v>
      </c>
      <c r="L36" s="12">
        <f>'CW-Lugo'!L$47</f>
        <v>0</v>
      </c>
      <c r="M36" s="12">
        <f>'CW-Lugo'!M$47</f>
        <v>0</v>
      </c>
      <c r="N36" s="12">
        <f>'CW-Lugo'!N$47</f>
        <v>0</v>
      </c>
      <c r="O36" s="12">
        <f>'CW-Lugo'!O$47</f>
        <v>0</v>
      </c>
      <c r="P36" s="12">
        <f>'CW-Lugo'!P$47</f>
        <v>0</v>
      </c>
      <c r="Q36" s="12">
        <f>'CW-Lugo'!Q$47</f>
        <v>0</v>
      </c>
      <c r="R36" s="12">
        <f>'CW-Lugo'!R$47</f>
        <v>0</v>
      </c>
      <c r="S36" s="12">
        <f>'CW-Lugo'!S$47</f>
        <v>0</v>
      </c>
      <c r="T36" s="12">
        <f>'CW-Lugo'!T$47</f>
        <v>0</v>
      </c>
      <c r="U36" s="12">
        <f>'CW-Lugo'!U$47</f>
        <v>0</v>
      </c>
      <c r="V36" s="12">
        <f>'CW-Lugo'!V$47</f>
        <v>0</v>
      </c>
      <c r="W36" s="12">
        <f>'CW-Lugo'!W$47</f>
        <v>0</v>
      </c>
    </row>
    <row r="37" spans="1:23" x14ac:dyDescent="0.2">
      <c r="A37" s="10">
        <f t="shared" si="11"/>
        <v>27</v>
      </c>
      <c r="D37" s="3" t="str">
        <f t="shared" si="10"/>
        <v>2019-20 Policy and Econ</v>
      </c>
      <c r="I37" s="12">
        <f>'2020-21 Policy and Econ'!I$47</f>
        <v>146</v>
      </c>
      <c r="J37" s="12">
        <f>'2020-21 Policy and Econ'!J$47</f>
        <v>461</v>
      </c>
      <c r="K37" s="12">
        <f>'2020-21 Policy and Econ'!K$47</f>
        <v>698.5</v>
      </c>
      <c r="L37" s="12">
        <f>'2020-21 Policy and Econ'!L$47</f>
        <v>779.5</v>
      </c>
      <c r="M37" s="12">
        <f>'2020-21 Policy and Econ'!M$47</f>
        <v>792.5</v>
      </c>
      <c r="N37" s="12">
        <f>'2020-21 Policy and Econ'!N$47</f>
        <v>793</v>
      </c>
      <c r="O37" s="12">
        <f>'2020-21 Policy and Econ'!O$47</f>
        <v>793</v>
      </c>
      <c r="P37" s="12">
        <f>'2020-21 Policy and Econ'!P$47</f>
        <v>793</v>
      </c>
      <c r="Q37" s="12">
        <f>'2020-21 Policy and Econ'!Q$47</f>
        <v>793</v>
      </c>
      <c r="R37" s="12">
        <f>'2020-21 Policy and Econ'!R$47</f>
        <v>793</v>
      </c>
      <c r="S37" s="12">
        <f>'2020-21 Policy and Econ'!S$47</f>
        <v>793</v>
      </c>
      <c r="T37" s="12">
        <f>'2020-21 Policy and Econ'!T$47</f>
        <v>793</v>
      </c>
      <c r="U37" s="12">
        <f>'2020-21 Policy and Econ'!U$47</f>
        <v>793</v>
      </c>
      <c r="V37" s="12">
        <f>'2020-21 Policy and Econ'!V$47</f>
        <v>793</v>
      </c>
      <c r="W37" s="12">
        <f>'2020-21 Policy and Econ'!W$47</f>
        <v>793</v>
      </c>
    </row>
    <row r="38" spans="1:23" x14ac:dyDescent="0.2">
      <c r="A38" s="10">
        <f t="shared" si="11"/>
        <v>28</v>
      </c>
      <c r="D38" s="3" t="str">
        <f t="shared" si="10"/>
        <v>ClrdoRvr</v>
      </c>
      <c r="I38" s="12">
        <f>ClrdoRvr!I47</f>
        <v>0</v>
      </c>
      <c r="J38" s="12">
        <f>ClrdoRvr!J47</f>
        <v>0</v>
      </c>
      <c r="K38" s="12">
        <f>ClrdoRvr!K47</f>
        <v>2.5</v>
      </c>
      <c r="L38" s="12">
        <f>ClrdoRvr!L47</f>
        <v>5</v>
      </c>
      <c r="M38" s="12">
        <f>ClrdoRvr!M47</f>
        <v>5</v>
      </c>
      <c r="N38" s="12">
        <f>ClrdoRvr!N47</f>
        <v>5</v>
      </c>
      <c r="O38" s="12">
        <f>ClrdoRvr!O47</f>
        <v>5</v>
      </c>
      <c r="P38" s="12">
        <f>ClrdoRvr!P47</f>
        <v>5</v>
      </c>
      <c r="Q38" s="12">
        <f>ClrdoRvr!Q47</f>
        <v>5</v>
      </c>
      <c r="R38" s="12">
        <f>ClrdoRvr!R47</f>
        <v>5</v>
      </c>
      <c r="S38" s="12">
        <f>ClrdoRvr!S47</f>
        <v>5</v>
      </c>
      <c r="T38" s="12">
        <f>ClrdoRvr!T47</f>
        <v>5</v>
      </c>
      <c r="U38" s="12">
        <f>ClrdoRvr!U47</f>
        <v>5</v>
      </c>
      <c r="V38" s="12">
        <f>ClrdoRvr!V47</f>
        <v>5</v>
      </c>
      <c r="W38" s="12">
        <f>ClrdoRvr!W47</f>
        <v>5</v>
      </c>
    </row>
    <row r="39" spans="1:23" x14ac:dyDescent="0.2">
      <c r="A39" s="10">
        <f t="shared" si="11"/>
        <v>29</v>
      </c>
      <c r="D39" s="3" t="str">
        <f t="shared" si="10"/>
        <v>Red Bluff 2nd 'AA' Bank</v>
      </c>
      <c r="I39" s="12">
        <f>'Red Bluff 2AA Bank'!I$47</f>
        <v>0</v>
      </c>
      <c r="J39" s="12">
        <f>'Red Bluff 2AA Bank'!J$47</f>
        <v>2.5</v>
      </c>
      <c r="K39" s="12">
        <f>'Red Bluff 2AA Bank'!K$47</f>
        <v>7.5</v>
      </c>
      <c r="L39" s="12">
        <f>'Red Bluff 2AA Bank'!L$47</f>
        <v>10</v>
      </c>
      <c r="M39" s="12">
        <f>'Red Bluff 2AA Bank'!M$47</f>
        <v>10</v>
      </c>
      <c r="N39" s="12">
        <f>'Red Bluff 2AA Bank'!N$47</f>
        <v>10</v>
      </c>
      <c r="O39" s="12">
        <f>'Red Bluff 2AA Bank'!O$47</f>
        <v>10</v>
      </c>
      <c r="P39" s="12">
        <f>'Red Bluff 2AA Bank'!P$47</f>
        <v>10</v>
      </c>
      <c r="Q39" s="12">
        <f>'Red Bluff 2AA Bank'!Q$47</f>
        <v>10</v>
      </c>
      <c r="R39" s="12">
        <f>'Red Bluff 2AA Bank'!R$47</f>
        <v>10</v>
      </c>
      <c r="S39" s="12">
        <f>'Red Bluff 2AA Bank'!S$47</f>
        <v>10</v>
      </c>
      <c r="T39" s="12">
        <f>'Red Bluff 2AA Bank'!T$47</f>
        <v>10</v>
      </c>
      <c r="U39" s="12">
        <f>'Red Bluff 2AA Bank'!U$47</f>
        <v>10</v>
      </c>
      <c r="V39" s="12">
        <f>'Red Bluff 2AA Bank'!V$47</f>
        <v>10</v>
      </c>
      <c r="W39" s="12">
        <f>'Red Bluff 2AA Bank'!W$47</f>
        <v>10</v>
      </c>
    </row>
    <row r="40" spans="1:23" x14ac:dyDescent="0.2">
      <c r="A40" s="10">
        <f t="shared" si="11"/>
        <v>30</v>
      </c>
      <c r="D40" s="3" t="str">
        <f t="shared" si="10"/>
        <v>Calcite</v>
      </c>
      <c r="I40" s="12">
        <f>Calcite!I$47</f>
        <v>0</v>
      </c>
      <c r="J40" s="12">
        <f>Calcite!J$47</f>
        <v>0</v>
      </c>
      <c r="K40" s="12">
        <f>Calcite!K$47</f>
        <v>18.014665662500001</v>
      </c>
      <c r="L40" s="12">
        <f>Calcite!L$47</f>
        <v>45.029331325000001</v>
      </c>
      <c r="M40" s="12">
        <f>Calcite!M$47</f>
        <v>54.029331325000001</v>
      </c>
      <c r="N40" s="12">
        <f>Calcite!N$47</f>
        <v>54.029331325000001</v>
      </c>
      <c r="O40" s="12">
        <f>Calcite!O$47</f>
        <v>54.029331325000001</v>
      </c>
      <c r="P40" s="12">
        <f>Calcite!P$47</f>
        <v>54.029331325000001</v>
      </c>
      <c r="Q40" s="12">
        <f>Calcite!Q$47</f>
        <v>54.029331325000001</v>
      </c>
      <c r="R40" s="12">
        <f>Calcite!R$47</f>
        <v>54.029331325000001</v>
      </c>
      <c r="S40" s="12">
        <f>Calcite!S$47</f>
        <v>54.029331325000001</v>
      </c>
      <c r="T40" s="12">
        <f>Calcite!T$47</f>
        <v>54.029331325000001</v>
      </c>
      <c r="U40" s="12">
        <f>Calcite!U$47</f>
        <v>54.029331325000001</v>
      </c>
      <c r="V40" s="12">
        <f>Calcite!V$47</f>
        <v>54.029331325000001</v>
      </c>
      <c r="W40" s="12">
        <f>Calcite!W$47</f>
        <v>54.029331325000001</v>
      </c>
    </row>
    <row r="41" spans="1:23" x14ac:dyDescent="0.2">
      <c r="A41" s="10">
        <f t="shared" si="11"/>
        <v>31</v>
      </c>
      <c r="D41" s="3" t="str">
        <f t="shared" si="10"/>
        <v>New Project 10</v>
      </c>
      <c r="I41" s="12">
        <f>'New Project 10'!I$47</f>
        <v>0</v>
      </c>
      <c r="J41" s="12">
        <f>'New Project 10'!J$47</f>
        <v>0</v>
      </c>
      <c r="K41" s="12">
        <f>'New Project 10'!K$47</f>
        <v>0</v>
      </c>
      <c r="L41" s="12">
        <f>'New Project 10'!L$47</f>
        <v>0</v>
      </c>
      <c r="M41" s="12">
        <f>'New Project 10'!M$47</f>
        <v>0</v>
      </c>
      <c r="N41" s="12">
        <f>'New Project 10'!N$47</f>
        <v>0</v>
      </c>
      <c r="O41" s="12">
        <f>'New Project 10'!O$47</f>
        <v>0</v>
      </c>
      <c r="P41" s="12">
        <f>'New Project 10'!P$47</f>
        <v>0</v>
      </c>
      <c r="Q41" s="12">
        <f>'New Project 10'!Q$47</f>
        <v>0</v>
      </c>
      <c r="R41" s="12">
        <f>'New Project 10'!R$47</f>
        <v>0</v>
      </c>
      <c r="S41" s="12">
        <f>'New Project 10'!S$47</f>
        <v>0</v>
      </c>
      <c r="T41" s="12">
        <f>'New Project 10'!T$47</f>
        <v>0</v>
      </c>
      <c r="U41" s="12">
        <f>'New Project 10'!U$47</f>
        <v>0</v>
      </c>
      <c r="V41" s="12">
        <f>'New Project 10'!V$47</f>
        <v>0</v>
      </c>
      <c r="W41" s="12">
        <f>'New Project 10'!W$47</f>
        <v>0</v>
      </c>
    </row>
    <row r="42" spans="1:23" x14ac:dyDescent="0.2">
      <c r="A42" s="10">
        <f t="shared" si="11"/>
        <v>32</v>
      </c>
      <c r="D42" s="3" t="str">
        <f t="shared" si="10"/>
        <v>New Project 11</v>
      </c>
      <c r="I42" s="12">
        <f>'New Project 11'!I$47</f>
        <v>0</v>
      </c>
      <c r="J42" s="12">
        <f>'New Project 11'!J$47</f>
        <v>0</v>
      </c>
      <c r="K42" s="12">
        <f>'New Project 11'!K$47</f>
        <v>0</v>
      </c>
      <c r="L42" s="12">
        <f>'New Project 11'!L$47</f>
        <v>0</v>
      </c>
      <c r="M42" s="12">
        <f>'New Project 11'!M$47</f>
        <v>0</v>
      </c>
      <c r="N42" s="12">
        <f>'New Project 11'!N$47</f>
        <v>0</v>
      </c>
      <c r="O42" s="12">
        <f>'New Project 11'!O$47</f>
        <v>0</v>
      </c>
      <c r="P42" s="12">
        <f>'New Project 11'!P$47</f>
        <v>0</v>
      </c>
      <c r="Q42" s="12">
        <f>'New Project 11'!Q$47</f>
        <v>0</v>
      </c>
      <c r="R42" s="12">
        <f>'New Project 11'!R$47</f>
        <v>0</v>
      </c>
      <c r="S42" s="12">
        <f>'New Project 11'!S$47</f>
        <v>0</v>
      </c>
      <c r="T42" s="12">
        <f>'New Project 11'!T$47</f>
        <v>0</v>
      </c>
      <c r="U42" s="12">
        <f>'New Project 11'!U$47</f>
        <v>0</v>
      </c>
      <c r="V42" s="12">
        <f>'New Project 11'!V$47</f>
        <v>0</v>
      </c>
      <c r="W42" s="12">
        <f>'New Project 11'!W$47</f>
        <v>0</v>
      </c>
    </row>
    <row r="43" spans="1:23" x14ac:dyDescent="0.2">
      <c r="A43" s="10">
        <f t="shared" si="11"/>
        <v>33</v>
      </c>
      <c r="D43" s="3" t="str">
        <f t="shared" si="10"/>
        <v>New Project 12</v>
      </c>
      <c r="I43" s="12">
        <f>'New Project 12'!I$47</f>
        <v>0</v>
      </c>
      <c r="J43" s="12">
        <f>'New Project 12'!J$47</f>
        <v>0</v>
      </c>
      <c r="K43" s="12">
        <f>'New Project 12'!K$47</f>
        <v>0</v>
      </c>
      <c r="L43" s="12">
        <f>'New Project 12'!L$47</f>
        <v>0</v>
      </c>
      <c r="M43" s="12">
        <f>'New Project 12'!M$47</f>
        <v>0</v>
      </c>
      <c r="N43" s="12">
        <f>'New Project 12'!N$47</f>
        <v>0</v>
      </c>
      <c r="O43" s="12">
        <f>'New Project 12'!O$47</f>
        <v>0</v>
      </c>
      <c r="P43" s="12">
        <f>'New Project 12'!P$47</f>
        <v>0</v>
      </c>
      <c r="Q43" s="12">
        <f>'New Project 12'!Q$47</f>
        <v>0</v>
      </c>
      <c r="R43" s="12">
        <f>'New Project 12'!R$47</f>
        <v>0</v>
      </c>
      <c r="S43" s="12">
        <f>'New Project 12'!S$47</f>
        <v>0</v>
      </c>
      <c r="T43" s="12">
        <f>'New Project 12'!T$47</f>
        <v>0</v>
      </c>
      <c r="U43" s="12">
        <f>'New Project 12'!U$47</f>
        <v>0</v>
      </c>
      <c r="V43" s="12">
        <f>'New Project 12'!V$47</f>
        <v>0</v>
      </c>
      <c r="W43" s="12">
        <f>'New Project 12'!W$47</f>
        <v>0</v>
      </c>
    </row>
    <row r="44" spans="1:23" x14ac:dyDescent="0.2">
      <c r="A44" s="10">
        <f t="shared" si="11"/>
        <v>34</v>
      </c>
      <c r="D44" s="3" t="str">
        <f t="shared" si="10"/>
        <v>Total</v>
      </c>
      <c r="I44" s="20">
        <f>SUM(I31:I43)</f>
        <v>19164.31018744102</v>
      </c>
      <c r="J44" s="20">
        <f t="shared" ref="J44:W44" si="12">SUM(J31:J43)</f>
        <v>20173.996391189841</v>
      </c>
      <c r="K44" s="20">
        <f t="shared" si="12"/>
        <v>21287.730984676138</v>
      </c>
      <c r="L44" s="20">
        <f t="shared" si="12"/>
        <v>22363.149976718913</v>
      </c>
      <c r="M44" s="20">
        <f t="shared" si="12"/>
        <v>23104.892389626792</v>
      </c>
      <c r="N44" s="20">
        <f t="shared" si="12"/>
        <v>24016.129650792827</v>
      </c>
      <c r="O44" s="20">
        <f t="shared" si="12"/>
        <v>24962.521657182184</v>
      </c>
      <c r="P44" s="20">
        <f t="shared" si="12"/>
        <v>25603.231503699328</v>
      </c>
      <c r="Q44" s="20">
        <f t="shared" si="12"/>
        <v>26140.425547146813</v>
      </c>
      <c r="R44" s="20">
        <f t="shared" si="12"/>
        <v>26581.77347146325</v>
      </c>
      <c r="S44" s="20">
        <f t="shared" si="12"/>
        <v>27031.948354266016</v>
      </c>
      <c r="T44" s="20">
        <f t="shared" si="12"/>
        <v>27491.126734724836</v>
      </c>
      <c r="U44" s="20">
        <f t="shared" si="12"/>
        <v>27959.488682792831</v>
      </c>
      <c r="V44" s="20">
        <f t="shared" si="12"/>
        <v>28437.217869822187</v>
      </c>
      <c r="W44" s="20">
        <f t="shared" si="12"/>
        <v>28924.501640592131</v>
      </c>
    </row>
    <row r="45" spans="1:23" x14ac:dyDescent="0.2">
      <c r="A45" s="10">
        <f t="shared" si="11"/>
        <v>35</v>
      </c>
      <c r="E45" s="11" t="s">
        <v>6</v>
      </c>
      <c r="J45" s="33">
        <f t="shared" ref="J45:W45" si="13">J44/I44-1</f>
        <v>5.2685757737865213E-2</v>
      </c>
      <c r="K45" s="33">
        <f t="shared" si="13"/>
        <v>5.5206443576676589E-2</v>
      </c>
      <c r="L45" s="33">
        <f t="shared" si="13"/>
        <v>5.0518253580755568E-2</v>
      </c>
      <c r="M45" s="33">
        <f t="shared" si="13"/>
        <v>3.3168065039141048E-2</v>
      </c>
      <c r="N45" s="33">
        <f t="shared" si="13"/>
        <v>3.9439147596945556E-2</v>
      </c>
      <c r="O45" s="33">
        <f t="shared" si="13"/>
        <v>3.9406516376718326E-2</v>
      </c>
      <c r="P45" s="33">
        <f t="shared" si="13"/>
        <v>2.5666871933701429E-2</v>
      </c>
      <c r="Q45" s="33">
        <f t="shared" si="13"/>
        <v>2.0981493815336094E-2</v>
      </c>
      <c r="R45" s="33">
        <f t="shared" si="13"/>
        <v>1.688373142665256E-2</v>
      </c>
      <c r="S45" s="33">
        <f t="shared" si="13"/>
        <v>1.6935472092787673E-2</v>
      </c>
      <c r="T45" s="33">
        <f t="shared" si="13"/>
        <v>1.6986507019067787E-2</v>
      </c>
      <c r="U45" s="33">
        <f t="shared" si="13"/>
        <v>1.7036840744558912E-2</v>
      </c>
      <c r="V45" s="33">
        <f t="shared" si="13"/>
        <v>1.708647795563456E-2</v>
      </c>
      <c r="W45" s="33">
        <f t="shared" si="13"/>
        <v>1.7135423479209377E-2</v>
      </c>
    </row>
    <row r="46" spans="1:23" x14ac:dyDescent="0.2"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23" x14ac:dyDescent="0.2">
      <c r="C47" s="1" t="s">
        <v>62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23" x14ac:dyDescent="0.2">
      <c r="A48" s="10">
        <f>A45+1</f>
        <v>36</v>
      </c>
      <c r="D48" s="3" t="str">
        <f t="shared" ref="D48:D61" si="14">D7</f>
        <v>Existing Facilities</v>
      </c>
      <c r="I48" s="12">
        <f>Existing!I170</f>
        <v>12864.917738768414</v>
      </c>
      <c r="J48" s="12">
        <f>Existing!J170</f>
        <v>12658.707555264527</v>
      </c>
      <c r="K48" s="12">
        <f>Existing!K170</f>
        <v>12448.373168090562</v>
      </c>
      <c r="L48" s="12">
        <f>Existing!L170</f>
        <v>12233.83209317312</v>
      </c>
      <c r="M48" s="12">
        <f>Existing!M170</f>
        <v>12015.000196757328</v>
      </c>
      <c r="N48" s="12">
        <f>Existing!N170</f>
        <v>11791.791662413219</v>
      </c>
      <c r="O48" s="12">
        <f>Existing!O170</f>
        <v>11564.118957382228</v>
      </c>
      <c r="P48" s="12">
        <f>Existing!P170</f>
        <v>11331.892798250617</v>
      </c>
      <c r="Q48" s="12">
        <f>Existing!Q170</f>
        <v>11095.022115936374</v>
      </c>
      <c r="R48" s="12">
        <f>Existing!R170</f>
        <v>10853.414019975846</v>
      </c>
      <c r="S48" s="12">
        <f>Existing!S170</f>
        <v>10606.97376209611</v>
      </c>
      <c r="T48" s="12">
        <f>Existing!T170</f>
        <v>10355.604699058777</v>
      </c>
      <c r="U48" s="12">
        <f>Existing!U170</f>
        <v>10099.208254760695</v>
      </c>
      <c r="V48" s="12">
        <f>Existing!V170</f>
        <v>9837.6838815766532</v>
      </c>
      <c r="W48" s="12">
        <f>Existing!W170</f>
        <v>9570.929020928932</v>
      </c>
    </row>
    <row r="49" spans="1:23" x14ac:dyDescent="0.2">
      <c r="A49" s="10">
        <f t="shared" ref="A49:A62" si="15">A48+1</f>
        <v>37</v>
      </c>
      <c r="D49" s="3" t="str">
        <f t="shared" si="14"/>
        <v>Reliability</v>
      </c>
      <c r="I49" s="12">
        <f>Reliability!I$80</f>
        <v>180.09037719999998</v>
      </c>
      <c r="J49" s="12">
        <f>Reliability!J$80</f>
        <v>435.76469533</v>
      </c>
      <c r="K49" s="12">
        <f>Reliability!K$80</f>
        <v>828.50350971099999</v>
      </c>
      <c r="L49" s="12">
        <f>Reliability!L$80</f>
        <v>1352.11646648295</v>
      </c>
      <c r="M49" s="12">
        <f>Reliability!M$80</f>
        <v>1608.7184381500526</v>
      </c>
      <c r="N49" s="12">
        <f>Reliability!N$80</f>
        <v>2034.0250443513</v>
      </c>
      <c r="O49" s="12">
        <f>Reliability!O$80</f>
        <v>2468.5793903909848</v>
      </c>
      <c r="P49" s="12">
        <f>Reliability!P$80</f>
        <v>2577.5087888616854</v>
      </c>
      <c r="Q49" s="12">
        <f>Reliability!Q$80</f>
        <v>2571.8822165828515</v>
      </c>
      <c r="R49" s="12">
        <f>Reliability!R$80</f>
        <v>2463.1463228708335</v>
      </c>
      <c r="S49" s="12">
        <f>Reliability!S$80</f>
        <v>2357.2494188486671</v>
      </c>
      <c r="T49" s="12">
        <f>Reliability!T$80</f>
        <v>2253.4189603538584</v>
      </c>
      <c r="U49" s="12">
        <f>Reliability!U$80</f>
        <v>2150.8280632509159</v>
      </c>
      <c r="V49" s="12">
        <f>Reliability!V$80</f>
        <v>2048.9091387019948</v>
      </c>
      <c r="W49" s="12">
        <f>Reliability!W$80</f>
        <v>1947.4145070233953</v>
      </c>
    </row>
    <row r="50" spans="1:23" x14ac:dyDescent="0.2">
      <c r="A50" s="10">
        <f t="shared" si="15"/>
        <v>38</v>
      </c>
      <c r="D50" s="3" t="str">
        <f t="shared" si="14"/>
        <v>South CC(Completed)</v>
      </c>
      <c r="I50" s="12">
        <f>'South CC'!I$80</f>
        <v>0</v>
      </c>
      <c r="J50" s="12">
        <f>'South CC'!J$80</f>
        <v>0</v>
      </c>
      <c r="K50" s="12">
        <f>'South CC'!K$80</f>
        <v>0</v>
      </c>
      <c r="L50" s="12">
        <f>'South CC'!L$80</f>
        <v>0</v>
      </c>
      <c r="M50" s="12">
        <f>'South CC'!M$80</f>
        <v>0</v>
      </c>
      <c r="N50" s="12">
        <f>'South CC'!N$80</f>
        <v>0</v>
      </c>
      <c r="O50" s="12">
        <f>'South CC'!O$80</f>
        <v>0</v>
      </c>
      <c r="P50" s="12">
        <f>'South CC'!P$80</f>
        <v>0</v>
      </c>
      <c r="Q50" s="12">
        <f>'South CC'!Q$80</f>
        <v>0</v>
      </c>
      <c r="R50" s="12">
        <f>'South CC'!R$80</f>
        <v>0</v>
      </c>
      <c r="S50" s="12">
        <f>'South CC'!S$80</f>
        <v>0</v>
      </c>
      <c r="T50" s="12">
        <f>'South CC'!T$80</f>
        <v>0</v>
      </c>
      <c r="U50" s="12">
        <f>'South CC'!U$80</f>
        <v>0</v>
      </c>
      <c r="V50" s="12">
        <f>'South CC'!V$80</f>
        <v>0</v>
      </c>
      <c r="W50" s="12">
        <f>'South CC'!W$80</f>
        <v>0</v>
      </c>
    </row>
    <row r="51" spans="1:23" x14ac:dyDescent="0.2">
      <c r="A51" s="10">
        <f t="shared" si="15"/>
        <v>39</v>
      </c>
      <c r="D51" s="3" t="str">
        <f t="shared" si="14"/>
        <v>Tehachapi (Completed)</v>
      </c>
      <c r="I51" s="12">
        <f>Tehachapi!I$80</f>
        <v>0</v>
      </c>
      <c r="J51" s="12">
        <f>Tehachapi!J$80</f>
        <v>0</v>
      </c>
      <c r="K51" s="12">
        <f>Tehachapi!K$80</f>
        <v>0</v>
      </c>
      <c r="L51" s="12">
        <f>Tehachapi!L$80</f>
        <v>0</v>
      </c>
      <c r="M51" s="12">
        <f>Tehachapi!M$80</f>
        <v>0</v>
      </c>
      <c r="N51" s="12">
        <f>Tehachapi!N$80</f>
        <v>0</v>
      </c>
      <c r="O51" s="12">
        <f>Tehachapi!O$80</f>
        <v>0</v>
      </c>
      <c r="P51" s="12">
        <f>Tehachapi!P$80</f>
        <v>0</v>
      </c>
      <c r="Q51" s="12">
        <f>Tehachapi!Q$80</f>
        <v>0</v>
      </c>
      <c r="R51" s="12">
        <f>Tehachapi!R$80</f>
        <v>0</v>
      </c>
      <c r="S51" s="12">
        <f>Tehachapi!S$80</f>
        <v>0</v>
      </c>
      <c r="T51" s="12">
        <f>Tehachapi!T$80</f>
        <v>0</v>
      </c>
      <c r="U51" s="12">
        <f>Tehachapi!U$80</f>
        <v>0</v>
      </c>
      <c r="V51" s="12">
        <f>Tehachapi!V$80</f>
        <v>0</v>
      </c>
      <c r="W51" s="12">
        <f>Tehachapi!W$80</f>
        <v>0</v>
      </c>
    </row>
    <row r="52" spans="1:23" x14ac:dyDescent="0.2">
      <c r="A52" s="10">
        <f t="shared" si="15"/>
        <v>40</v>
      </c>
      <c r="D52" s="3" t="str">
        <f t="shared" si="14"/>
        <v>WOD</v>
      </c>
      <c r="I52" s="12">
        <f>WOD!I$80</f>
        <v>0</v>
      </c>
      <c r="J52" s="12">
        <f>WOD!J$80</f>
        <v>45.511970325</v>
      </c>
      <c r="K52" s="12">
        <f>WOD!K$80</f>
        <v>89.100765517499994</v>
      </c>
      <c r="L52" s="12">
        <f>WOD!L$80</f>
        <v>85.355098226624989</v>
      </c>
      <c r="M52" s="12">
        <f>WOD!M$80</f>
        <v>81.801124360293755</v>
      </c>
      <c r="N52" s="12">
        <f>WOD!N$80</f>
        <v>78.420446334779058</v>
      </c>
      <c r="O52" s="12">
        <f>WOD!O$80</f>
        <v>75.196467736790112</v>
      </c>
      <c r="P52" s="12">
        <f>WOD!P$80</f>
        <v>72.0853844615756</v>
      </c>
      <c r="Q52" s="12">
        <f>WOD!Q$80</f>
        <v>69.018907314996824</v>
      </c>
      <c r="R52" s="12">
        <f>WOD!R$80</f>
        <v>65.964373612246987</v>
      </c>
      <c r="S52" s="12">
        <f>WOD!S$80</f>
        <v>62.921186181134637</v>
      </c>
      <c r="T52" s="12">
        <f>WOD!T$80</f>
        <v>59.888777708077903</v>
      </c>
      <c r="U52" s="12">
        <f>WOD!U$80</f>
        <v>56.866609245174018</v>
      </c>
      <c r="V52" s="12">
        <f>WOD!V$80</f>
        <v>53.854168791915313</v>
      </c>
      <c r="W52" s="12">
        <f>WOD!W$80</f>
        <v>50.85096994781955</v>
      </c>
    </row>
    <row r="53" spans="1:23" x14ac:dyDescent="0.2">
      <c r="A53" s="10">
        <f t="shared" si="15"/>
        <v>41</v>
      </c>
      <c r="D53" s="3" t="str">
        <f t="shared" si="14"/>
        <v>CW-Lugo(Completed)</v>
      </c>
      <c r="I53" s="12">
        <f>'CW-Lugo'!I$80</f>
        <v>0</v>
      </c>
      <c r="J53" s="12">
        <f>'CW-Lugo'!J$80</f>
        <v>0</v>
      </c>
      <c r="K53" s="12">
        <f>'CW-Lugo'!K$80</f>
        <v>0</v>
      </c>
      <c r="L53" s="12">
        <f>'CW-Lugo'!L$80</f>
        <v>0</v>
      </c>
      <c r="M53" s="12">
        <f>'CW-Lugo'!M$80</f>
        <v>0</v>
      </c>
      <c r="N53" s="12">
        <f>'CW-Lugo'!N$80</f>
        <v>0</v>
      </c>
      <c r="O53" s="12">
        <f>'CW-Lugo'!O$80</f>
        <v>0</v>
      </c>
      <c r="P53" s="12">
        <f>'CW-Lugo'!P$80</f>
        <v>0</v>
      </c>
      <c r="Q53" s="12">
        <f>'CW-Lugo'!Q$80</f>
        <v>0</v>
      </c>
      <c r="R53" s="12">
        <f>'CW-Lugo'!R$80</f>
        <v>0</v>
      </c>
      <c r="S53" s="12">
        <f>'CW-Lugo'!S$80</f>
        <v>0</v>
      </c>
      <c r="T53" s="12">
        <f>'CW-Lugo'!T$80</f>
        <v>0</v>
      </c>
      <c r="U53" s="12">
        <f>'CW-Lugo'!U$80</f>
        <v>0</v>
      </c>
      <c r="V53" s="12">
        <f>'CW-Lugo'!V$80</f>
        <v>0</v>
      </c>
      <c r="W53" s="12">
        <f>'CW-Lugo'!W$80</f>
        <v>0</v>
      </c>
    </row>
    <row r="54" spans="1:23" x14ac:dyDescent="0.2">
      <c r="A54" s="10">
        <f t="shared" si="15"/>
        <v>42</v>
      </c>
      <c r="D54" s="3" t="str">
        <f t="shared" si="14"/>
        <v>2019-20 Policy and Econ</v>
      </c>
      <c r="I54" s="12">
        <f>'2020-21 Policy and Econ'!I$80</f>
        <v>142.8977993</v>
      </c>
      <c r="J54" s="12">
        <f>'2020-21 Policy and Econ'!J$80</f>
        <v>445.16633872</v>
      </c>
      <c r="K54" s="12">
        <f>'2020-21 Policy and Econ'!K$80</f>
        <v>658.86975657649998</v>
      </c>
      <c r="L54" s="12">
        <f>'2020-21 Policy and Econ'!L$80</f>
        <v>710.54360911642493</v>
      </c>
      <c r="M54" s="12">
        <f>'2020-21 Policy and Econ'!M$80</f>
        <v>693.70139708435374</v>
      </c>
      <c r="N54" s="12">
        <f>'2020-21 Policy and Econ'!N$80</f>
        <v>665.51840536388602</v>
      </c>
      <c r="O54" s="12">
        <f>'2020-21 Policy and Econ'!O$80</f>
        <v>638.0572334721918</v>
      </c>
      <c r="P54" s="12">
        <f>'2020-21 Policy and Econ'!P$80</f>
        <v>611.42590587808218</v>
      </c>
      <c r="Q54" s="12">
        <f>'2020-21 Policy and Econ'!Q$80</f>
        <v>585.20449008855303</v>
      </c>
      <c r="R54" s="12">
        <f>'2020-21 Policy and Econ'!R$80</f>
        <v>559.15984975550043</v>
      </c>
      <c r="S54" s="12">
        <f>'2020-21 Policy and Econ'!S$80</f>
        <v>533.22108894835037</v>
      </c>
      <c r="T54" s="12">
        <f>'2020-21 Policy and Econ'!T$80</f>
        <v>507.37405934793293</v>
      </c>
      <c r="U54" s="12">
        <f>'2020-21 Policy and Econ'!U$80</f>
        <v>481.61384716403626</v>
      </c>
      <c r="V54" s="12">
        <f>'2020-21 Policy and Econ'!V$80</f>
        <v>455.93611152583452</v>
      </c>
      <c r="W54" s="12">
        <f>'2020-21 Policy and Econ'!W$80</f>
        <v>430.33672860604275</v>
      </c>
    </row>
    <row r="55" spans="1:23" x14ac:dyDescent="0.2">
      <c r="A55" s="10">
        <f t="shared" si="15"/>
        <v>43</v>
      </c>
      <c r="D55" s="3" t="str">
        <f t="shared" si="14"/>
        <v>ClrdoRvr</v>
      </c>
      <c r="I55" s="12">
        <f>ClrdoRvr!I$80</f>
        <v>0</v>
      </c>
      <c r="J55" s="12">
        <f>ClrdoRvr!J$80</f>
        <v>0</v>
      </c>
      <c r="K55" s="12">
        <f>ClrdoRvr!K$80</f>
        <v>2.4468801249999999</v>
      </c>
      <c r="L55" s="12">
        <f>ClrdoRvr!L$80</f>
        <v>4.7903637374999999</v>
      </c>
      <c r="M55" s="12">
        <f>ClrdoRvr!M$80</f>
        <v>4.5889837756249996</v>
      </c>
      <c r="N55" s="12">
        <f>ClrdoRvr!N$80</f>
        <v>4.3979099118437501</v>
      </c>
      <c r="O55" s="12">
        <f>ClrdoRvr!O$80</f>
        <v>4.2161530287515623</v>
      </c>
      <c r="P55" s="12">
        <f>ClrdoRvr!P$80</f>
        <v>4.0428208460639841</v>
      </c>
      <c r="Q55" s="12">
        <f>ClrdoRvr!Q$80</f>
        <v>3.8755583043857853</v>
      </c>
      <c r="R55" s="12">
        <f>ClrdoRvr!R$80</f>
        <v>3.7106939416664959</v>
      </c>
      <c r="S55" s="12">
        <f>ClrdoRvr!S$80</f>
        <v>3.5464716995831713</v>
      </c>
      <c r="T55" s="12">
        <f>ClrdoRvr!T$80</f>
        <v>3.3828594721040126</v>
      </c>
      <c r="U55" s="12">
        <f>ClrdoRvr!U$80</f>
        <v>3.2198267584988121</v>
      </c>
      <c r="V55" s="12">
        <f>ClrdoRvr!V$80</f>
        <v>3.0573445830738715</v>
      </c>
      <c r="W55" s="12">
        <f>ClrdoRvr!W$80</f>
        <v>2.8953854189201778</v>
      </c>
    </row>
    <row r="56" spans="1:23" x14ac:dyDescent="0.2">
      <c r="A56" s="10">
        <f t="shared" si="15"/>
        <v>44</v>
      </c>
      <c r="D56" s="3" t="str">
        <f t="shared" si="14"/>
        <v>Red Bluff 2nd 'AA' Bank</v>
      </c>
      <c r="I56" s="12">
        <f>'Red Bluff 2AA Bank'!I$80</f>
        <v>0</v>
      </c>
      <c r="J56" s="12">
        <f>'Red Bluff 2AA Bank'!J$80</f>
        <v>2.4468801249999999</v>
      </c>
      <c r="K56" s="12">
        <f>'Red Bluff 2AA Bank'!K$80</f>
        <v>7.2372438624999997</v>
      </c>
      <c r="L56" s="12">
        <f>'Red Bluff 2AA Bank'!L$80</f>
        <v>9.3793475131249995</v>
      </c>
      <c r="M56" s="12">
        <f>'Red Bluff 2AA Bank'!M$80</f>
        <v>8.9868936874687506</v>
      </c>
      <c r="N56" s="12">
        <f>'Red Bluff 2AA Bank'!N$80</f>
        <v>8.6140629405953124</v>
      </c>
      <c r="O56" s="12">
        <f>'Red Bluff 2AA Bank'!O$80</f>
        <v>8.2589738748155472</v>
      </c>
      <c r="P56" s="12">
        <f>'Red Bluff 2AA Bank'!P$80</f>
        <v>7.9183791504497698</v>
      </c>
      <c r="Q56" s="12">
        <f>'Red Bluff 2AA Bank'!Q$80</f>
        <v>7.5862522460522808</v>
      </c>
      <c r="R56" s="12">
        <f>'Red Bluff 2AA Bank'!R$80</f>
        <v>7.2571656412496672</v>
      </c>
      <c r="S56" s="12">
        <f>'Red Bluff 2AA Bank'!S$80</f>
        <v>6.9293311716871839</v>
      </c>
      <c r="T56" s="12">
        <f>'Red Bluff 2AA Bank'!T$80</f>
        <v>6.6026862306028242</v>
      </c>
      <c r="U56" s="12">
        <f>'Red Bluff 2AA Bank'!U$80</f>
        <v>6.2771713415726831</v>
      </c>
      <c r="V56" s="12">
        <f>'Red Bluff 2AA Bank'!V$80</f>
        <v>5.9527300019940492</v>
      </c>
      <c r="W56" s="12">
        <f>'Red Bluff 2AA Bank'!W$80</f>
        <v>5.6293085343943465</v>
      </c>
    </row>
    <row r="57" spans="1:23" x14ac:dyDescent="0.2">
      <c r="A57" s="10">
        <f t="shared" si="15"/>
        <v>45</v>
      </c>
      <c r="D57" s="3" t="str">
        <f t="shared" si="14"/>
        <v>Calcite</v>
      </c>
      <c r="I57" s="12">
        <f>Calcite!I$80</f>
        <v>0</v>
      </c>
      <c r="J57" s="12">
        <f>Calcite!J$80</f>
        <v>9.0146656624999988</v>
      </c>
      <c r="K57" s="12">
        <f>Calcite!K$80</f>
        <v>26.646556609736479</v>
      </c>
      <c r="L57" s="12">
        <f>Calcite!L$80</f>
        <v>43.327488903130572</v>
      </c>
      <c r="M57" s="12">
        <f>Calcite!M$80</f>
        <v>50.312912834408515</v>
      </c>
      <c r="N57" s="12">
        <f>Calcite!N$80</f>
        <v>48.211092262514008</v>
      </c>
      <c r="O57" s="12">
        <f>Calcite!O$80</f>
        <v>46.213510560595964</v>
      </c>
      <c r="P57" s="12">
        <f>Calcite!P$80</f>
        <v>44.310177253596848</v>
      </c>
      <c r="Q57" s="12">
        <f>Calcite!Q$80</f>
        <v>42.480909889444476</v>
      </c>
      <c r="R57" s="12">
        <f>Calcite!R$80</f>
        <v>40.690774189783312</v>
      </c>
      <c r="S57" s="12">
        <f>Calcite!S$80</f>
        <v>38.913898969802972</v>
      </c>
      <c r="T57" s="12">
        <f>Calcite!T$80</f>
        <v>37.14373106776943</v>
      </c>
      <c r="U57" s="12">
        <f>Calcite!U$80</f>
        <v>35.379935117785337</v>
      </c>
      <c r="V57" s="12">
        <f>Calcite!V$80</f>
        <v>33.62219252224822</v>
      </c>
      <c r="W57" s="12">
        <f>Calcite!W$80</f>
        <v>31.870200613435742</v>
      </c>
    </row>
    <row r="58" spans="1:23" x14ac:dyDescent="0.2">
      <c r="A58" s="10">
        <f t="shared" si="15"/>
        <v>46</v>
      </c>
      <c r="D58" s="3" t="str">
        <f t="shared" si="14"/>
        <v>New Project 10</v>
      </c>
      <c r="I58" s="12">
        <f>'New Project 10'!I$80</f>
        <v>0</v>
      </c>
      <c r="J58" s="12">
        <f>'New Project 10'!J$80</f>
        <v>0</v>
      </c>
      <c r="K58" s="12">
        <f>'New Project 10'!K$80</f>
        <v>0</v>
      </c>
      <c r="L58" s="12">
        <f>'New Project 10'!L$80</f>
        <v>0</v>
      </c>
      <c r="M58" s="12">
        <f>'New Project 10'!M$80</f>
        <v>0</v>
      </c>
      <c r="N58" s="12">
        <f>'New Project 10'!N$80</f>
        <v>0</v>
      </c>
      <c r="O58" s="12">
        <f>'New Project 10'!O$80</f>
        <v>0</v>
      </c>
      <c r="P58" s="12">
        <f>'New Project 10'!P$80</f>
        <v>0</v>
      </c>
      <c r="Q58" s="12">
        <f>'New Project 10'!Q$80</f>
        <v>0</v>
      </c>
      <c r="R58" s="12">
        <f>'New Project 10'!R$80</f>
        <v>0</v>
      </c>
      <c r="S58" s="12">
        <f>'New Project 10'!S$80</f>
        <v>0</v>
      </c>
      <c r="T58" s="12">
        <f>'New Project 10'!T$80</f>
        <v>0</v>
      </c>
      <c r="U58" s="12">
        <f>'New Project 10'!U$80</f>
        <v>0</v>
      </c>
      <c r="V58" s="12">
        <f>'New Project 10'!V$80</f>
        <v>0</v>
      </c>
      <c r="W58" s="12">
        <f>'New Project 10'!W$80</f>
        <v>0</v>
      </c>
    </row>
    <row r="59" spans="1:23" x14ac:dyDescent="0.2">
      <c r="A59" s="10">
        <f t="shared" si="15"/>
        <v>47</v>
      </c>
      <c r="D59" s="3" t="str">
        <f t="shared" si="14"/>
        <v>New Project 11</v>
      </c>
      <c r="I59" s="12">
        <f>'New Project 11'!I$80</f>
        <v>0</v>
      </c>
      <c r="J59" s="12">
        <f>'New Project 11'!J$80</f>
        <v>0</v>
      </c>
      <c r="K59" s="12">
        <f>'New Project 11'!K$80</f>
        <v>0</v>
      </c>
      <c r="L59" s="12">
        <f>'New Project 11'!L$80</f>
        <v>0</v>
      </c>
      <c r="M59" s="12">
        <f>'New Project 11'!M$80</f>
        <v>0</v>
      </c>
      <c r="N59" s="12">
        <f>'New Project 11'!N$80</f>
        <v>0</v>
      </c>
      <c r="O59" s="12">
        <f>'New Project 11'!O$80</f>
        <v>0</v>
      </c>
      <c r="P59" s="12">
        <f>'New Project 11'!P$80</f>
        <v>0</v>
      </c>
      <c r="Q59" s="12">
        <f>'New Project 11'!Q$80</f>
        <v>0</v>
      </c>
      <c r="R59" s="12">
        <f>'New Project 11'!R$80</f>
        <v>0</v>
      </c>
      <c r="S59" s="12">
        <f>'New Project 11'!S$80</f>
        <v>0</v>
      </c>
      <c r="T59" s="12">
        <f>'New Project 11'!T$80</f>
        <v>0</v>
      </c>
      <c r="U59" s="12">
        <f>'New Project 11'!U$80</f>
        <v>0</v>
      </c>
      <c r="V59" s="12">
        <f>'New Project 11'!V$80</f>
        <v>0</v>
      </c>
      <c r="W59" s="12">
        <f>'New Project 11'!W$80</f>
        <v>0</v>
      </c>
    </row>
    <row r="60" spans="1:23" x14ac:dyDescent="0.2">
      <c r="A60" s="10">
        <f t="shared" si="15"/>
        <v>48</v>
      </c>
      <c r="D60" s="3" t="str">
        <f t="shared" si="14"/>
        <v>New Project 12</v>
      </c>
      <c r="I60" s="12">
        <f>'New Project 12'!I$80</f>
        <v>0</v>
      </c>
      <c r="J60" s="12">
        <f>'New Project 12'!J$80</f>
        <v>0</v>
      </c>
      <c r="K60" s="12">
        <f>'New Project 12'!K$80</f>
        <v>0</v>
      </c>
      <c r="L60" s="12">
        <f>'New Project 12'!L$80</f>
        <v>0</v>
      </c>
      <c r="M60" s="12">
        <f>'New Project 12'!M$80</f>
        <v>0</v>
      </c>
      <c r="N60" s="12">
        <f>'New Project 12'!N$80</f>
        <v>0</v>
      </c>
      <c r="O60" s="12">
        <f>'New Project 12'!O$80</f>
        <v>0</v>
      </c>
      <c r="P60" s="12">
        <f>'New Project 12'!P$80</f>
        <v>0</v>
      </c>
      <c r="Q60" s="12">
        <f>'New Project 12'!Q$80</f>
        <v>0</v>
      </c>
      <c r="R60" s="12">
        <f>'New Project 12'!R$80</f>
        <v>0</v>
      </c>
      <c r="S60" s="12">
        <f>'New Project 12'!S$80</f>
        <v>0</v>
      </c>
      <c r="T60" s="12">
        <f>'New Project 12'!T$80</f>
        <v>0</v>
      </c>
      <c r="U60" s="12">
        <f>'New Project 12'!U$80</f>
        <v>0</v>
      </c>
      <c r="V60" s="12">
        <f>'New Project 12'!V$80</f>
        <v>0</v>
      </c>
      <c r="W60" s="12">
        <f>'New Project 12'!W$80</f>
        <v>0</v>
      </c>
    </row>
    <row r="61" spans="1:23" x14ac:dyDescent="0.2">
      <c r="A61" s="10">
        <f t="shared" si="15"/>
        <v>49</v>
      </c>
      <c r="D61" s="3" t="str">
        <f t="shared" si="14"/>
        <v>Total</v>
      </c>
      <c r="I61" s="20">
        <f t="shared" ref="I61:W61" si="16">SUM(I48:I60)</f>
        <v>13187.905915268415</v>
      </c>
      <c r="J61" s="20">
        <f t="shared" si="16"/>
        <v>13596.61210542703</v>
      </c>
      <c r="K61" s="20">
        <f t="shared" si="16"/>
        <v>14061.177880492798</v>
      </c>
      <c r="L61" s="20">
        <f t="shared" si="16"/>
        <v>14439.344467152874</v>
      </c>
      <c r="M61" s="20">
        <f t="shared" si="16"/>
        <v>14463.109946649531</v>
      </c>
      <c r="N61" s="20">
        <f t="shared" si="16"/>
        <v>14630.978623578138</v>
      </c>
      <c r="O61" s="20">
        <f t="shared" si="16"/>
        <v>14804.640686446359</v>
      </c>
      <c r="P61" s="20">
        <f t="shared" si="16"/>
        <v>14649.184254702071</v>
      </c>
      <c r="Q61" s="20">
        <f t="shared" si="16"/>
        <v>14375.070450362658</v>
      </c>
      <c r="R61" s="20">
        <f t="shared" si="16"/>
        <v>13993.343199987125</v>
      </c>
      <c r="S61" s="20">
        <f t="shared" si="16"/>
        <v>13609.755157915333</v>
      </c>
      <c r="T61" s="20">
        <f t="shared" si="16"/>
        <v>13223.415773239121</v>
      </c>
      <c r="U61" s="20">
        <f t="shared" si="16"/>
        <v>12833.393707638681</v>
      </c>
      <c r="V61" s="20">
        <f t="shared" si="16"/>
        <v>12439.015567703715</v>
      </c>
      <c r="W61" s="20">
        <f t="shared" si="16"/>
        <v>12039.92612107294</v>
      </c>
    </row>
    <row r="62" spans="1:23" x14ac:dyDescent="0.2">
      <c r="A62" s="10">
        <f t="shared" si="15"/>
        <v>50</v>
      </c>
      <c r="E62" s="11" t="s">
        <v>6</v>
      </c>
      <c r="J62" s="33">
        <f t="shared" ref="J62:W62" si="17">J61/I61-1</f>
        <v>3.0990984678274991E-2</v>
      </c>
      <c r="K62" s="33">
        <f t="shared" si="17"/>
        <v>3.4167759693632727E-2</v>
      </c>
      <c r="L62" s="33">
        <f t="shared" si="17"/>
        <v>2.689437470133349E-2</v>
      </c>
      <c r="M62" s="33">
        <f t="shared" si="17"/>
        <v>1.6458835476027556E-3</v>
      </c>
      <c r="N62" s="33">
        <f t="shared" si="17"/>
        <v>1.1606679168438161E-2</v>
      </c>
      <c r="O62" s="33">
        <f t="shared" si="17"/>
        <v>1.1869476904871057E-2</v>
      </c>
      <c r="P62" s="33">
        <f t="shared" si="17"/>
        <v>-1.0500520413616488E-2</v>
      </c>
      <c r="Q62" s="33">
        <f t="shared" si="17"/>
        <v>-1.8711881806758535E-2</v>
      </c>
      <c r="R62" s="33">
        <f t="shared" si="17"/>
        <v>-2.6554809014233682E-2</v>
      </c>
      <c r="S62" s="33">
        <f t="shared" si="17"/>
        <v>-2.7412179962265526E-2</v>
      </c>
      <c r="T62" s="33">
        <f t="shared" si="17"/>
        <v>-2.8386945995242274E-2</v>
      </c>
      <c r="U62" s="33">
        <f t="shared" si="17"/>
        <v>-2.9494804692577814E-2</v>
      </c>
      <c r="V62" s="33">
        <f t="shared" si="17"/>
        <v>-3.0730619578843377E-2</v>
      </c>
      <c r="W62" s="33">
        <f t="shared" si="17"/>
        <v>-3.2083684151578584E-2</v>
      </c>
    </row>
    <row r="64" spans="1:23" x14ac:dyDescent="0.2">
      <c r="A64" s="59"/>
      <c r="B64" s="59"/>
      <c r="C64" s="60" t="s">
        <v>99</v>
      </c>
      <c r="D64" s="59"/>
      <c r="E64" s="59"/>
    </row>
    <row r="65" spans="1:23" x14ac:dyDescent="0.2">
      <c r="A65" s="10">
        <f>A62+1</f>
        <v>51</v>
      </c>
      <c r="D65" s="3" t="str">
        <f t="shared" ref="D65:D78" si="18">D7</f>
        <v>Existing Facilities</v>
      </c>
      <c r="I65" s="12">
        <f>Existing!I175</f>
        <v>931.64883059505814</v>
      </c>
      <c r="J65" s="12">
        <f>Existing!J175</f>
        <v>950.28180720695934</v>
      </c>
      <c r="K65" s="12">
        <f>Existing!K175</f>
        <v>969.28744335109855</v>
      </c>
      <c r="L65" s="12">
        <f>Existing!L175</f>
        <v>988.67319221812056</v>
      </c>
      <c r="M65" s="12">
        <f>Existing!M175</f>
        <v>1008.446656062483</v>
      </c>
      <c r="N65" s="12">
        <f>Existing!N175</f>
        <v>1028.6155891837327</v>
      </c>
      <c r="O65" s="12">
        <f>Existing!O175</f>
        <v>1049.1879009674074</v>
      </c>
      <c r="P65" s="12">
        <f>Existing!P175</f>
        <v>1070.1716589867556</v>
      </c>
      <c r="Q65" s="12">
        <f>Existing!Q175</f>
        <v>1091.5750921664908</v>
      </c>
      <c r="R65" s="12">
        <f>Existing!R175</f>
        <v>1113.4065940098205</v>
      </c>
      <c r="S65" s="12">
        <f>Existing!S175</f>
        <v>1135.674725890017</v>
      </c>
      <c r="T65" s="12">
        <f>Existing!T175</f>
        <v>1158.3882204078175</v>
      </c>
      <c r="U65" s="12">
        <f>Existing!U175</f>
        <v>1181.5559848159739</v>
      </c>
      <c r="V65" s="12">
        <f>Existing!V175</f>
        <v>1205.1871045122934</v>
      </c>
      <c r="W65" s="12">
        <f>Existing!W175</f>
        <v>1229.2908466025394</v>
      </c>
    </row>
    <row r="66" spans="1:23" x14ac:dyDescent="0.2">
      <c r="A66" s="10">
        <f t="shared" ref="A66:A79" si="19">A65+1</f>
        <v>52</v>
      </c>
      <c r="D66" s="3" t="str">
        <f t="shared" si="18"/>
        <v>Reliability</v>
      </c>
      <c r="I66" s="12">
        <f>Reliability!I88</f>
        <v>0</v>
      </c>
      <c r="J66" s="12">
        <f>Reliability!J88</f>
        <v>7.36</v>
      </c>
      <c r="K66" s="12">
        <f>Reliability!K88</f>
        <v>10.9072</v>
      </c>
      <c r="L66" s="12">
        <f>Reliability!L88</f>
        <v>24.525344</v>
      </c>
      <c r="M66" s="12">
        <f>Reliability!M88</f>
        <v>34.435850880000004</v>
      </c>
      <c r="N66" s="12">
        <f>Reliability!N88</f>
        <v>38.504567897600005</v>
      </c>
      <c r="O66" s="12">
        <f>Reliability!O88</f>
        <v>56.014659255552004</v>
      </c>
      <c r="P66" s="12">
        <f>Reliability!P88</f>
        <v>61.614952440663046</v>
      </c>
      <c r="Q66" s="12">
        <f>Reliability!Q88</f>
        <v>67.027251489476299</v>
      </c>
      <c r="R66" s="12">
        <f>Reliability!R88</f>
        <v>68.367796519265823</v>
      </c>
      <c r="S66" s="12">
        <f>Reliability!S88</f>
        <v>69.735152449651139</v>
      </c>
      <c r="T66" s="12">
        <f>Reliability!T88</f>
        <v>71.129855498644162</v>
      </c>
      <c r="U66" s="12">
        <f>Reliability!U88</f>
        <v>72.552452608617045</v>
      </c>
      <c r="V66" s="12">
        <f>Reliability!V88</f>
        <v>74.003501660789382</v>
      </c>
      <c r="W66" s="12">
        <f>Reliability!W88</f>
        <v>75.483571694005178</v>
      </c>
    </row>
    <row r="67" spans="1:23" x14ac:dyDescent="0.2">
      <c r="A67" s="10">
        <f t="shared" si="19"/>
        <v>53</v>
      </c>
      <c r="D67" s="3" t="str">
        <f t="shared" si="18"/>
        <v>South CC(Completed)</v>
      </c>
      <c r="I67" s="12">
        <f>'South CC'!I88</f>
        <v>0</v>
      </c>
      <c r="J67" s="12">
        <f>'South CC'!J88</f>
        <v>0</v>
      </c>
      <c r="K67" s="12">
        <f>'South CC'!K88</f>
        <v>0</v>
      </c>
      <c r="L67" s="12">
        <f>'South CC'!L88</f>
        <v>0</v>
      </c>
      <c r="M67" s="12">
        <f>'South CC'!M88</f>
        <v>0</v>
      </c>
      <c r="N67" s="12">
        <f>'South CC'!N88</f>
        <v>0</v>
      </c>
      <c r="O67" s="12">
        <f>'South CC'!O88</f>
        <v>0</v>
      </c>
      <c r="P67" s="12">
        <f>'South CC'!P88</f>
        <v>0</v>
      </c>
      <c r="Q67" s="12">
        <f>'South CC'!Q88</f>
        <v>0</v>
      </c>
      <c r="R67" s="12">
        <f>'South CC'!R88</f>
        <v>0</v>
      </c>
      <c r="S67" s="12">
        <f>'South CC'!S88</f>
        <v>0</v>
      </c>
      <c r="T67" s="12">
        <f>'South CC'!T88</f>
        <v>0</v>
      </c>
      <c r="U67" s="12">
        <f>'South CC'!U88</f>
        <v>0</v>
      </c>
      <c r="V67" s="12">
        <f>'South CC'!V88</f>
        <v>0</v>
      </c>
      <c r="W67" s="12">
        <f>'South CC'!W88</f>
        <v>0</v>
      </c>
    </row>
    <row r="68" spans="1:23" x14ac:dyDescent="0.2">
      <c r="A68" s="10">
        <f t="shared" si="19"/>
        <v>54</v>
      </c>
      <c r="D68" s="3" t="str">
        <f t="shared" si="18"/>
        <v>Tehachapi (Completed)</v>
      </c>
      <c r="I68" s="12">
        <f>Tehachapi!I88</f>
        <v>0</v>
      </c>
      <c r="J68" s="12">
        <f>Tehachapi!J88</f>
        <v>0</v>
      </c>
      <c r="K68" s="12">
        <f>Tehachapi!K88</f>
        <v>0</v>
      </c>
      <c r="L68" s="12">
        <f>Tehachapi!L88</f>
        <v>0</v>
      </c>
      <c r="M68" s="12">
        <f>Tehachapi!M88</f>
        <v>0</v>
      </c>
      <c r="N68" s="12">
        <f>Tehachapi!N88</f>
        <v>0</v>
      </c>
      <c r="O68" s="12">
        <f>Tehachapi!O88</f>
        <v>0</v>
      </c>
      <c r="P68" s="12">
        <f>Tehachapi!P88</f>
        <v>0</v>
      </c>
      <c r="Q68" s="12">
        <f>Tehachapi!Q88</f>
        <v>0</v>
      </c>
      <c r="R68" s="12">
        <f>Tehachapi!R88</f>
        <v>0</v>
      </c>
      <c r="S68" s="12">
        <f>Tehachapi!S88</f>
        <v>0</v>
      </c>
      <c r="T68" s="12">
        <f>Tehachapi!T88</f>
        <v>0</v>
      </c>
      <c r="U68" s="12">
        <f>Tehachapi!U88</f>
        <v>0</v>
      </c>
      <c r="V68" s="12">
        <f>Tehachapi!V88</f>
        <v>0</v>
      </c>
      <c r="W68" s="12">
        <f>Tehachapi!W88</f>
        <v>0</v>
      </c>
    </row>
    <row r="69" spans="1:23" x14ac:dyDescent="0.2">
      <c r="A69" s="10">
        <f t="shared" si="19"/>
        <v>55</v>
      </c>
      <c r="D69" s="3" t="str">
        <f t="shared" si="18"/>
        <v>WOD</v>
      </c>
      <c r="I69" s="12">
        <f>WOD!I88</f>
        <v>0</v>
      </c>
      <c r="J69" s="12">
        <f>WOD!J88</f>
        <v>0</v>
      </c>
      <c r="K69" s="12">
        <f>WOD!K88</f>
        <v>1.86</v>
      </c>
      <c r="L69" s="12">
        <f>WOD!L88</f>
        <v>1.8972000000000002</v>
      </c>
      <c r="M69" s="12">
        <f>WOD!M88</f>
        <v>1.9351440000000002</v>
      </c>
      <c r="N69" s="12">
        <f>WOD!N88</f>
        <v>1.9738468800000002</v>
      </c>
      <c r="O69" s="12">
        <f>WOD!O88</f>
        <v>2.0133238176000003</v>
      </c>
      <c r="P69" s="12">
        <f>WOD!P88</f>
        <v>2.0535902939520003</v>
      </c>
      <c r="Q69" s="12">
        <f>WOD!Q88</f>
        <v>2.0946620998310403</v>
      </c>
      <c r="R69" s="12">
        <f>WOD!R88</f>
        <v>2.1365553418276613</v>
      </c>
      <c r="S69" s="12">
        <f>WOD!S88</f>
        <v>2.1792864486642145</v>
      </c>
      <c r="T69" s="12">
        <f>WOD!T88</f>
        <v>2.2228721776374987</v>
      </c>
      <c r="U69" s="12">
        <f>WOD!U88</f>
        <v>2.2673296211902487</v>
      </c>
      <c r="V69" s="12">
        <f>WOD!V88</f>
        <v>2.3126762136140537</v>
      </c>
      <c r="W69" s="12">
        <f>WOD!W88</f>
        <v>2.358929737886335</v>
      </c>
    </row>
    <row r="70" spans="1:23" x14ac:dyDescent="0.2">
      <c r="A70" s="10">
        <f t="shared" si="19"/>
        <v>56</v>
      </c>
      <c r="D70" s="3" t="str">
        <f t="shared" si="18"/>
        <v>CW-Lugo(Completed)</v>
      </c>
      <c r="I70" s="12">
        <f>'CW-Lugo'!I88</f>
        <v>0</v>
      </c>
      <c r="J70" s="12">
        <f>'CW-Lugo'!J88</f>
        <v>0</v>
      </c>
      <c r="K70" s="12">
        <f>'CW-Lugo'!K88</f>
        <v>0</v>
      </c>
      <c r="L70" s="12">
        <f>'CW-Lugo'!L88</f>
        <v>0</v>
      </c>
      <c r="M70" s="12">
        <f>'CW-Lugo'!M88</f>
        <v>0</v>
      </c>
      <c r="N70" s="12">
        <f>'CW-Lugo'!N88</f>
        <v>0</v>
      </c>
      <c r="O70" s="12">
        <f>'CW-Lugo'!O88</f>
        <v>0</v>
      </c>
      <c r="P70" s="12">
        <f>'CW-Lugo'!P88</f>
        <v>0</v>
      </c>
      <c r="Q70" s="12">
        <f>'CW-Lugo'!Q88</f>
        <v>0</v>
      </c>
      <c r="R70" s="12">
        <f>'CW-Lugo'!R88</f>
        <v>0</v>
      </c>
      <c r="S70" s="12">
        <f>'CW-Lugo'!S88</f>
        <v>0</v>
      </c>
      <c r="T70" s="12">
        <f>'CW-Lugo'!T88</f>
        <v>0</v>
      </c>
      <c r="U70" s="12">
        <f>'CW-Lugo'!U88</f>
        <v>0</v>
      </c>
      <c r="V70" s="12">
        <f>'CW-Lugo'!V88</f>
        <v>0</v>
      </c>
      <c r="W70" s="12">
        <f>'CW-Lugo'!W88</f>
        <v>0</v>
      </c>
    </row>
    <row r="71" spans="1:23" x14ac:dyDescent="0.2">
      <c r="A71" s="10">
        <f t="shared" si="19"/>
        <v>57</v>
      </c>
      <c r="D71" s="3" t="str">
        <f t="shared" si="18"/>
        <v>2019-20 Policy and Econ</v>
      </c>
      <c r="I71" s="12">
        <f>'2020-21 Policy and Econ'!I88</f>
        <v>0</v>
      </c>
      <c r="J71" s="12">
        <f>'2020-21 Policy and Econ'!J88</f>
        <v>5.84</v>
      </c>
      <c r="K71" s="12">
        <f>'2020-21 Policy and Econ'!K88</f>
        <v>12.716799999999999</v>
      </c>
      <c r="L71" s="12">
        <f>'2020-21 Policy and Econ'!L88</f>
        <v>15.711136</v>
      </c>
      <c r="M71" s="12">
        <f>'2020-21 Policy and Econ'!M88</f>
        <v>16.52535872</v>
      </c>
      <c r="N71" s="12">
        <f>'2020-21 Policy and Econ'!N88</f>
        <v>16.8758658944</v>
      </c>
      <c r="O71" s="12">
        <f>'2020-21 Policy and Econ'!O88</f>
        <v>17.213383212288001</v>
      </c>
      <c r="P71" s="12">
        <f>'2020-21 Policy and Econ'!P88</f>
        <v>17.55765087653376</v>
      </c>
      <c r="Q71" s="12">
        <f>'2020-21 Policy and Econ'!Q88</f>
        <v>17.908803894064434</v>
      </c>
      <c r="R71" s="12">
        <f>'2020-21 Policy and Econ'!R88</f>
        <v>18.266979971945723</v>
      </c>
      <c r="S71" s="12">
        <f>'2020-21 Policy and Econ'!S88</f>
        <v>18.632319571384638</v>
      </c>
      <c r="T71" s="12">
        <f>'2020-21 Policy and Econ'!T88</f>
        <v>19.004965962812332</v>
      </c>
      <c r="U71" s="12">
        <f>'2020-21 Policy and Econ'!U88</f>
        <v>19.385065282068577</v>
      </c>
      <c r="V71" s="12">
        <f>'2020-21 Policy and Econ'!V88</f>
        <v>19.772766587709949</v>
      </c>
      <c r="W71" s="12">
        <f>'2020-21 Policy and Econ'!W88</f>
        <v>20.168221919464148</v>
      </c>
    </row>
    <row r="72" spans="1:23" x14ac:dyDescent="0.2">
      <c r="A72" s="10">
        <f t="shared" si="19"/>
        <v>58</v>
      </c>
      <c r="D72" s="3" t="str">
        <f t="shared" si="18"/>
        <v>ClrdoRvr</v>
      </c>
      <c r="I72" s="12">
        <f>ClrdoRvr!I88</f>
        <v>0</v>
      </c>
      <c r="J72" s="12">
        <f>ClrdoRvr!J88</f>
        <v>0</v>
      </c>
      <c r="K72" s="12">
        <f>ClrdoRvr!K88</f>
        <v>0</v>
      </c>
      <c r="L72" s="12">
        <f>ClrdoRvr!L88</f>
        <v>0.1</v>
      </c>
      <c r="M72" s="12">
        <f>ClrdoRvr!M88</f>
        <v>0.10200000000000001</v>
      </c>
      <c r="N72" s="12">
        <f>ClrdoRvr!N88</f>
        <v>0.10404000000000001</v>
      </c>
      <c r="O72" s="12">
        <f>ClrdoRvr!O88</f>
        <v>0.10612080000000002</v>
      </c>
      <c r="P72" s="12">
        <f>ClrdoRvr!P88</f>
        <v>0.10824321600000002</v>
      </c>
      <c r="Q72" s="12">
        <f>ClrdoRvr!Q88</f>
        <v>0.11040808032000002</v>
      </c>
      <c r="R72" s="12">
        <f>ClrdoRvr!R88</f>
        <v>0.11261624192640002</v>
      </c>
      <c r="S72" s="12">
        <f>ClrdoRvr!S88</f>
        <v>0.11486856676492802</v>
      </c>
      <c r="T72" s="12">
        <f>ClrdoRvr!T88</f>
        <v>0.11716593810022657</v>
      </c>
      <c r="U72" s="12">
        <f>ClrdoRvr!U88</f>
        <v>0.11950925686223111</v>
      </c>
      <c r="V72" s="12">
        <f>ClrdoRvr!V88</f>
        <v>0.12189944199947574</v>
      </c>
      <c r="W72" s="12">
        <f>ClrdoRvr!W88</f>
        <v>0.12433743083946525</v>
      </c>
    </row>
    <row r="73" spans="1:23" x14ac:dyDescent="0.2">
      <c r="A73" s="10">
        <f t="shared" si="19"/>
        <v>59</v>
      </c>
      <c r="D73" s="3" t="str">
        <f t="shared" si="18"/>
        <v>Red Bluff 2nd 'AA' Bank</v>
      </c>
      <c r="I73" s="12">
        <f>'Red Bluff 2AA Bank'!I88</f>
        <v>0</v>
      </c>
      <c r="J73" s="12">
        <f>'Red Bluff 2AA Bank'!J88</f>
        <v>0</v>
      </c>
      <c r="K73" s="12">
        <f>'Red Bluff 2AA Bank'!K88</f>
        <v>0.1</v>
      </c>
      <c r="L73" s="12">
        <f>'Red Bluff 2AA Bank'!L88</f>
        <v>0.20200000000000001</v>
      </c>
      <c r="M73" s="12">
        <f>'Red Bluff 2AA Bank'!M88</f>
        <v>0.20604000000000003</v>
      </c>
      <c r="N73" s="12">
        <f>'Red Bluff 2AA Bank'!N88</f>
        <v>0.21016080000000004</v>
      </c>
      <c r="O73" s="12">
        <f>'Red Bluff 2AA Bank'!O88</f>
        <v>0.21436401600000005</v>
      </c>
      <c r="P73" s="12">
        <f>'Red Bluff 2AA Bank'!P88</f>
        <v>0.21865129632000005</v>
      </c>
      <c r="Q73" s="12">
        <f>'Red Bluff 2AA Bank'!Q88</f>
        <v>0.22302432224640006</v>
      </c>
      <c r="R73" s="12">
        <f>'Red Bluff 2AA Bank'!R88</f>
        <v>0.22748480869132806</v>
      </c>
      <c r="S73" s="12">
        <f>'Red Bluff 2AA Bank'!S88</f>
        <v>0.23203450486515462</v>
      </c>
      <c r="T73" s="12">
        <f>'Red Bluff 2AA Bank'!T88</f>
        <v>0.2366751949624577</v>
      </c>
      <c r="U73" s="12">
        <f>'Red Bluff 2AA Bank'!U88</f>
        <v>0.24140869886170685</v>
      </c>
      <c r="V73" s="12">
        <f>'Red Bluff 2AA Bank'!V88</f>
        <v>0.246236872838941</v>
      </c>
      <c r="W73" s="12">
        <f>'Red Bluff 2AA Bank'!W88</f>
        <v>0.25116161029571982</v>
      </c>
    </row>
    <row r="74" spans="1:23" x14ac:dyDescent="0.2">
      <c r="A74" s="10">
        <f t="shared" si="19"/>
        <v>60</v>
      </c>
      <c r="D74" s="3" t="str">
        <f t="shared" si="18"/>
        <v>Calcite</v>
      </c>
      <c r="I74" s="12">
        <f>Calcite!I88</f>
        <v>0</v>
      </c>
      <c r="J74" s="12">
        <f>Calcite!J88</f>
        <v>0</v>
      </c>
      <c r="K74" s="12">
        <f>Calcite!K88</f>
        <v>0</v>
      </c>
      <c r="L74" s="12">
        <f>Calcite!L88</f>
        <v>0.72058662650000005</v>
      </c>
      <c r="M74" s="12">
        <f>Calcite!M88</f>
        <v>1.0949983590300001</v>
      </c>
      <c r="N74" s="12">
        <f>Calcite!N88</f>
        <v>1.1168983262106</v>
      </c>
      <c r="O74" s="12">
        <f>Calcite!O88</f>
        <v>1.1392362927348121</v>
      </c>
      <c r="P74" s="12">
        <f>Calcite!P88</f>
        <v>1.1620210185895083</v>
      </c>
      <c r="Q74" s="12">
        <f>Calcite!Q88</f>
        <v>1.1852614389612985</v>
      </c>
      <c r="R74" s="12">
        <f>Calcite!R88</f>
        <v>1.2089666677405246</v>
      </c>
      <c r="S74" s="12">
        <f>Calcite!S88</f>
        <v>1.2331460010953352</v>
      </c>
      <c r="T74" s="12">
        <f>Calcite!T88</f>
        <v>1.2578089211172419</v>
      </c>
      <c r="U74" s="12">
        <f>Calcite!U88</f>
        <v>1.2829650995395867</v>
      </c>
      <c r="V74" s="12">
        <f>Calcite!V88</f>
        <v>1.3086244015303785</v>
      </c>
      <c r="W74" s="12">
        <f>Calcite!W88</f>
        <v>1.3347968895609861</v>
      </c>
    </row>
    <row r="75" spans="1:23" x14ac:dyDescent="0.2">
      <c r="A75" s="10">
        <f t="shared" si="19"/>
        <v>61</v>
      </c>
      <c r="D75" s="3" t="str">
        <f t="shared" si="18"/>
        <v>New Project 10</v>
      </c>
      <c r="I75" s="12">
        <f>'New Project 10'!I88</f>
        <v>0</v>
      </c>
      <c r="J75" s="12">
        <f>'New Project 10'!J88</f>
        <v>0</v>
      </c>
      <c r="K75" s="12">
        <f>'New Project 10'!K88</f>
        <v>0</v>
      </c>
      <c r="L75" s="12">
        <f>'New Project 10'!L88</f>
        <v>0</v>
      </c>
      <c r="M75" s="12">
        <f>'New Project 10'!M88</f>
        <v>0</v>
      </c>
      <c r="N75" s="12">
        <f>'New Project 10'!N88</f>
        <v>0</v>
      </c>
      <c r="O75" s="12">
        <f>'New Project 10'!O88</f>
        <v>0</v>
      </c>
      <c r="P75" s="12">
        <f>'New Project 10'!P88</f>
        <v>0</v>
      </c>
      <c r="Q75" s="12">
        <f>'New Project 10'!Q88</f>
        <v>0</v>
      </c>
      <c r="R75" s="12">
        <f>'New Project 10'!R88</f>
        <v>0</v>
      </c>
      <c r="S75" s="12">
        <f>'New Project 10'!S88</f>
        <v>0</v>
      </c>
      <c r="T75" s="12">
        <f>'New Project 10'!T88</f>
        <v>0</v>
      </c>
      <c r="U75" s="12">
        <f>'New Project 10'!U88</f>
        <v>0</v>
      </c>
      <c r="V75" s="12">
        <f>'New Project 10'!V88</f>
        <v>0</v>
      </c>
      <c r="W75" s="12">
        <f>'New Project 10'!W88</f>
        <v>0</v>
      </c>
    </row>
    <row r="76" spans="1:23" x14ac:dyDescent="0.2">
      <c r="A76" s="10">
        <f t="shared" si="19"/>
        <v>62</v>
      </c>
      <c r="D76" s="3" t="str">
        <f t="shared" si="18"/>
        <v>New Project 11</v>
      </c>
      <c r="I76" s="12">
        <f>'New Project 11'!I88</f>
        <v>0</v>
      </c>
      <c r="J76" s="12">
        <f>'New Project 11'!J88</f>
        <v>0</v>
      </c>
      <c r="K76" s="12">
        <f>'New Project 11'!K88</f>
        <v>0</v>
      </c>
      <c r="L76" s="12">
        <f>'New Project 11'!L88</f>
        <v>0</v>
      </c>
      <c r="M76" s="12">
        <f>'New Project 11'!M88</f>
        <v>0</v>
      </c>
      <c r="N76" s="12">
        <f>'New Project 11'!N88</f>
        <v>0</v>
      </c>
      <c r="O76" s="12">
        <f>'New Project 11'!O88</f>
        <v>0</v>
      </c>
      <c r="P76" s="12">
        <f>'New Project 11'!P88</f>
        <v>0</v>
      </c>
      <c r="Q76" s="12">
        <f>'New Project 11'!Q88</f>
        <v>0</v>
      </c>
      <c r="R76" s="12">
        <f>'New Project 11'!R88</f>
        <v>0</v>
      </c>
      <c r="S76" s="12">
        <f>'New Project 11'!S88</f>
        <v>0</v>
      </c>
      <c r="T76" s="12">
        <f>'New Project 11'!T88</f>
        <v>0</v>
      </c>
      <c r="U76" s="12">
        <f>'New Project 11'!U88</f>
        <v>0</v>
      </c>
      <c r="V76" s="12">
        <f>'New Project 11'!V88</f>
        <v>0</v>
      </c>
      <c r="W76" s="12">
        <f>'New Project 11'!W88</f>
        <v>0</v>
      </c>
    </row>
    <row r="77" spans="1:23" x14ac:dyDescent="0.2">
      <c r="A77" s="10">
        <f t="shared" si="19"/>
        <v>63</v>
      </c>
      <c r="D77" s="3" t="str">
        <f t="shared" si="18"/>
        <v>New Project 12</v>
      </c>
      <c r="I77" s="12">
        <f>'New Project 12'!I88</f>
        <v>0</v>
      </c>
      <c r="J77" s="12">
        <f>'New Project 12'!J88</f>
        <v>0</v>
      </c>
      <c r="K77" s="12">
        <f>'New Project 12'!K88</f>
        <v>0</v>
      </c>
      <c r="L77" s="12">
        <f>'New Project 12'!L88</f>
        <v>0</v>
      </c>
      <c r="M77" s="12">
        <f>'New Project 12'!M88</f>
        <v>0</v>
      </c>
      <c r="N77" s="12">
        <f>'New Project 12'!N88</f>
        <v>0</v>
      </c>
      <c r="O77" s="12">
        <f>'New Project 12'!O88</f>
        <v>0</v>
      </c>
      <c r="P77" s="12">
        <f>'New Project 12'!P88</f>
        <v>0</v>
      </c>
      <c r="Q77" s="12">
        <f>'New Project 12'!Q88</f>
        <v>0</v>
      </c>
      <c r="R77" s="12">
        <f>'New Project 12'!R88</f>
        <v>0</v>
      </c>
      <c r="S77" s="12">
        <f>'New Project 12'!S88</f>
        <v>0</v>
      </c>
      <c r="T77" s="12">
        <f>'New Project 12'!T88</f>
        <v>0</v>
      </c>
      <c r="U77" s="12">
        <f>'New Project 12'!U88</f>
        <v>0</v>
      </c>
      <c r="V77" s="12">
        <f>'New Project 12'!V88</f>
        <v>0</v>
      </c>
      <c r="W77" s="12">
        <f>'New Project 12'!W88</f>
        <v>0</v>
      </c>
    </row>
    <row r="78" spans="1:23" x14ac:dyDescent="0.2">
      <c r="A78" s="10">
        <f t="shared" si="19"/>
        <v>64</v>
      </c>
      <c r="D78" s="3" t="str">
        <f t="shared" si="18"/>
        <v>Total</v>
      </c>
      <c r="I78" s="20">
        <f t="shared" ref="I78:W78" si="20">SUM(I65:I77)</f>
        <v>931.64883059505814</v>
      </c>
      <c r="J78" s="20">
        <f t="shared" si="20"/>
        <v>963.48180720695939</v>
      </c>
      <c r="K78" s="20">
        <f t="shared" si="20"/>
        <v>994.87144335109861</v>
      </c>
      <c r="L78" s="20">
        <f t="shared" si="20"/>
        <v>1031.8294588446206</v>
      </c>
      <c r="M78" s="20">
        <f t="shared" si="20"/>
        <v>1062.7460480215132</v>
      </c>
      <c r="N78" s="20">
        <f t="shared" si="20"/>
        <v>1087.4009689819434</v>
      </c>
      <c r="O78" s="20">
        <f t="shared" si="20"/>
        <v>1125.8889883615821</v>
      </c>
      <c r="P78" s="20">
        <f t="shared" si="20"/>
        <v>1152.8867681288139</v>
      </c>
      <c r="Q78" s="20">
        <f t="shared" si="20"/>
        <v>1180.1245034913904</v>
      </c>
      <c r="R78" s="20">
        <f t="shared" si="20"/>
        <v>1203.726993561218</v>
      </c>
      <c r="S78" s="20">
        <f t="shared" si="20"/>
        <v>1227.8015334324425</v>
      </c>
      <c r="T78" s="20">
        <f t="shared" si="20"/>
        <v>1252.3575641010914</v>
      </c>
      <c r="U78" s="20">
        <f t="shared" si="20"/>
        <v>1277.4047153831136</v>
      </c>
      <c r="V78" s="20">
        <f t="shared" si="20"/>
        <v>1302.9528096907752</v>
      </c>
      <c r="W78" s="20">
        <f t="shared" si="20"/>
        <v>1329.0118658845911</v>
      </c>
    </row>
    <row r="79" spans="1:23" x14ac:dyDescent="0.2">
      <c r="A79" s="10">
        <f t="shared" si="19"/>
        <v>65</v>
      </c>
      <c r="E79" s="11" t="s">
        <v>6</v>
      </c>
      <c r="J79" s="33">
        <f t="shared" ref="J79:W79" si="21">J78/I78-1</f>
        <v>3.4168428668094775E-2</v>
      </c>
      <c r="K79" s="33">
        <f t="shared" si="21"/>
        <v>3.2579376080939859E-2</v>
      </c>
      <c r="L79" s="33">
        <f t="shared" si="21"/>
        <v>3.7148533853814891E-2</v>
      </c>
      <c r="M79" s="33">
        <f t="shared" si="21"/>
        <v>2.9962886707568082E-2</v>
      </c>
      <c r="N79" s="33">
        <f t="shared" si="21"/>
        <v>2.3199259132818728E-2</v>
      </c>
      <c r="O79" s="33">
        <f t="shared" si="21"/>
        <v>3.5394505318192104E-2</v>
      </c>
      <c r="P79" s="33">
        <f t="shared" si="21"/>
        <v>2.3979077907600344E-2</v>
      </c>
      <c r="Q79" s="33">
        <f t="shared" si="21"/>
        <v>2.3625681303277135E-2</v>
      </c>
      <c r="R79" s="33">
        <f t="shared" si="21"/>
        <v>1.9999999999999796E-2</v>
      </c>
      <c r="S79" s="33">
        <f t="shared" si="21"/>
        <v>2.0000000000000018E-2</v>
      </c>
      <c r="T79" s="33">
        <f t="shared" si="21"/>
        <v>2.0000000000000018E-2</v>
      </c>
      <c r="U79" s="33">
        <f t="shared" si="21"/>
        <v>2.000000000000024E-2</v>
      </c>
      <c r="V79" s="33">
        <f t="shared" si="21"/>
        <v>1.9999999999999352E-2</v>
      </c>
      <c r="W79" s="33">
        <f t="shared" si="21"/>
        <v>2.000000000000024E-2</v>
      </c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46" min="8" max="17" man="1"/>
  </rowBreaks>
  <ignoredErrors>
    <ignoredError sqref="I13:W1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topLeftCell="A9" zoomScaleNormal="100" workbookViewId="0">
      <selection activeCell="F25" sqref="F25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101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2016</v>
      </c>
      <c r="I3" s="5">
        <v>2017</v>
      </c>
      <c r="J3" s="5">
        <f>I3+1</f>
        <v>2018</v>
      </c>
      <c r="K3" s="5">
        <f t="shared" ref="K3:W4" si="0">J3+1</f>
        <v>2019</v>
      </c>
      <c r="L3" s="5">
        <f t="shared" si="0"/>
        <v>2020</v>
      </c>
      <c r="M3" s="5">
        <f t="shared" si="0"/>
        <v>2021</v>
      </c>
      <c r="N3" s="5">
        <f t="shared" si="0"/>
        <v>2022</v>
      </c>
      <c r="O3" s="5">
        <f t="shared" si="0"/>
        <v>2023</v>
      </c>
      <c r="P3" s="5">
        <f t="shared" si="0"/>
        <v>2024</v>
      </c>
      <c r="Q3" s="5">
        <f t="shared" si="0"/>
        <v>2025</v>
      </c>
      <c r="R3" s="5">
        <f t="shared" si="0"/>
        <v>2026</v>
      </c>
      <c r="S3" s="5">
        <f t="shared" si="0"/>
        <v>2027</v>
      </c>
      <c r="T3" s="5">
        <f t="shared" si="0"/>
        <v>2028</v>
      </c>
      <c r="U3" s="5">
        <f t="shared" si="0"/>
        <v>2029</v>
      </c>
      <c r="V3" s="5">
        <f t="shared" si="0"/>
        <v>2030</v>
      </c>
      <c r="W3" s="5">
        <f t="shared" si="0"/>
        <v>2031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2017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23"/>
      <c r="I25" s="40">
        <f t="shared" ref="I25:W25" si="6">$F25</f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69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0</v>
      </c>
      <c r="L59" s="12">
        <f>-I23*L58-J23*K58-K23*J58-L23*I58</f>
        <v>0</v>
      </c>
      <c r="M59" s="12">
        <f>-I23*M58-J23*L58-K23*K58-L23*J58-M23*I58</f>
        <v>0</v>
      </c>
      <c r="N59" s="12">
        <f>-I23*N58-J23*M58-K23*L58-L23*K58-M23*J58-N23*I58</f>
        <v>0</v>
      </c>
      <c r="O59" s="12">
        <f>-I23*O58-J23*N58-K23*M58-L23*L58-M23*K58-N23*J58-O23*I58</f>
        <v>0</v>
      </c>
      <c r="P59" s="12">
        <f>-I23*P58-J23*O58-K23*N58-L23*M58-M23*L58-N23*K58-O23*J58-P23*I58</f>
        <v>0</v>
      </c>
      <c r="Q59" s="12">
        <f>-I23*Q58-J23*P58-K23*O58-L23*N58-M23*M58-N23*L58-O23*K58-P23*J58-Q23*I58</f>
        <v>0</v>
      </c>
      <c r="R59" s="12">
        <f>-I23*R58-J23*Q58-K23*P58-L23*O58-M23*N58-N23*M58-O23*L58-P23*K58-Q23*J58-R23*I58</f>
        <v>0</v>
      </c>
      <c r="S59" s="12">
        <f>-I23*S58-J23*R58-K23*Q58-L23*P58-M23*O58-N23*N58-O23*M58-P23*L58-Q23*K58-R23*J58-S23*I58</f>
        <v>0</v>
      </c>
      <c r="T59" s="12">
        <f>-I23*T58-J23*S58-K23*R58-L23*Q58-M23*P58-N23*O58-O23*N58-P23*M58-Q23*L58-R23*K58-S23*J58-T23*I58</f>
        <v>0</v>
      </c>
      <c r="U59" s="12">
        <f>-I23*U58-J23*T58-K23*S58-L23*R58-M23*Q58-N23*P58-O23*O58-P23*N58-Q23*M58-R23*L58-S23*K58-T23*J58-U23*I58</f>
        <v>0</v>
      </c>
      <c r="V59" s="12">
        <f>-I23*V58-J23*U58-K23*T58-L23*S58-M23*R58-N23*Q58-O23*P58-P23*O58-Q23*N58-R23*M58-S23*L58-T23*K58-U23*J58-V23*I58</f>
        <v>0</v>
      </c>
      <c r="W59" s="12">
        <f>-I23*W58-J23*V58-K23*U58-L23*T58-M23*S58-N23*R58-O23*Q58-P23*P58-Q23*O58-R23*N58-S23*M58-T23*L58-U23*K58-V23*J58-W23*I58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74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75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3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3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3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3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3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3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3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</row>
    <row r="90" spans="1:23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s="8" customFormat="1" x14ac:dyDescent="0.2">
      <c r="A91" s="4"/>
      <c r="E91" s="9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topLeftCell="A5" zoomScaleNormal="100" workbookViewId="0">
      <selection activeCell="N26" sqref="N26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102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2016</v>
      </c>
      <c r="I3" s="5">
        <v>2017</v>
      </c>
      <c r="J3" s="5">
        <f>I3+1</f>
        <v>2018</v>
      </c>
      <c r="K3" s="5">
        <f t="shared" ref="K3:W4" si="0">J3+1</f>
        <v>2019</v>
      </c>
      <c r="L3" s="5">
        <f t="shared" si="0"/>
        <v>2020</v>
      </c>
      <c r="M3" s="5">
        <f t="shared" si="0"/>
        <v>2021</v>
      </c>
      <c r="N3" s="5">
        <f t="shared" si="0"/>
        <v>2022</v>
      </c>
      <c r="O3" s="5">
        <f t="shared" si="0"/>
        <v>2023</v>
      </c>
      <c r="P3" s="5">
        <f t="shared" si="0"/>
        <v>2024</v>
      </c>
      <c r="Q3" s="5">
        <f t="shared" si="0"/>
        <v>2025</v>
      </c>
      <c r="R3" s="5">
        <f t="shared" si="0"/>
        <v>2026</v>
      </c>
      <c r="S3" s="5">
        <f t="shared" si="0"/>
        <v>2027</v>
      </c>
      <c r="T3" s="5">
        <f t="shared" si="0"/>
        <v>2028</v>
      </c>
      <c r="U3" s="5">
        <f t="shared" si="0"/>
        <v>2029</v>
      </c>
      <c r="V3" s="5">
        <f t="shared" si="0"/>
        <v>2030</v>
      </c>
      <c r="W3" s="5">
        <f t="shared" si="0"/>
        <v>2031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2017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23"/>
      <c r="I25" s="40">
        <f t="shared" ref="I25:W25" si="6">$F25</f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>$F31</f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69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0</v>
      </c>
      <c r="L59" s="12">
        <f>-I23*L58-J23*K58-K23*J58-L23*I58</f>
        <v>0</v>
      </c>
      <c r="M59" s="12">
        <f>-I23*M58-J23*L58-K23*K58-L23*J58-M23*I58</f>
        <v>0</v>
      </c>
      <c r="N59" s="12">
        <f>-I23*N58-J23*M58-K23*L58-L23*K58-M23*J58-N23*I58</f>
        <v>0</v>
      </c>
      <c r="O59" s="12">
        <f>-I23*O58-J23*N58-K23*M58-L23*L58-M23*K58-N23*J58-O23*I58</f>
        <v>0</v>
      </c>
      <c r="P59" s="12">
        <f>-I23*P58-J23*O58-K23*N58-L23*M58-M23*L58-N23*K58-O23*J58-P23*I58</f>
        <v>0</v>
      </c>
      <c r="Q59" s="12">
        <f>-I23*Q58-J23*P58-K23*O58-L23*N58-M23*M58-N23*L58-O23*K58-P23*J58-Q23*I58</f>
        <v>0</v>
      </c>
      <c r="R59" s="12">
        <f>-I23*R58-J23*Q58-K23*P58-L23*O58-M23*N58-N23*M58-O23*L58-P23*K58-Q23*J58-R23*I58</f>
        <v>0</v>
      </c>
      <c r="S59" s="12">
        <f>-I23*S58-J23*R58-K23*Q58-L23*P58-M23*O58-N23*N58-O23*M58-P23*L58-Q23*K58-R23*J58-S23*I58</f>
        <v>0</v>
      </c>
      <c r="T59" s="12">
        <f>-I23*T58-J23*S58-K23*R58-L23*Q58-M23*P58-N23*O58-O23*N58-P23*M58-Q23*L58-R23*K58-S23*J58-T23*I58</f>
        <v>0</v>
      </c>
      <c r="U59" s="12">
        <f>-I23*U58-J23*T58-K23*S58-L23*R58-M23*Q58-N23*P58-O23*O58-P23*N58-Q23*M58-R23*L58-S23*K58-T23*J58-U23*I58</f>
        <v>0</v>
      </c>
      <c r="V59" s="12">
        <f>-I23*V58-J23*U58-K23*T58-L23*S58-M23*R58-N23*Q58-O23*P58-P23*O58-Q23*N58-R23*M58-S23*L58-T23*K58-U23*J58-V23*I58</f>
        <v>0</v>
      </c>
      <c r="W59" s="12">
        <f>-I23*W58-J23*V58-K23*U58-L23*T58-M23*S58-N23*R58-O23*Q58-P23*P58-Q23*O58-R23*N58-S23*M58-T23*L58-U23*K58-V23*J58-W23*I58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74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75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3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3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3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3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3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3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3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</row>
    <row r="90" spans="1:23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s="8" customFormat="1" x14ac:dyDescent="0.2">
      <c r="A91" s="4"/>
      <c r="E91" s="9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94"/>
  <sheetViews>
    <sheetView topLeftCell="A17" zoomScaleNormal="100" workbookViewId="0">
      <selection activeCell="AA31" sqref="AA31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9" x14ac:dyDescent="0.2">
      <c r="A1" s="1" t="s">
        <v>22</v>
      </c>
      <c r="B1" s="1"/>
      <c r="E1" s="102" t="s">
        <v>110</v>
      </c>
    </row>
    <row r="2" spans="1:29" x14ac:dyDescent="0.2">
      <c r="A2" s="1" t="s">
        <v>0</v>
      </c>
      <c r="B2" s="1"/>
    </row>
    <row r="3" spans="1:29" s="5" customFormat="1" x14ac:dyDescent="0.2">
      <c r="A3" s="4"/>
      <c r="E3" s="6"/>
      <c r="F3" s="4" t="s">
        <v>3</v>
      </c>
      <c r="H3" s="5">
        <v>2017</v>
      </c>
      <c r="I3" s="5">
        <v>2018</v>
      </c>
      <c r="J3" s="5">
        <v>2019</v>
      </c>
      <c r="K3" s="5">
        <v>2020</v>
      </c>
      <c r="L3" s="5">
        <v>2021</v>
      </c>
      <c r="M3" s="5">
        <v>2022</v>
      </c>
      <c r="N3" s="5">
        <v>2023</v>
      </c>
      <c r="O3" s="5">
        <v>2024</v>
      </c>
      <c r="P3" s="5">
        <v>2025</v>
      </c>
      <c r="Q3" s="5">
        <v>2026</v>
      </c>
      <c r="R3" s="5">
        <v>2027</v>
      </c>
      <c r="S3" s="5">
        <v>2028</v>
      </c>
      <c r="T3" s="5">
        <v>2029</v>
      </c>
      <c r="U3" s="5">
        <v>2030</v>
      </c>
      <c r="V3" s="5">
        <v>2031</v>
      </c>
      <c r="W3" s="5">
        <v>2032</v>
      </c>
    </row>
    <row r="4" spans="1:29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9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9" s="8" customFormat="1" x14ac:dyDescent="0.2">
      <c r="A7" s="10">
        <v>1</v>
      </c>
      <c r="D7" s="13" t="s">
        <v>23</v>
      </c>
      <c r="E7" s="19"/>
      <c r="F7" s="21">
        <v>2018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9" s="8" customFormat="1" ht="16.5" x14ac:dyDescent="0.3">
      <c r="A8" s="10">
        <f>A7+1</f>
        <v>2</v>
      </c>
      <c r="D8" s="13" t="s">
        <v>32</v>
      </c>
      <c r="E8" s="19"/>
      <c r="F8" s="17"/>
      <c r="H8" s="48"/>
      <c r="I8" s="48">
        <v>0</v>
      </c>
      <c r="J8" s="48">
        <v>0</v>
      </c>
      <c r="K8" s="48">
        <v>0</v>
      </c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Y8" s="47"/>
      <c r="Z8" s="47"/>
      <c r="AA8" s="47"/>
      <c r="AB8" s="47"/>
      <c r="AC8" s="47"/>
    </row>
    <row r="9" spans="1:29" x14ac:dyDescent="0.2">
      <c r="A9" s="10"/>
      <c r="F9" s="30"/>
    </row>
    <row r="10" spans="1:29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9" s="8" customFormat="1" x14ac:dyDescent="0.2">
      <c r="A11" s="10">
        <f>A10+1</f>
        <v>4</v>
      </c>
      <c r="D11" s="13" t="s">
        <v>31</v>
      </c>
      <c r="E11" s="19"/>
      <c r="F11" s="51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9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9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9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9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9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40">
        <f t="shared" ref="H25:W25" si="6">$F25</f>
        <v>0.21</v>
      </c>
      <c r="I25" s="40">
        <f t="shared" si="6"/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>H8</f>
        <v>0</v>
      </c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69</v>
      </c>
      <c r="E51" s="19"/>
      <c r="H51" s="12">
        <f>MAX(H13*(H43+0.5*H44),0)</f>
        <v>0</v>
      </c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H59" s="12">
        <f>-I23*H58</f>
        <v>0</v>
      </c>
      <c r="I59" s="12">
        <f>-I23*I58-H58*J23</f>
        <v>0</v>
      </c>
      <c r="J59" s="12">
        <f>-I23*J58-J23*I58-H58*K23</f>
        <v>0</v>
      </c>
      <c r="K59" s="12">
        <f>-I23*K58-J23*J58-K23*I58-H58*L23</f>
        <v>0</v>
      </c>
      <c r="L59" s="12">
        <f>-I23*L58-J23*K58-K23*J58-L23*I58-H58*M23</f>
        <v>0</v>
      </c>
      <c r="M59" s="12">
        <f>-I23*M58-J23*L58-K23*K58-L23*J58-M23*I58-H58*N23</f>
        <v>0</v>
      </c>
      <c r="N59" s="12">
        <f>-I23*N58-J23*M58-K23*L58-L23*K58-M23*J58-N23*I58-H58*O23</f>
        <v>0</v>
      </c>
      <c r="O59" s="12">
        <f>-I23*O58-J23*N58-K23*M58-L23*L58-M23*K58-N23*J58-O23*I58-H58*P23</f>
        <v>0</v>
      </c>
      <c r="P59" s="12">
        <f>-I23*P58-J23*O58-K23*N58-L23*M58-M23*L58-N23*K58-O23*J58-P23*I58-H58*Q23</f>
        <v>0</v>
      </c>
      <c r="Q59" s="12">
        <f>-I23*Q58-J23*P58-K23*O58-L23*N58-M23*M58-N23*L58-O23*K58-P23*J58-Q23*I58-H58*R23</f>
        <v>0</v>
      </c>
      <c r="R59" s="12">
        <f>-I23*R58-J23*Q58-K23*P58-L23*O58-M23*N58-N23*M58-O23*L58-P23*K58-Q23*J58-R23*I58-H58*S23</f>
        <v>0</v>
      </c>
      <c r="S59" s="12">
        <f>-I23*S58-J23*R58-K23*Q58-L23*P58-M23*O58-N23*N58-O23*M58-P23*L58-Q23*K58-R23*J58-S23*I58-H58*T23</f>
        <v>0</v>
      </c>
      <c r="T59" s="12">
        <f>-I23*T58-J23*S58-K23*R58-L23*Q58-M23*P58-N23*O58-O23*N58-P23*M58-Q23*L58-R23*K58-S23*J58-T23*I58-H58*U23</f>
        <v>0</v>
      </c>
      <c r="U59" s="12">
        <f>-I23*U58-J23*T58-K23*S58-L23*R58-M23*Q58-N23*P58-O23*O58-P23*N58-Q23*M58-R23*L58-S23*K58-T23*J58-U23*I58-H58*V23</f>
        <v>0</v>
      </c>
      <c r="V59" s="12">
        <f>-I23*V58-J23*U58-K23*T58-L23*S58-M23*R58-N23*Q58-O23*P58-P23*O58-Q23*N58-R23*M58-S23*L58-T23*K58-U23*J58-V23*I58-H58*W23</f>
        <v>0</v>
      </c>
      <c r="W59" s="12">
        <f>-I23*W58-J23*V58-K23*U58-L23*T58-M23*S58-N23*R58-O23*Q58-P23*P58-Q23*O58-R23*N58-S23*M58-T23*L58-U23*K58-V23*J58-W23*I58-H58*X23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H65" s="12">
        <f>-H13*$F27*(H63+0.5*H64)</f>
        <v>0</v>
      </c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74</v>
      </c>
      <c r="E70" s="19"/>
      <c r="H70" s="12">
        <f>($F24="Y")*H25*(-H59-H51-H71)</f>
        <v>0</v>
      </c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75</v>
      </c>
      <c r="E71" s="19"/>
      <c r="H71" s="12">
        <f>($F28="Y")*H29*(-H65-H51)</f>
        <v>0</v>
      </c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5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5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5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5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5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5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5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5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5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  <c r="X89" s="44"/>
    </row>
    <row r="90" spans="1:25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2" spans="1:25" x14ac:dyDescent="0.2"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</row>
    <row r="93" spans="1:25" x14ac:dyDescent="0.2"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</row>
    <row r="94" spans="1:25" x14ac:dyDescent="0.2"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5"/>
      <c r="Y94" s="55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95"/>
  <sheetViews>
    <sheetView topLeftCell="F5" zoomScaleNormal="100" workbookViewId="0">
      <selection activeCell="AA21" sqref="AA21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119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2015</v>
      </c>
      <c r="I3" s="5">
        <v>2016</v>
      </c>
      <c r="J3" s="5">
        <f>I3+1</f>
        <v>2017</v>
      </c>
      <c r="K3" s="5">
        <f t="shared" ref="K3:W4" si="0">J3+1</f>
        <v>2018</v>
      </c>
      <c r="L3" s="5">
        <f t="shared" si="0"/>
        <v>2019</v>
      </c>
      <c r="M3" s="5">
        <f t="shared" si="0"/>
        <v>2020</v>
      </c>
      <c r="N3" s="5">
        <f t="shared" si="0"/>
        <v>2021</v>
      </c>
      <c r="O3" s="5">
        <f t="shared" si="0"/>
        <v>2022</v>
      </c>
      <c r="P3" s="5">
        <f t="shared" si="0"/>
        <v>2023</v>
      </c>
      <c r="Q3" s="5">
        <f t="shared" si="0"/>
        <v>2024</v>
      </c>
      <c r="R3" s="5">
        <f t="shared" si="0"/>
        <v>2025</v>
      </c>
      <c r="S3" s="5">
        <f t="shared" si="0"/>
        <v>2026</v>
      </c>
      <c r="T3" s="5">
        <f t="shared" si="0"/>
        <v>2027</v>
      </c>
      <c r="U3" s="5">
        <f t="shared" si="0"/>
        <v>2028</v>
      </c>
      <c r="V3" s="5">
        <f t="shared" si="0"/>
        <v>2029</v>
      </c>
      <c r="W3" s="5">
        <f t="shared" si="0"/>
        <v>2030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2019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40">
        <f t="shared" ref="H25:W25" si="6">$F25</f>
        <v>0.21</v>
      </c>
      <c r="I25" s="40">
        <f t="shared" si="6"/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>H8</f>
        <v>0</v>
      </c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69</v>
      </c>
      <c r="E51" s="19"/>
      <c r="H51" s="12">
        <f>MAX(H13*(H43+0.5*H44),0)</f>
        <v>0</v>
      </c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H59" s="12">
        <f>-I23*H58</f>
        <v>0</v>
      </c>
      <c r="I59" s="12">
        <f>-I23*I58-H58*J23</f>
        <v>0</v>
      </c>
      <c r="J59" s="12">
        <f>-I23*J58-J23*I58-H58*K23</f>
        <v>0</v>
      </c>
      <c r="K59" s="12">
        <f>-I23*K58-J23*J58-K23*I58-H58*L23</f>
        <v>0</v>
      </c>
      <c r="L59" s="12">
        <f>-I23*L58-J23*K58-K23*J58-L23*I58-H58*M23</f>
        <v>0</v>
      </c>
      <c r="M59" s="12">
        <f>-I23*M58-J23*L58-K23*K58-L23*J58-M23*I58-H58*N23</f>
        <v>0</v>
      </c>
      <c r="N59" s="12">
        <f>-I23*N58-J23*M58-K23*L58-L23*K58-M23*J58-N23*I58-H58*O23</f>
        <v>0</v>
      </c>
      <c r="O59" s="12">
        <f>-I23*O58-J23*N58-K23*M58-L23*L58-M23*K58-N23*J58-O23*I58-H58*P23</f>
        <v>0</v>
      </c>
      <c r="P59" s="12">
        <f>-I23*P58-J23*O58-K23*N58-L23*M58-M23*L58-N23*K58-O23*J58-P23*I58-H58*Q23</f>
        <v>0</v>
      </c>
      <c r="Q59" s="12">
        <f>-I23*Q58-J23*P58-K23*O58-L23*N58-M23*M58-N23*L58-O23*K58-P23*J58-Q23*I58-H58*R23</f>
        <v>0</v>
      </c>
      <c r="R59" s="12">
        <f>-I23*R58-J23*Q58-K23*P58-L23*O58-M23*N58-N23*M58-O23*L58-P23*K58-Q23*J58-R23*I58-H58*S23</f>
        <v>0</v>
      </c>
      <c r="S59" s="12">
        <f>-I23*S58-J23*R58-K23*Q58-L23*P58-M23*O58-N23*N58-O23*M58-P23*L58-Q23*K58-R23*J58-S23*I58-H58*T23</f>
        <v>0</v>
      </c>
      <c r="T59" s="12">
        <f>-I23*T58-J23*S58-K23*R58-L23*Q58-M23*P58-N23*O58-O23*N58-P23*M58-Q23*L58-R23*K58-S23*J58-T23*I58-H58*U23</f>
        <v>0</v>
      </c>
      <c r="U59" s="12">
        <f>-I23*U58-J23*T58-K23*S58-L23*R58-M23*Q58-N23*P58-O23*O58-P23*N58-Q23*M58-R23*L58-S23*K58-T23*J58-U23*I58-H58*V23</f>
        <v>0</v>
      </c>
      <c r="V59" s="12">
        <f>-I23*V58-J23*U58-K23*T58-L23*S58-M23*R58-N23*Q58-O23*P58-P23*O58-Q23*N58-R23*M58-S23*L58-T23*K58-U23*J58-V23*I58-H58*W23</f>
        <v>0</v>
      </c>
      <c r="W59" s="12">
        <f>-I23*W58-J23*V58-K23*U58-L23*T58-M23*S58-N23*R58-O23*Q58-P23*P58-Q23*O58-R23*N58-S23*M58-T23*L58-U23*K58-V23*J58-W23*I58-H58*X23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H65" s="12">
        <f>-H13*$F27*(H63+0.5*H64)</f>
        <v>0</v>
      </c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74</v>
      </c>
      <c r="E70" s="19"/>
      <c r="H70" s="12">
        <f>($F24="Y")*H25*(-H59-H51-H71)</f>
        <v>0</v>
      </c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75</v>
      </c>
      <c r="E71" s="19"/>
      <c r="H71" s="12">
        <f>($F28="Y")*H29*(-H65-H51)</f>
        <v>0</v>
      </c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5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5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5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5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5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5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5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5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5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  <c r="X89" s="44"/>
    </row>
    <row r="90" spans="1:25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2" spans="1:25" x14ac:dyDescent="0.2"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</row>
    <row r="93" spans="1:25" x14ac:dyDescent="0.2"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</row>
    <row r="94" spans="1:25" x14ac:dyDescent="0.2"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</row>
    <row r="95" spans="1:25" x14ac:dyDescent="0.2"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90"/>
  <sheetViews>
    <sheetView topLeftCell="F6" zoomScaleNormal="100" workbookViewId="0">
      <selection activeCell="AB39" sqref="AB39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23" width="10.7109375" style="3" customWidth="1"/>
    <col min="24" max="24" width="8.85546875" style="3" customWidth="1"/>
    <col min="25" max="25" width="8.7109375" style="3" customWidth="1"/>
    <col min="26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120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2015</v>
      </c>
      <c r="I3" s="5">
        <v>2016</v>
      </c>
      <c r="J3" s="5">
        <f>I3+1</f>
        <v>2017</v>
      </c>
      <c r="K3" s="5">
        <f t="shared" ref="K3:W4" si="0">J3+1</f>
        <v>2018</v>
      </c>
      <c r="L3" s="5">
        <f t="shared" si="0"/>
        <v>2019</v>
      </c>
      <c r="M3" s="5">
        <f t="shared" si="0"/>
        <v>2020</v>
      </c>
      <c r="N3" s="5">
        <f t="shared" si="0"/>
        <v>2021</v>
      </c>
      <c r="O3" s="5">
        <f t="shared" si="0"/>
        <v>2022</v>
      </c>
      <c r="P3" s="5">
        <f t="shared" si="0"/>
        <v>2023</v>
      </c>
      <c r="Q3" s="5">
        <f t="shared" si="0"/>
        <v>2024</v>
      </c>
      <c r="R3" s="5">
        <f t="shared" si="0"/>
        <v>2025</v>
      </c>
      <c r="S3" s="5">
        <f t="shared" si="0"/>
        <v>2026</v>
      </c>
      <c r="T3" s="5">
        <f t="shared" si="0"/>
        <v>2027</v>
      </c>
      <c r="U3" s="5">
        <f t="shared" si="0"/>
        <v>2028</v>
      </c>
      <c r="V3" s="5">
        <f t="shared" si="0"/>
        <v>2029</v>
      </c>
      <c r="W3" s="5">
        <f t="shared" si="0"/>
        <v>2030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2015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H8" s="14"/>
      <c r="I8" s="14"/>
      <c r="J8" s="45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40">
        <f t="shared" ref="H25:W25" si="6">$F25</f>
        <v>0.21</v>
      </c>
      <c r="I25" s="40">
        <f t="shared" si="6"/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>H8</f>
        <v>0</v>
      </c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69</v>
      </c>
      <c r="E51" s="19"/>
      <c r="H51" s="12">
        <f>MAX(H13*(H43+0.5*H44),0)</f>
        <v>0</v>
      </c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H59" s="12">
        <f>-I23*H58</f>
        <v>0</v>
      </c>
      <c r="I59" s="12">
        <f>-I23*I58-H58*J23</f>
        <v>0</v>
      </c>
      <c r="J59" s="12">
        <f>-I23*J58-J23*I58-H58*K23</f>
        <v>0</v>
      </c>
      <c r="K59" s="12">
        <f>-I23*K58-J23*J58-K23*I58-H58*L23</f>
        <v>0</v>
      </c>
      <c r="L59" s="12">
        <f>-I23*L58-J23*K58-K23*J58-L23*I58-H58*M23</f>
        <v>0</v>
      </c>
      <c r="M59" s="12">
        <f>-I23*M58-J23*L58-K23*K58-L23*J58-M23*I58-H58*N23</f>
        <v>0</v>
      </c>
      <c r="N59" s="12">
        <f>-I23*N58-J23*M58-K23*L58-L23*K58-M23*J58-N23*I58-H58*O23</f>
        <v>0</v>
      </c>
      <c r="O59" s="12">
        <f>-I23*O58-J23*N58-K23*M58-L23*L58-M23*K58-N23*J58-O23*I58-H58*P23</f>
        <v>0</v>
      </c>
      <c r="P59" s="12">
        <f>-I23*P58-J23*O58-K23*N58-L23*M58-M23*L58-N23*K58-O23*J58-P23*I58-H58*Q23</f>
        <v>0</v>
      </c>
      <c r="Q59" s="12">
        <f>-I23*Q58-J23*P58-K23*O58-L23*N58-M23*M58-N23*L58-O23*K58-P23*J58-Q23*I58-H58*R23</f>
        <v>0</v>
      </c>
      <c r="R59" s="12">
        <f>-I23*R58-J23*Q58-K23*P58-L23*O58-M23*N58-N23*M58-O23*L58-P23*K58-Q23*J58-R23*I58-H58*S23</f>
        <v>0</v>
      </c>
      <c r="S59" s="12">
        <f>-I23*S58-J23*R58-K23*Q58-L23*P58-M23*O58-N23*N58-O23*M58-P23*L58-Q23*K58-R23*J58-S23*I58-H58*T23</f>
        <v>0</v>
      </c>
      <c r="T59" s="12">
        <f>-I23*T58-J23*S58-K23*R58-L23*Q58-M23*P58-N23*O58-O23*N58-P23*M58-Q23*L58-R23*K58-S23*J58-T23*I58-H58*U23</f>
        <v>0</v>
      </c>
      <c r="U59" s="12">
        <f>-I23*U58-J23*T58-K23*S58-L23*R58-M23*Q58-N23*P58-O23*O58-P23*N58-Q23*M58-R23*L58-S23*K58-T23*J58-U23*I58-H58*V23</f>
        <v>0</v>
      </c>
      <c r="V59" s="12">
        <f>-I23*V58-J23*U58-K23*T58-L23*S58-M23*R58-N23*Q58-O23*P58-P23*O58-Q23*N58-R23*M58-S23*L58-T23*K58-U23*J58-V23*I58-H58*W23</f>
        <v>0</v>
      </c>
      <c r="W59" s="12">
        <f>-I23*W58-J23*V58-K23*U58-L23*T58-M23*S58-N23*R58-O23*Q58-P23*P58-Q23*O58-R23*N58-S23*M58-T23*L58-U23*K58-V23*J58-W23*I58-H58*X23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H65" s="12">
        <f>-H13*$F27*(H63+0.5*H64)</f>
        <v>0</v>
      </c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74</v>
      </c>
      <c r="E70" s="19"/>
      <c r="H70" s="12">
        <f>($F24="Y")*H25*(-H59-H51-H71)</f>
        <v>0</v>
      </c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75</v>
      </c>
      <c r="E71" s="19"/>
      <c r="H71" s="12">
        <f>($F28="Y")*H29*(-H65-H51)</f>
        <v>0</v>
      </c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4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4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  <c r="X89" s="44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1"/>
  <sheetViews>
    <sheetView topLeftCell="A139" zoomScaleNormal="100" workbookViewId="0">
      <selection activeCell="T22" sqref="T22"/>
    </sheetView>
  </sheetViews>
  <sheetFormatPr defaultColWidth="9.140625" defaultRowHeight="12.75" x14ac:dyDescent="0.2"/>
  <cols>
    <col min="1" max="1" width="4.7109375" style="62" customWidth="1"/>
    <col min="2" max="2" width="2.7109375" style="62" customWidth="1"/>
    <col min="3" max="3" width="2.7109375" style="65" customWidth="1"/>
    <col min="4" max="4" width="2.7109375" style="62" customWidth="1"/>
    <col min="5" max="5" width="35.7109375" style="62" customWidth="1"/>
    <col min="6" max="6" width="10.7109375" style="64" customWidth="1"/>
    <col min="7" max="7" width="2.7109375" style="62" customWidth="1"/>
    <col min="8" max="8" width="10.7109375" style="62" customWidth="1"/>
    <col min="9" max="9" width="15.7109375" style="63" customWidth="1"/>
    <col min="10" max="71" width="10.7109375" style="62" customWidth="1"/>
    <col min="72" max="16384" width="9.140625" style="62"/>
  </cols>
  <sheetData>
    <row r="1" spans="1:23" x14ac:dyDescent="0.2">
      <c r="A1" s="65" t="s">
        <v>117</v>
      </c>
      <c r="B1" s="65"/>
      <c r="E1" s="98"/>
    </row>
    <row r="2" spans="1:23" x14ac:dyDescent="0.2">
      <c r="A2" s="65" t="s">
        <v>0</v>
      </c>
      <c r="B2" s="65"/>
    </row>
    <row r="3" spans="1:23" s="96" customFormat="1" x14ac:dyDescent="0.2">
      <c r="A3" s="87"/>
      <c r="E3" s="97"/>
      <c r="F3" s="87" t="s">
        <v>3</v>
      </c>
      <c r="H3" s="96">
        <v>2020</v>
      </c>
      <c r="I3" s="96">
        <f t="shared" ref="I3:W3" si="0">H3+1</f>
        <v>2021</v>
      </c>
      <c r="J3" s="96">
        <f t="shared" si="0"/>
        <v>2022</v>
      </c>
      <c r="K3" s="96">
        <f t="shared" si="0"/>
        <v>2023</v>
      </c>
      <c r="L3" s="96">
        <f t="shared" si="0"/>
        <v>2024</v>
      </c>
      <c r="M3" s="96">
        <f t="shared" si="0"/>
        <v>2025</v>
      </c>
      <c r="N3" s="96">
        <f t="shared" si="0"/>
        <v>2026</v>
      </c>
      <c r="O3" s="96">
        <f t="shared" si="0"/>
        <v>2027</v>
      </c>
      <c r="P3" s="96">
        <f t="shared" si="0"/>
        <v>2028</v>
      </c>
      <c r="Q3" s="96">
        <f t="shared" si="0"/>
        <v>2029</v>
      </c>
      <c r="R3" s="96">
        <f t="shared" si="0"/>
        <v>2030</v>
      </c>
      <c r="S3" s="96">
        <f t="shared" si="0"/>
        <v>2031</v>
      </c>
      <c r="T3" s="96">
        <f t="shared" si="0"/>
        <v>2032</v>
      </c>
      <c r="U3" s="96">
        <f t="shared" si="0"/>
        <v>2033</v>
      </c>
      <c r="V3" s="96">
        <f t="shared" si="0"/>
        <v>2034</v>
      </c>
      <c r="W3" s="96">
        <f t="shared" si="0"/>
        <v>2035</v>
      </c>
    </row>
    <row r="4" spans="1:23" s="75" customFormat="1" x14ac:dyDescent="0.2">
      <c r="A4" s="95" t="s">
        <v>1</v>
      </c>
      <c r="E4" s="77" t="s">
        <v>2</v>
      </c>
      <c r="H4" s="67">
        <v>0</v>
      </c>
      <c r="I4" s="67">
        <v>1</v>
      </c>
      <c r="J4" s="67">
        <f t="shared" ref="J4:W4" si="1">I4+1</f>
        <v>2</v>
      </c>
      <c r="K4" s="67">
        <f t="shared" si="1"/>
        <v>3</v>
      </c>
      <c r="L4" s="67">
        <f t="shared" si="1"/>
        <v>4</v>
      </c>
      <c r="M4" s="67">
        <f t="shared" si="1"/>
        <v>5</v>
      </c>
      <c r="N4" s="67">
        <f t="shared" si="1"/>
        <v>6</v>
      </c>
      <c r="O4" s="67">
        <f t="shared" si="1"/>
        <v>7</v>
      </c>
      <c r="P4" s="67">
        <f t="shared" si="1"/>
        <v>8</v>
      </c>
      <c r="Q4" s="67">
        <f t="shared" si="1"/>
        <v>9</v>
      </c>
      <c r="R4" s="67">
        <f t="shared" si="1"/>
        <v>10</v>
      </c>
      <c r="S4" s="67">
        <f t="shared" si="1"/>
        <v>11</v>
      </c>
      <c r="T4" s="67">
        <f t="shared" si="1"/>
        <v>12</v>
      </c>
      <c r="U4" s="67">
        <f t="shared" si="1"/>
        <v>13</v>
      </c>
      <c r="V4" s="67">
        <f t="shared" si="1"/>
        <v>14</v>
      </c>
      <c r="W4" s="67">
        <f t="shared" si="1"/>
        <v>15</v>
      </c>
    </row>
    <row r="5" spans="1:23" s="75" customFormat="1" x14ac:dyDescent="0.2">
      <c r="A5" s="87"/>
      <c r="E5" s="77"/>
      <c r="F5" s="94"/>
      <c r="H5" s="85"/>
      <c r="I5" s="85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</row>
    <row r="6" spans="1:23" s="75" customFormat="1" x14ac:dyDescent="0.2">
      <c r="A6" s="87"/>
      <c r="C6" s="75" t="s">
        <v>64</v>
      </c>
      <c r="E6" s="77"/>
      <c r="F6" s="86"/>
      <c r="I6" s="85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</row>
    <row r="7" spans="1:23" s="75" customFormat="1" x14ac:dyDescent="0.2">
      <c r="A7" s="67">
        <v>1</v>
      </c>
      <c r="D7" s="71" t="s">
        <v>123</v>
      </c>
      <c r="E7" s="77"/>
      <c r="F7" s="89">
        <v>0.02</v>
      </c>
      <c r="I7" s="88"/>
      <c r="J7" s="105">
        <f t="shared" ref="J7:W11" si="2">$F7</f>
        <v>0.02</v>
      </c>
      <c r="K7" s="105">
        <f t="shared" si="2"/>
        <v>0.02</v>
      </c>
      <c r="L7" s="105">
        <f t="shared" si="2"/>
        <v>0.02</v>
      </c>
      <c r="M7" s="105">
        <f t="shared" si="2"/>
        <v>0.02</v>
      </c>
      <c r="N7" s="105">
        <f t="shared" si="2"/>
        <v>0.02</v>
      </c>
      <c r="O7" s="105">
        <f t="shared" si="2"/>
        <v>0.02</v>
      </c>
      <c r="P7" s="105">
        <f t="shared" si="2"/>
        <v>0.02</v>
      </c>
      <c r="Q7" s="105">
        <f t="shared" si="2"/>
        <v>0.02</v>
      </c>
      <c r="R7" s="105">
        <f t="shared" si="2"/>
        <v>0.02</v>
      </c>
      <c r="S7" s="105">
        <f t="shared" si="2"/>
        <v>0.02</v>
      </c>
      <c r="T7" s="105">
        <f t="shared" si="2"/>
        <v>0.02</v>
      </c>
      <c r="U7" s="105">
        <f t="shared" si="2"/>
        <v>0.02</v>
      </c>
      <c r="V7" s="105">
        <f t="shared" si="2"/>
        <v>0.02</v>
      </c>
      <c r="W7" s="105">
        <f t="shared" si="2"/>
        <v>0.02</v>
      </c>
    </row>
    <row r="8" spans="1:23" s="75" customFormat="1" x14ac:dyDescent="0.2">
      <c r="A8" s="67">
        <f>A7+1</f>
        <v>2</v>
      </c>
      <c r="D8" s="71" t="s">
        <v>29</v>
      </c>
      <c r="E8" s="93"/>
      <c r="F8" s="89">
        <v>0.02</v>
      </c>
      <c r="G8" s="92"/>
      <c r="H8" s="92"/>
      <c r="I8" s="88"/>
      <c r="J8" s="105">
        <f t="shared" si="2"/>
        <v>0.02</v>
      </c>
      <c r="K8" s="105">
        <f t="shared" si="2"/>
        <v>0.02</v>
      </c>
      <c r="L8" s="105">
        <f t="shared" si="2"/>
        <v>0.02</v>
      </c>
      <c r="M8" s="105">
        <f t="shared" si="2"/>
        <v>0.02</v>
      </c>
      <c r="N8" s="105">
        <f t="shared" si="2"/>
        <v>0.02</v>
      </c>
      <c r="O8" s="105">
        <f t="shared" si="2"/>
        <v>0.02</v>
      </c>
      <c r="P8" s="105">
        <f t="shared" si="2"/>
        <v>0.02</v>
      </c>
      <c r="Q8" s="105">
        <f t="shared" si="2"/>
        <v>0.02</v>
      </c>
      <c r="R8" s="105">
        <f t="shared" si="2"/>
        <v>0.02</v>
      </c>
      <c r="S8" s="105">
        <f t="shared" si="2"/>
        <v>0.02</v>
      </c>
      <c r="T8" s="105">
        <f t="shared" si="2"/>
        <v>0.02</v>
      </c>
      <c r="U8" s="105">
        <f t="shared" si="2"/>
        <v>0.02</v>
      </c>
      <c r="V8" s="105">
        <f t="shared" si="2"/>
        <v>0.02</v>
      </c>
      <c r="W8" s="105">
        <f t="shared" si="2"/>
        <v>0.02</v>
      </c>
    </row>
    <row r="9" spans="1:23" s="75" customFormat="1" x14ac:dyDescent="0.2">
      <c r="A9" s="67">
        <f>A8+1</f>
        <v>3</v>
      </c>
      <c r="D9" s="71" t="s">
        <v>48</v>
      </c>
      <c r="E9" s="77"/>
      <c r="F9" s="89">
        <v>0</v>
      </c>
      <c r="I9" s="88"/>
      <c r="J9" s="105">
        <f t="shared" si="2"/>
        <v>0</v>
      </c>
      <c r="K9" s="105">
        <f t="shared" si="2"/>
        <v>0</v>
      </c>
      <c r="L9" s="105">
        <f t="shared" si="2"/>
        <v>0</v>
      </c>
      <c r="M9" s="105">
        <f t="shared" si="2"/>
        <v>0</v>
      </c>
      <c r="N9" s="105">
        <f t="shared" si="2"/>
        <v>0</v>
      </c>
      <c r="O9" s="105">
        <f t="shared" si="2"/>
        <v>0</v>
      </c>
      <c r="P9" s="105">
        <f t="shared" si="2"/>
        <v>0</v>
      </c>
      <c r="Q9" s="105">
        <f t="shared" si="2"/>
        <v>0</v>
      </c>
      <c r="R9" s="105">
        <f t="shared" si="2"/>
        <v>0</v>
      </c>
      <c r="S9" s="105">
        <f t="shared" si="2"/>
        <v>0</v>
      </c>
      <c r="T9" s="105">
        <f t="shared" si="2"/>
        <v>0</v>
      </c>
      <c r="U9" s="105">
        <f t="shared" si="2"/>
        <v>0</v>
      </c>
      <c r="V9" s="105">
        <f t="shared" si="2"/>
        <v>0</v>
      </c>
      <c r="W9" s="105">
        <f t="shared" si="2"/>
        <v>0</v>
      </c>
    </row>
    <row r="10" spans="1:23" s="75" customFormat="1" x14ac:dyDescent="0.2">
      <c r="A10" s="67">
        <f>A9+1</f>
        <v>4</v>
      </c>
      <c r="D10" s="71" t="s">
        <v>49</v>
      </c>
      <c r="E10" s="77"/>
      <c r="F10" s="89">
        <v>0.01</v>
      </c>
      <c r="I10" s="88"/>
      <c r="J10" s="105">
        <f t="shared" si="2"/>
        <v>0.01</v>
      </c>
      <c r="K10" s="105">
        <f t="shared" si="2"/>
        <v>0.01</v>
      </c>
      <c r="L10" s="105">
        <f t="shared" si="2"/>
        <v>0.01</v>
      </c>
      <c r="M10" s="105">
        <f t="shared" si="2"/>
        <v>0.01</v>
      </c>
      <c r="N10" s="105">
        <f t="shared" si="2"/>
        <v>0.01</v>
      </c>
      <c r="O10" s="105">
        <f t="shared" si="2"/>
        <v>0.01</v>
      </c>
      <c r="P10" s="105">
        <f t="shared" si="2"/>
        <v>0.01</v>
      </c>
      <c r="Q10" s="105">
        <f t="shared" si="2"/>
        <v>0.01</v>
      </c>
      <c r="R10" s="105">
        <f t="shared" si="2"/>
        <v>0.01</v>
      </c>
      <c r="S10" s="105">
        <f t="shared" si="2"/>
        <v>0.01</v>
      </c>
      <c r="T10" s="105">
        <f t="shared" si="2"/>
        <v>0.01</v>
      </c>
      <c r="U10" s="105">
        <f t="shared" si="2"/>
        <v>0.01</v>
      </c>
      <c r="V10" s="105">
        <f t="shared" si="2"/>
        <v>0.01</v>
      </c>
      <c r="W10" s="105">
        <f t="shared" si="2"/>
        <v>0.01</v>
      </c>
    </row>
    <row r="11" spans="1:23" s="75" customFormat="1" x14ac:dyDescent="0.2">
      <c r="A11" s="67">
        <f>A10+1</f>
        <v>5</v>
      </c>
      <c r="D11" s="91" t="s">
        <v>50</v>
      </c>
      <c r="E11" s="90"/>
      <c r="F11" s="103">
        <v>-5.0000000000000001E-4</v>
      </c>
      <c r="I11" s="88"/>
      <c r="J11" s="104">
        <f t="shared" si="2"/>
        <v>-5.0000000000000001E-4</v>
      </c>
      <c r="K11" s="104">
        <f t="shared" si="2"/>
        <v>-5.0000000000000001E-4</v>
      </c>
      <c r="L11" s="104">
        <f t="shared" si="2"/>
        <v>-5.0000000000000001E-4</v>
      </c>
      <c r="M11" s="104">
        <f t="shared" si="2"/>
        <v>-5.0000000000000001E-4</v>
      </c>
      <c r="N11" s="104">
        <f t="shared" si="2"/>
        <v>-5.0000000000000001E-4</v>
      </c>
      <c r="O11" s="104">
        <f t="shared" si="2"/>
        <v>-5.0000000000000001E-4</v>
      </c>
      <c r="P11" s="104">
        <f t="shared" si="2"/>
        <v>-5.0000000000000001E-4</v>
      </c>
      <c r="Q11" s="104">
        <f t="shared" si="2"/>
        <v>-5.0000000000000001E-4</v>
      </c>
      <c r="R11" s="104">
        <f t="shared" si="2"/>
        <v>-5.0000000000000001E-4</v>
      </c>
      <c r="S11" s="104">
        <f t="shared" si="2"/>
        <v>-5.0000000000000001E-4</v>
      </c>
      <c r="T11" s="104">
        <f t="shared" si="2"/>
        <v>-5.0000000000000001E-4</v>
      </c>
      <c r="U11" s="104">
        <f t="shared" si="2"/>
        <v>-5.0000000000000001E-4</v>
      </c>
      <c r="V11" s="104">
        <f t="shared" si="2"/>
        <v>-5.0000000000000001E-4</v>
      </c>
      <c r="W11" s="104">
        <f t="shared" si="2"/>
        <v>-5.0000000000000001E-4</v>
      </c>
    </row>
    <row r="12" spans="1:23" s="75" customFormat="1" x14ac:dyDescent="0.2">
      <c r="A12" s="87"/>
      <c r="E12" s="77"/>
      <c r="F12" s="86"/>
      <c r="I12" s="85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</row>
    <row r="13" spans="1:23" s="75" customFormat="1" x14ac:dyDescent="0.2">
      <c r="A13" s="67"/>
      <c r="C13" s="75" t="s">
        <v>45</v>
      </c>
      <c r="E13" s="77"/>
      <c r="I13" s="78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</row>
    <row r="14" spans="1:23" s="75" customFormat="1" x14ac:dyDescent="0.2">
      <c r="A14" s="67">
        <f>A11+1</f>
        <v>6</v>
      </c>
      <c r="D14" s="71" t="s">
        <v>85</v>
      </c>
      <c r="E14" s="77"/>
      <c r="I14" s="74">
        <v>963.94173799999999</v>
      </c>
      <c r="J14" s="69"/>
      <c r="K14" s="81" t="s">
        <v>121</v>
      </c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1:23" s="75" customFormat="1" x14ac:dyDescent="0.2">
      <c r="A15" s="67">
        <f t="shared" ref="A15:A29" si="3">A14+1</f>
        <v>7</v>
      </c>
      <c r="D15" s="71" t="s">
        <v>38</v>
      </c>
      <c r="E15" s="77"/>
      <c r="I15" s="74">
        <v>1050.1652509999999</v>
      </c>
      <c r="J15" s="69"/>
      <c r="K15" s="81" t="s">
        <v>121</v>
      </c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</row>
    <row r="16" spans="1:23" s="75" customFormat="1" x14ac:dyDescent="0.2">
      <c r="A16" s="67">
        <f t="shared" si="3"/>
        <v>8</v>
      </c>
      <c r="D16" s="71" t="s">
        <v>86</v>
      </c>
      <c r="E16" s="77"/>
      <c r="I16" s="74">
        <v>532.18451500000003</v>
      </c>
      <c r="J16" s="69"/>
      <c r="K16" s="81" t="s">
        <v>121</v>
      </c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</row>
    <row r="17" spans="1:23" s="75" customFormat="1" x14ac:dyDescent="0.2">
      <c r="A17" s="67">
        <f>A16+1</f>
        <v>9</v>
      </c>
      <c r="D17" s="71" t="s">
        <v>39</v>
      </c>
      <c r="E17" s="77"/>
      <c r="I17" s="74">
        <v>33.197617000000001</v>
      </c>
      <c r="J17" s="69"/>
      <c r="K17" s="81" t="s">
        <v>121</v>
      </c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</row>
    <row r="18" spans="1:23" s="75" customFormat="1" x14ac:dyDescent="0.2">
      <c r="A18" s="67">
        <f t="shared" si="3"/>
        <v>10</v>
      </c>
      <c r="D18" s="71" t="s">
        <v>40</v>
      </c>
      <c r="E18" s="77"/>
      <c r="I18" s="74">
        <v>1.197881</v>
      </c>
      <c r="J18" s="69"/>
      <c r="K18" s="81" t="s">
        <v>121</v>
      </c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</row>
    <row r="19" spans="1:23" s="75" customFormat="1" x14ac:dyDescent="0.2">
      <c r="A19" s="67">
        <f t="shared" si="3"/>
        <v>11</v>
      </c>
      <c r="D19" s="71" t="s">
        <v>41</v>
      </c>
      <c r="E19" s="77"/>
      <c r="I19" s="74">
        <v>0.81892699999999996</v>
      </c>
      <c r="J19" s="69"/>
      <c r="K19" s="81" t="s">
        <v>121</v>
      </c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</row>
    <row r="20" spans="1:23" s="75" customFormat="1" x14ac:dyDescent="0.2">
      <c r="A20" s="67">
        <f t="shared" si="3"/>
        <v>12</v>
      </c>
      <c r="D20" s="71" t="s">
        <v>42</v>
      </c>
      <c r="E20" s="77"/>
      <c r="I20" s="74">
        <v>16.138549999999999</v>
      </c>
      <c r="J20" s="69"/>
      <c r="K20" s="81" t="s">
        <v>121</v>
      </c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</row>
    <row r="21" spans="1:23" s="75" customFormat="1" x14ac:dyDescent="0.2">
      <c r="A21" s="67">
        <f t="shared" si="3"/>
        <v>13</v>
      </c>
      <c r="D21" s="71" t="s">
        <v>43</v>
      </c>
      <c r="E21" s="77"/>
      <c r="I21" s="74">
        <v>32.656489000000001</v>
      </c>
      <c r="J21" s="69"/>
      <c r="K21" s="81" t="s">
        <v>121</v>
      </c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</row>
    <row r="22" spans="1:23" s="75" customFormat="1" x14ac:dyDescent="0.2">
      <c r="A22" s="67">
        <f t="shared" si="3"/>
        <v>14</v>
      </c>
      <c r="D22" s="71" t="s">
        <v>44</v>
      </c>
      <c r="E22" s="77"/>
      <c r="I22" s="74">
        <v>1.973581</v>
      </c>
      <c r="J22" s="69"/>
      <c r="K22" s="81" t="s">
        <v>121</v>
      </c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</row>
    <row r="23" spans="1:23" s="75" customFormat="1" x14ac:dyDescent="0.2">
      <c r="A23" s="67">
        <f t="shared" si="3"/>
        <v>15</v>
      </c>
      <c r="D23" s="71" t="s">
        <v>95</v>
      </c>
      <c r="E23" s="77"/>
      <c r="I23" s="74">
        <v>21.724074999999999</v>
      </c>
      <c r="J23" s="69"/>
      <c r="K23" s="81" t="s">
        <v>121</v>
      </c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</row>
    <row r="24" spans="1:23" s="75" customFormat="1" x14ac:dyDescent="0.2">
      <c r="A24" s="67">
        <f t="shared" si="3"/>
        <v>16</v>
      </c>
      <c r="D24" s="71" t="s">
        <v>96</v>
      </c>
      <c r="E24" s="77"/>
      <c r="I24" s="74">
        <v>3.33</v>
      </c>
      <c r="J24" s="69"/>
      <c r="K24" s="81" t="s">
        <v>121</v>
      </c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</row>
    <row r="25" spans="1:23" s="75" customFormat="1" x14ac:dyDescent="0.2">
      <c r="A25" s="67">
        <f t="shared" si="3"/>
        <v>17</v>
      </c>
      <c r="D25" s="71" t="s">
        <v>87</v>
      </c>
      <c r="E25" s="77"/>
      <c r="I25" s="74">
        <v>125.41500000000001</v>
      </c>
      <c r="J25" s="69"/>
      <c r="K25" s="81" t="s">
        <v>121</v>
      </c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</row>
    <row r="26" spans="1:23" s="75" customFormat="1" x14ac:dyDescent="0.2">
      <c r="A26" s="67">
        <f t="shared" si="3"/>
        <v>18</v>
      </c>
      <c r="D26" s="71" t="s">
        <v>88</v>
      </c>
      <c r="E26" s="77"/>
      <c r="I26" s="74">
        <v>16.390910999999999</v>
      </c>
      <c r="J26" s="69"/>
      <c r="K26" s="81" t="s">
        <v>121</v>
      </c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</row>
    <row r="27" spans="1:23" s="75" customFormat="1" x14ac:dyDescent="0.2">
      <c r="A27" s="67">
        <f t="shared" si="3"/>
        <v>19</v>
      </c>
      <c r="D27" s="71" t="s">
        <v>89</v>
      </c>
      <c r="E27" s="77"/>
      <c r="I27" s="74">
        <v>1.214661</v>
      </c>
      <c r="J27" s="69"/>
      <c r="K27" s="81" t="s">
        <v>121</v>
      </c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</row>
    <row r="28" spans="1:23" s="75" customFormat="1" x14ac:dyDescent="0.2">
      <c r="A28" s="67">
        <f t="shared" si="3"/>
        <v>20</v>
      </c>
      <c r="D28" s="71" t="s">
        <v>105</v>
      </c>
      <c r="E28" s="77"/>
      <c r="I28" s="74">
        <v>0</v>
      </c>
      <c r="J28" s="69"/>
      <c r="K28" s="81" t="s">
        <v>121</v>
      </c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</row>
    <row r="29" spans="1:23" s="75" customFormat="1" x14ac:dyDescent="0.2">
      <c r="A29" s="67">
        <f t="shared" si="3"/>
        <v>21</v>
      </c>
      <c r="D29" s="71" t="s">
        <v>5</v>
      </c>
      <c r="E29" s="77"/>
      <c r="F29" s="67" t="s">
        <v>90</v>
      </c>
      <c r="I29" s="68">
        <f>SUM(I14:I28)</f>
        <v>2800.3491959999997</v>
      </c>
      <c r="J29" s="68">
        <f t="shared" ref="J29:W29" si="4">J178</f>
        <v>2813.4704779780268</v>
      </c>
      <c r="K29" s="68">
        <f t="shared" si="4"/>
        <v>2826.8541855956137</v>
      </c>
      <c r="L29" s="68">
        <f t="shared" si="4"/>
        <v>2840.505567365552</v>
      </c>
      <c r="M29" s="68">
        <f t="shared" si="4"/>
        <v>2854.4299767708899</v>
      </c>
      <c r="N29" s="68">
        <f t="shared" si="4"/>
        <v>2868.6328743643339</v>
      </c>
      <c r="O29" s="68">
        <f t="shared" si="4"/>
        <v>2883.1198299096468</v>
      </c>
      <c r="P29" s="68">
        <f t="shared" si="4"/>
        <v>2897.8965245658665</v>
      </c>
      <c r="Q29" s="68">
        <f t="shared" si="4"/>
        <v>2912.9687531152094</v>
      </c>
      <c r="R29" s="68">
        <f t="shared" si="4"/>
        <v>2928.3424262355402</v>
      </c>
      <c r="S29" s="68">
        <f t="shared" si="4"/>
        <v>2944.0235728182779</v>
      </c>
      <c r="T29" s="68">
        <f t="shared" si="4"/>
        <v>2960.0183423326694</v>
      </c>
      <c r="U29" s="68">
        <f t="shared" si="4"/>
        <v>2976.3330072373487</v>
      </c>
      <c r="V29" s="68">
        <f t="shared" si="4"/>
        <v>2992.9739654401228</v>
      </c>
      <c r="W29" s="68">
        <f t="shared" si="4"/>
        <v>3009.9477428069517</v>
      </c>
    </row>
    <row r="30" spans="1:23" s="75" customFormat="1" x14ac:dyDescent="0.2">
      <c r="A30" s="67"/>
      <c r="E30" s="77"/>
      <c r="I30" s="84">
        <f>(I14+I15+I16+I23+I25)/I29</f>
        <v>0.96181954123695657</v>
      </c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</row>
    <row r="31" spans="1:23" s="75" customFormat="1" x14ac:dyDescent="0.2">
      <c r="A31" s="67"/>
      <c r="C31" s="75" t="s">
        <v>46</v>
      </c>
      <c r="E31" s="77"/>
      <c r="I31" s="78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</row>
    <row r="32" spans="1:23" s="75" customFormat="1" x14ac:dyDescent="0.2">
      <c r="A32" s="67">
        <f>A29+1</f>
        <v>22</v>
      </c>
      <c r="D32" s="71" t="str">
        <f t="shared" ref="D32:D46" si="5">D14</f>
        <v>PG&amp;E</v>
      </c>
      <c r="E32" s="77"/>
      <c r="I32" s="74">
        <v>-113.75045299999999</v>
      </c>
      <c r="J32" s="69"/>
      <c r="K32" s="81" t="s">
        <v>121</v>
      </c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</row>
    <row r="33" spans="1:23" s="75" customFormat="1" x14ac:dyDescent="0.2">
      <c r="A33" s="67">
        <f t="shared" ref="A33:A47" si="6">A32+1</f>
        <v>23</v>
      </c>
      <c r="D33" s="71" t="str">
        <f t="shared" si="5"/>
        <v>SCE</v>
      </c>
      <c r="E33" s="77"/>
      <c r="I33" s="74">
        <v>-90.700417000000002</v>
      </c>
      <c r="J33" s="69"/>
      <c r="K33" s="81" t="s">
        <v>121</v>
      </c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</row>
    <row r="34" spans="1:23" s="75" customFormat="1" x14ac:dyDescent="0.2">
      <c r="A34" s="67">
        <f t="shared" si="6"/>
        <v>24</v>
      </c>
      <c r="D34" s="71" t="str">
        <f t="shared" si="5"/>
        <v>SDG&amp;E</v>
      </c>
      <c r="E34" s="77"/>
      <c r="I34" s="74">
        <v>-19.022459000000001</v>
      </c>
      <c r="J34" s="69"/>
      <c r="K34" s="81" t="s">
        <v>121</v>
      </c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</row>
    <row r="35" spans="1:23" s="75" customFormat="1" x14ac:dyDescent="0.2">
      <c r="A35" s="67">
        <f>A34+1</f>
        <v>25</v>
      </c>
      <c r="D35" s="71" t="str">
        <f t="shared" si="5"/>
        <v>Anaheim</v>
      </c>
      <c r="E35" s="77"/>
      <c r="I35" s="74">
        <v>-0.190327</v>
      </c>
      <c r="J35" s="69"/>
      <c r="K35" s="81" t="s">
        <v>121</v>
      </c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</row>
    <row r="36" spans="1:23" s="75" customFormat="1" x14ac:dyDescent="0.2">
      <c r="A36" s="67">
        <f t="shared" si="6"/>
        <v>26</v>
      </c>
      <c r="D36" s="71" t="str">
        <f t="shared" si="5"/>
        <v>Azusa</v>
      </c>
      <c r="E36" s="77"/>
      <c r="I36" s="74">
        <v>-1.281E-3</v>
      </c>
      <c r="J36" s="69"/>
      <c r="K36" s="81" t="s">
        <v>121</v>
      </c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</row>
    <row r="37" spans="1:23" s="75" customFormat="1" x14ac:dyDescent="0.2">
      <c r="A37" s="67">
        <f t="shared" si="6"/>
        <v>27</v>
      </c>
      <c r="D37" s="71" t="str">
        <f t="shared" si="5"/>
        <v>Banning</v>
      </c>
      <c r="E37" s="77"/>
      <c r="I37" s="74">
        <v>-6.1910000000000003E-3</v>
      </c>
      <c r="J37" s="69"/>
      <c r="K37" s="81" t="s">
        <v>121</v>
      </c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</row>
    <row r="38" spans="1:23" s="75" customFormat="1" x14ac:dyDescent="0.2">
      <c r="A38" s="67">
        <f t="shared" si="6"/>
        <v>28</v>
      </c>
      <c r="D38" s="71" t="str">
        <f t="shared" si="5"/>
        <v>Pasadena</v>
      </c>
      <c r="E38" s="77"/>
      <c r="I38" s="74">
        <v>-0.105611</v>
      </c>
      <c r="J38" s="69"/>
      <c r="K38" s="81" t="s">
        <v>121</v>
      </c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</row>
    <row r="39" spans="1:23" s="75" customFormat="1" x14ac:dyDescent="0.2">
      <c r="A39" s="67">
        <f t="shared" si="6"/>
        <v>29</v>
      </c>
      <c r="D39" s="71" t="str">
        <f t="shared" si="5"/>
        <v>Riverside</v>
      </c>
      <c r="E39" s="77"/>
      <c r="I39" s="74">
        <v>-0.11434900000000001</v>
      </c>
      <c r="J39" s="69"/>
      <c r="K39" s="81" t="s">
        <v>121</v>
      </c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</row>
    <row r="40" spans="1:23" s="75" customFormat="1" x14ac:dyDescent="0.2">
      <c r="A40" s="67">
        <f t="shared" si="6"/>
        <v>30</v>
      </c>
      <c r="D40" s="71" t="str">
        <f t="shared" si="5"/>
        <v>Vernon</v>
      </c>
      <c r="E40" s="77"/>
      <c r="I40" s="74">
        <v>-2.4971E-2</v>
      </c>
      <c r="J40" s="69"/>
      <c r="K40" s="81" t="s">
        <v>121</v>
      </c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</row>
    <row r="41" spans="1:23" s="75" customFormat="1" x14ac:dyDescent="0.2">
      <c r="A41" s="67">
        <f t="shared" si="6"/>
        <v>31</v>
      </c>
      <c r="D41" s="71" t="str">
        <f t="shared" si="5"/>
        <v>DATC Path 15</v>
      </c>
      <c r="E41" s="77"/>
      <c r="I41" s="74">
        <v>0.50053499999999995</v>
      </c>
      <c r="J41" s="69"/>
      <c r="K41" s="81" t="s">
        <v>121</v>
      </c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</row>
    <row r="42" spans="1:23" s="75" customFormat="1" x14ac:dyDescent="0.2">
      <c r="A42" s="67">
        <f t="shared" si="6"/>
        <v>32</v>
      </c>
      <c r="D42" s="71" t="str">
        <f t="shared" si="5"/>
        <v>Startrans IO</v>
      </c>
      <c r="E42" s="77"/>
      <c r="I42" s="74">
        <v>6.1289000000000003E-2</v>
      </c>
      <c r="J42" s="69"/>
      <c r="K42" s="81" t="s">
        <v>121</v>
      </c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</row>
    <row r="43" spans="1:23" s="75" customFormat="1" x14ac:dyDescent="0.2">
      <c r="A43" s="67">
        <f t="shared" si="6"/>
        <v>33</v>
      </c>
      <c r="D43" s="71" t="str">
        <f t="shared" si="5"/>
        <v>Trans Bay Cable</v>
      </c>
      <c r="E43" s="77"/>
      <c r="I43" s="74">
        <v>1.536521</v>
      </c>
      <c r="J43" s="69"/>
      <c r="K43" s="81" t="s">
        <v>121</v>
      </c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</row>
    <row r="44" spans="1:23" s="75" customFormat="1" x14ac:dyDescent="0.2">
      <c r="A44" s="67">
        <f t="shared" si="6"/>
        <v>34</v>
      </c>
      <c r="D44" s="71" t="str">
        <f t="shared" si="5"/>
        <v>Citizens Sunrise</v>
      </c>
      <c r="E44" s="77"/>
      <c r="I44" s="74">
        <v>0.40156700000000001</v>
      </c>
      <c r="J44" s="69"/>
      <c r="K44" s="81" t="s">
        <v>121</v>
      </c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</row>
    <row r="45" spans="1:23" s="75" customFormat="1" x14ac:dyDescent="0.2">
      <c r="A45" s="67">
        <f t="shared" si="6"/>
        <v>35</v>
      </c>
      <c r="D45" s="71" t="str">
        <f t="shared" si="5"/>
        <v>Colton</v>
      </c>
      <c r="E45" s="77"/>
      <c r="I45" s="74">
        <v>-3.9789999999999999E-3</v>
      </c>
      <c r="J45" s="69"/>
      <c r="K45" s="81" t="s">
        <v>121</v>
      </c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</row>
    <row r="46" spans="1:23" s="75" customFormat="1" x14ac:dyDescent="0.2">
      <c r="A46" s="67">
        <f t="shared" si="6"/>
        <v>36</v>
      </c>
      <c r="D46" s="71" t="str">
        <f t="shared" si="5"/>
        <v>GWT/VEA</v>
      </c>
      <c r="E46" s="77"/>
      <c r="I46" s="74">
        <v>0</v>
      </c>
      <c r="J46" s="69"/>
      <c r="K46" s="81" t="s">
        <v>121</v>
      </c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</row>
    <row r="47" spans="1:23" s="75" customFormat="1" x14ac:dyDescent="0.2">
      <c r="A47" s="67">
        <f t="shared" si="6"/>
        <v>37</v>
      </c>
      <c r="D47" s="71" t="s">
        <v>5</v>
      </c>
      <c r="E47" s="77"/>
      <c r="I47" s="68">
        <f>SUM(I32:I46)</f>
        <v>-221.42012600000001</v>
      </c>
      <c r="J47" s="83">
        <f t="shared" ref="J47:W47" si="7">I47*(1+J9)</f>
        <v>-221.42012600000001</v>
      </c>
      <c r="K47" s="83">
        <f t="shared" si="7"/>
        <v>-221.42012600000001</v>
      </c>
      <c r="L47" s="83">
        <f t="shared" si="7"/>
        <v>-221.42012600000001</v>
      </c>
      <c r="M47" s="83">
        <f t="shared" si="7"/>
        <v>-221.42012600000001</v>
      </c>
      <c r="N47" s="83">
        <f t="shared" si="7"/>
        <v>-221.42012600000001</v>
      </c>
      <c r="O47" s="83">
        <f t="shared" si="7"/>
        <v>-221.42012600000001</v>
      </c>
      <c r="P47" s="83">
        <f t="shared" si="7"/>
        <v>-221.42012600000001</v>
      </c>
      <c r="Q47" s="83">
        <f t="shared" si="7"/>
        <v>-221.42012600000001</v>
      </c>
      <c r="R47" s="83">
        <f t="shared" si="7"/>
        <v>-221.42012600000001</v>
      </c>
      <c r="S47" s="83">
        <f t="shared" si="7"/>
        <v>-221.42012600000001</v>
      </c>
      <c r="T47" s="83">
        <f t="shared" si="7"/>
        <v>-221.42012600000001</v>
      </c>
      <c r="U47" s="83">
        <f t="shared" si="7"/>
        <v>-221.42012600000001</v>
      </c>
      <c r="V47" s="83">
        <f t="shared" si="7"/>
        <v>-221.42012600000001</v>
      </c>
      <c r="W47" s="83">
        <f t="shared" si="7"/>
        <v>-221.42012600000001</v>
      </c>
    </row>
    <row r="48" spans="1:23" s="75" customFormat="1" x14ac:dyDescent="0.2">
      <c r="A48" s="67"/>
      <c r="E48" s="77"/>
      <c r="I48" s="78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</row>
    <row r="49" spans="1:23" s="75" customFormat="1" x14ac:dyDescent="0.2">
      <c r="A49" s="67"/>
      <c r="C49" s="75" t="s">
        <v>47</v>
      </c>
      <c r="E49" s="77"/>
      <c r="I49" s="78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</row>
    <row r="50" spans="1:23" s="75" customFormat="1" x14ac:dyDescent="0.2">
      <c r="A50" s="67">
        <f>A47+1</f>
        <v>38</v>
      </c>
      <c r="D50" s="71" t="str">
        <f t="shared" ref="D50:D64" si="8">D14</f>
        <v>PG&amp;E</v>
      </c>
      <c r="E50" s="77"/>
      <c r="I50" s="74">
        <v>-4.2712279999999998</v>
      </c>
      <c r="J50" s="69"/>
      <c r="K50" s="81" t="s">
        <v>121</v>
      </c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</row>
    <row r="51" spans="1:23" s="75" customFormat="1" x14ac:dyDescent="0.2">
      <c r="A51" s="67">
        <f t="shared" ref="A51:A65" si="9">A50+1</f>
        <v>39</v>
      </c>
      <c r="D51" s="71" t="str">
        <f t="shared" si="8"/>
        <v>SCE</v>
      </c>
      <c r="E51" s="77"/>
      <c r="I51" s="74">
        <v>-7.9623480000000004</v>
      </c>
      <c r="J51" s="69"/>
      <c r="K51" s="81" t="s">
        <v>121</v>
      </c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</row>
    <row r="52" spans="1:23" s="75" customFormat="1" x14ac:dyDescent="0.2">
      <c r="A52" s="67">
        <f t="shared" si="9"/>
        <v>40</v>
      </c>
      <c r="D52" s="71" t="str">
        <f t="shared" si="8"/>
        <v>SDG&amp;E</v>
      </c>
      <c r="E52" s="77"/>
      <c r="I52" s="74">
        <v>-8.3417659999999998</v>
      </c>
      <c r="J52" s="69"/>
      <c r="K52" s="81" t="s">
        <v>121</v>
      </c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</row>
    <row r="53" spans="1:23" s="75" customFormat="1" x14ac:dyDescent="0.2">
      <c r="A53" s="67">
        <f>A52+1</f>
        <v>41</v>
      </c>
      <c r="D53" s="71" t="str">
        <f t="shared" si="8"/>
        <v>Anaheim</v>
      </c>
      <c r="E53" s="77"/>
      <c r="I53" s="74">
        <v>0</v>
      </c>
      <c r="J53" s="69"/>
      <c r="K53" s="81" t="s">
        <v>121</v>
      </c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</row>
    <row r="54" spans="1:23" s="75" customFormat="1" x14ac:dyDescent="0.2">
      <c r="A54" s="67">
        <f t="shared" si="9"/>
        <v>42</v>
      </c>
      <c r="D54" s="71" t="str">
        <f t="shared" si="8"/>
        <v>Azusa</v>
      </c>
      <c r="E54" s="77"/>
      <c r="I54" s="74">
        <v>0</v>
      </c>
      <c r="J54" s="69"/>
      <c r="K54" s="81" t="s">
        <v>121</v>
      </c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</row>
    <row r="55" spans="1:23" s="75" customFormat="1" x14ac:dyDescent="0.2">
      <c r="A55" s="67">
        <f t="shared" si="9"/>
        <v>43</v>
      </c>
      <c r="D55" s="71" t="str">
        <f t="shared" si="8"/>
        <v>Banning</v>
      </c>
      <c r="E55" s="77"/>
      <c r="I55" s="74">
        <v>0</v>
      </c>
      <c r="J55" s="69"/>
      <c r="K55" s="81" t="s">
        <v>121</v>
      </c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</row>
    <row r="56" spans="1:23" s="75" customFormat="1" x14ac:dyDescent="0.2">
      <c r="A56" s="67">
        <f t="shared" si="9"/>
        <v>44</v>
      </c>
      <c r="D56" s="71" t="str">
        <f t="shared" si="8"/>
        <v>Pasadena</v>
      </c>
      <c r="E56" s="77"/>
      <c r="I56" s="74">
        <v>0</v>
      </c>
      <c r="J56" s="69"/>
      <c r="K56" s="81" t="s">
        <v>121</v>
      </c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</row>
    <row r="57" spans="1:23" s="75" customFormat="1" x14ac:dyDescent="0.2">
      <c r="A57" s="67">
        <f t="shared" si="9"/>
        <v>45</v>
      </c>
      <c r="D57" s="71" t="str">
        <f t="shared" si="8"/>
        <v>Riverside</v>
      </c>
      <c r="E57" s="77"/>
      <c r="I57" s="74">
        <v>0</v>
      </c>
      <c r="J57" s="69"/>
      <c r="K57" s="81" t="s">
        <v>121</v>
      </c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</row>
    <row r="58" spans="1:23" s="75" customFormat="1" x14ac:dyDescent="0.2">
      <c r="A58" s="67">
        <f t="shared" si="9"/>
        <v>46</v>
      </c>
      <c r="D58" s="71" t="str">
        <f t="shared" si="8"/>
        <v>Vernon</v>
      </c>
      <c r="E58" s="77"/>
      <c r="I58" s="74">
        <v>-2.4971E-2</v>
      </c>
      <c r="J58" s="69"/>
      <c r="K58" s="81" t="s">
        <v>121</v>
      </c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</row>
    <row r="59" spans="1:23" s="75" customFormat="1" x14ac:dyDescent="0.2">
      <c r="A59" s="67">
        <f t="shared" si="9"/>
        <v>47</v>
      </c>
      <c r="D59" s="71" t="str">
        <f t="shared" si="8"/>
        <v>DATC Path 15</v>
      </c>
      <c r="E59" s="77"/>
      <c r="I59" s="74">
        <v>0</v>
      </c>
      <c r="J59" s="69"/>
      <c r="K59" s="81" t="s">
        <v>121</v>
      </c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</row>
    <row r="60" spans="1:23" s="75" customFormat="1" x14ac:dyDescent="0.2">
      <c r="A60" s="67">
        <f t="shared" si="9"/>
        <v>48</v>
      </c>
      <c r="D60" s="71" t="str">
        <f t="shared" si="8"/>
        <v>Startrans IO</v>
      </c>
      <c r="E60" s="77"/>
      <c r="I60" s="74">
        <v>0</v>
      </c>
      <c r="J60" s="69"/>
      <c r="K60" s="81" t="s">
        <v>121</v>
      </c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</row>
    <row r="61" spans="1:23" s="75" customFormat="1" x14ac:dyDescent="0.2">
      <c r="A61" s="67">
        <f t="shared" si="9"/>
        <v>49</v>
      </c>
      <c r="D61" s="71" t="str">
        <f t="shared" si="8"/>
        <v>Trans Bay Cable</v>
      </c>
      <c r="E61" s="77"/>
      <c r="I61" s="74">
        <v>0</v>
      </c>
      <c r="J61" s="69"/>
      <c r="K61" s="81" t="s">
        <v>121</v>
      </c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</row>
    <row r="62" spans="1:23" s="75" customFormat="1" x14ac:dyDescent="0.2">
      <c r="A62" s="67">
        <f t="shared" si="9"/>
        <v>50</v>
      </c>
      <c r="D62" s="71" t="str">
        <f t="shared" si="8"/>
        <v>Citizens Sunrise</v>
      </c>
      <c r="E62" s="77"/>
      <c r="I62" s="74">
        <v>0</v>
      </c>
      <c r="J62" s="69"/>
      <c r="K62" s="81" t="s">
        <v>121</v>
      </c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</row>
    <row r="63" spans="1:23" s="75" customFormat="1" x14ac:dyDescent="0.2">
      <c r="A63" s="67">
        <f t="shared" si="9"/>
        <v>51</v>
      </c>
      <c r="D63" s="71" t="str">
        <f t="shared" si="8"/>
        <v>Colton</v>
      </c>
      <c r="E63" s="77"/>
      <c r="I63" s="74">
        <v>0</v>
      </c>
      <c r="J63" s="69"/>
      <c r="K63" s="81" t="s">
        <v>121</v>
      </c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</row>
    <row r="64" spans="1:23" s="75" customFormat="1" x14ac:dyDescent="0.2">
      <c r="A64" s="67">
        <f t="shared" si="9"/>
        <v>52</v>
      </c>
      <c r="D64" s="71" t="str">
        <f t="shared" si="8"/>
        <v>GWT/VEA</v>
      </c>
      <c r="E64" s="77"/>
      <c r="I64" s="74">
        <v>0</v>
      </c>
      <c r="J64" s="69"/>
      <c r="K64" s="81" t="s">
        <v>121</v>
      </c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</row>
    <row r="65" spans="1:23" s="75" customFormat="1" x14ac:dyDescent="0.2">
      <c r="A65" s="67">
        <f t="shared" si="9"/>
        <v>53</v>
      </c>
      <c r="D65" s="71" t="s">
        <v>5</v>
      </c>
      <c r="E65" s="77"/>
      <c r="I65" s="68">
        <f>SUM(I50:I64)</f>
        <v>-20.600313</v>
      </c>
      <c r="J65" s="83">
        <f t="shared" ref="J65:W65" si="10">I65*(1+J10)</f>
        <v>-20.806316129999999</v>
      </c>
      <c r="K65" s="83">
        <f t="shared" si="10"/>
        <v>-21.014379291299999</v>
      </c>
      <c r="L65" s="83">
        <f t="shared" si="10"/>
        <v>-21.224523084213001</v>
      </c>
      <c r="M65" s="83">
        <f t="shared" si="10"/>
        <v>-21.436768315055129</v>
      </c>
      <c r="N65" s="83">
        <f t="shared" si="10"/>
        <v>-21.651135998205682</v>
      </c>
      <c r="O65" s="83">
        <f t="shared" si="10"/>
        <v>-21.867647358187739</v>
      </c>
      <c r="P65" s="83">
        <f t="shared" si="10"/>
        <v>-22.086323831769615</v>
      </c>
      <c r="Q65" s="83">
        <f t="shared" si="10"/>
        <v>-22.307187070087313</v>
      </c>
      <c r="R65" s="83">
        <f t="shared" si="10"/>
        <v>-22.530258940788187</v>
      </c>
      <c r="S65" s="83">
        <f t="shared" si="10"/>
        <v>-22.755561530196069</v>
      </c>
      <c r="T65" s="83">
        <f t="shared" si="10"/>
        <v>-22.983117145498028</v>
      </c>
      <c r="U65" s="83">
        <f t="shared" si="10"/>
        <v>-23.212948316953007</v>
      </c>
      <c r="V65" s="83">
        <f t="shared" si="10"/>
        <v>-23.445077800122537</v>
      </c>
      <c r="W65" s="83">
        <f t="shared" si="10"/>
        <v>-23.679528578123762</v>
      </c>
    </row>
    <row r="66" spans="1:23" s="75" customFormat="1" x14ac:dyDescent="0.2">
      <c r="A66" s="67"/>
      <c r="E66" s="77"/>
      <c r="I66" s="78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</row>
    <row r="67" spans="1:23" s="75" customFormat="1" x14ac:dyDescent="0.2">
      <c r="A67" s="67"/>
      <c r="C67" s="75" t="s">
        <v>91</v>
      </c>
      <c r="E67" s="77"/>
      <c r="I67" s="78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</row>
    <row r="68" spans="1:23" s="75" customFormat="1" x14ac:dyDescent="0.2">
      <c r="A68" s="67">
        <f>A65+1</f>
        <v>54</v>
      </c>
      <c r="D68" s="71" t="str">
        <f t="shared" ref="D68:D82" si="11">D14</f>
        <v>PG&amp;E</v>
      </c>
      <c r="E68" s="77"/>
      <c r="I68" s="69">
        <f>I14+I32+I50</f>
        <v>845.92005700000004</v>
      </c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</row>
    <row r="69" spans="1:23" s="75" customFormat="1" x14ac:dyDescent="0.2">
      <c r="A69" s="67">
        <f t="shared" ref="A69:A83" si="12">A68+1</f>
        <v>55</v>
      </c>
      <c r="D69" s="71" t="str">
        <f t="shared" si="11"/>
        <v>SCE</v>
      </c>
      <c r="E69" s="77"/>
      <c r="I69" s="69">
        <f t="shared" ref="I69:I83" si="13">I15+I33+I51</f>
        <v>951.50248599999986</v>
      </c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</row>
    <row r="70" spans="1:23" s="75" customFormat="1" x14ac:dyDescent="0.2">
      <c r="A70" s="67">
        <f t="shared" si="12"/>
        <v>56</v>
      </c>
      <c r="D70" s="71" t="str">
        <f t="shared" si="11"/>
        <v>SDG&amp;E</v>
      </c>
      <c r="E70" s="77"/>
      <c r="I70" s="69">
        <f t="shared" si="13"/>
        <v>504.82029</v>
      </c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</row>
    <row r="71" spans="1:23" s="75" customFormat="1" x14ac:dyDescent="0.2">
      <c r="A71" s="67">
        <f t="shared" si="12"/>
        <v>57</v>
      </c>
      <c r="D71" s="71" t="str">
        <f t="shared" si="11"/>
        <v>Anaheim</v>
      </c>
      <c r="E71" s="77"/>
      <c r="I71" s="69">
        <f t="shared" si="13"/>
        <v>33.007289999999998</v>
      </c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</row>
    <row r="72" spans="1:23" s="75" customFormat="1" x14ac:dyDescent="0.2">
      <c r="A72" s="67">
        <f t="shared" si="12"/>
        <v>58</v>
      </c>
      <c r="D72" s="71" t="str">
        <f t="shared" si="11"/>
        <v>Azusa</v>
      </c>
      <c r="E72" s="77"/>
      <c r="I72" s="69">
        <f t="shared" si="13"/>
        <v>1.1965999999999999</v>
      </c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</row>
    <row r="73" spans="1:23" s="75" customFormat="1" x14ac:dyDescent="0.2">
      <c r="A73" s="67">
        <f t="shared" si="12"/>
        <v>59</v>
      </c>
      <c r="D73" s="71" t="str">
        <f t="shared" si="11"/>
        <v>Banning</v>
      </c>
      <c r="E73" s="77"/>
      <c r="I73" s="69">
        <f t="shared" si="13"/>
        <v>0.81273600000000001</v>
      </c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</row>
    <row r="74" spans="1:23" s="75" customFormat="1" x14ac:dyDescent="0.2">
      <c r="A74" s="67">
        <f t="shared" si="12"/>
        <v>60</v>
      </c>
      <c r="D74" s="71" t="str">
        <f t="shared" si="11"/>
        <v>Pasadena</v>
      </c>
      <c r="E74" s="77"/>
      <c r="I74" s="69">
        <f t="shared" si="13"/>
        <v>16.032938999999999</v>
      </c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</row>
    <row r="75" spans="1:23" s="75" customFormat="1" x14ac:dyDescent="0.2">
      <c r="A75" s="67">
        <f t="shared" si="12"/>
        <v>61</v>
      </c>
      <c r="D75" s="71" t="str">
        <f t="shared" si="11"/>
        <v>Riverside</v>
      </c>
      <c r="E75" s="77"/>
      <c r="I75" s="69">
        <f t="shared" si="13"/>
        <v>32.542140000000003</v>
      </c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</row>
    <row r="76" spans="1:23" s="75" customFormat="1" x14ac:dyDescent="0.2">
      <c r="A76" s="67">
        <f t="shared" si="12"/>
        <v>62</v>
      </c>
      <c r="D76" s="71" t="str">
        <f t="shared" si="11"/>
        <v>Vernon</v>
      </c>
      <c r="E76" s="77"/>
      <c r="I76" s="69">
        <f t="shared" si="13"/>
        <v>1.9236389999999999</v>
      </c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</row>
    <row r="77" spans="1:23" s="75" customFormat="1" x14ac:dyDescent="0.2">
      <c r="A77" s="67">
        <f t="shared" si="12"/>
        <v>63</v>
      </c>
      <c r="D77" s="71" t="str">
        <f t="shared" si="11"/>
        <v>DATC Path 15</v>
      </c>
      <c r="E77" s="77"/>
      <c r="I77" s="69">
        <f t="shared" si="13"/>
        <v>22.224609999999998</v>
      </c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</row>
    <row r="78" spans="1:23" s="75" customFormat="1" x14ac:dyDescent="0.2">
      <c r="A78" s="67">
        <f t="shared" si="12"/>
        <v>64</v>
      </c>
      <c r="D78" s="71" t="str">
        <f t="shared" si="11"/>
        <v>Startrans IO</v>
      </c>
      <c r="E78" s="77"/>
      <c r="I78" s="69">
        <f t="shared" si="13"/>
        <v>3.391289</v>
      </c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</row>
    <row r="79" spans="1:23" s="75" customFormat="1" x14ac:dyDescent="0.2">
      <c r="A79" s="67">
        <f t="shared" si="12"/>
        <v>65</v>
      </c>
      <c r="D79" s="71" t="str">
        <f t="shared" si="11"/>
        <v>Trans Bay Cable</v>
      </c>
      <c r="E79" s="77"/>
      <c r="I79" s="69">
        <f t="shared" si="13"/>
        <v>126.951521</v>
      </c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</row>
    <row r="80" spans="1:23" s="75" customFormat="1" x14ac:dyDescent="0.2">
      <c r="A80" s="67">
        <f t="shared" si="12"/>
        <v>66</v>
      </c>
      <c r="D80" s="71" t="str">
        <f t="shared" si="11"/>
        <v>Citizens Sunrise</v>
      </c>
      <c r="E80" s="77"/>
      <c r="I80" s="69">
        <f t="shared" si="13"/>
        <v>16.792477999999999</v>
      </c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</row>
    <row r="81" spans="1:23" s="75" customFormat="1" x14ac:dyDescent="0.2">
      <c r="A81" s="67">
        <f t="shared" si="12"/>
        <v>67</v>
      </c>
      <c r="D81" s="71" t="str">
        <f t="shared" si="11"/>
        <v>Colton</v>
      </c>
      <c r="E81" s="77"/>
      <c r="I81" s="69">
        <f t="shared" si="13"/>
        <v>1.210682</v>
      </c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</row>
    <row r="82" spans="1:23" s="75" customFormat="1" x14ac:dyDescent="0.2">
      <c r="A82" s="67">
        <f t="shared" si="12"/>
        <v>68</v>
      </c>
      <c r="D82" s="71" t="str">
        <f t="shared" si="11"/>
        <v>GWT/VEA</v>
      </c>
      <c r="E82" s="77"/>
      <c r="I82" s="69">
        <f t="shared" si="13"/>
        <v>0</v>
      </c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</row>
    <row r="83" spans="1:23" s="75" customFormat="1" x14ac:dyDescent="0.2">
      <c r="A83" s="67">
        <f t="shared" si="12"/>
        <v>69</v>
      </c>
      <c r="D83" s="71" t="s">
        <v>5</v>
      </c>
      <c r="E83" s="77"/>
      <c r="F83" s="67"/>
      <c r="I83" s="68">
        <f t="shared" si="13"/>
        <v>2558.3287569999998</v>
      </c>
      <c r="J83" s="68">
        <f t="shared" ref="J83:W83" si="14">J29+J47+J65</f>
        <v>2571.2440358480267</v>
      </c>
      <c r="K83" s="68">
        <f t="shared" si="14"/>
        <v>2584.4196803043137</v>
      </c>
      <c r="L83" s="68">
        <f t="shared" si="14"/>
        <v>2597.8609182813389</v>
      </c>
      <c r="M83" s="68">
        <f t="shared" si="14"/>
        <v>2611.573082455835</v>
      </c>
      <c r="N83" s="68">
        <f t="shared" si="14"/>
        <v>2625.5616123661284</v>
      </c>
      <c r="O83" s="68">
        <f t="shared" si="14"/>
        <v>2639.8320565514591</v>
      </c>
      <c r="P83" s="68">
        <f t="shared" si="14"/>
        <v>2654.3900747340967</v>
      </c>
      <c r="Q83" s="68">
        <f t="shared" si="14"/>
        <v>2669.2414400451221</v>
      </c>
      <c r="R83" s="68">
        <f t="shared" si="14"/>
        <v>2684.3920412947518</v>
      </c>
      <c r="S83" s="68">
        <f t="shared" si="14"/>
        <v>2699.8478852880817</v>
      </c>
      <c r="T83" s="68">
        <f t="shared" si="14"/>
        <v>2715.6150991871714</v>
      </c>
      <c r="U83" s="68">
        <f t="shared" si="14"/>
        <v>2731.6999329203959</v>
      </c>
      <c r="V83" s="68">
        <f t="shared" si="14"/>
        <v>2748.1087616400005</v>
      </c>
      <c r="W83" s="68">
        <f t="shared" si="14"/>
        <v>2764.8480882288281</v>
      </c>
    </row>
    <row r="84" spans="1:23" s="75" customFormat="1" x14ac:dyDescent="0.2">
      <c r="A84" s="67"/>
      <c r="E84" s="77"/>
      <c r="I84" s="78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</row>
    <row r="85" spans="1:23" s="75" customFormat="1" x14ac:dyDescent="0.2">
      <c r="A85" s="67"/>
      <c r="C85" s="75" t="s">
        <v>92</v>
      </c>
      <c r="E85" s="77"/>
      <c r="I85" s="78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</row>
    <row r="86" spans="1:23" s="75" customFormat="1" x14ac:dyDescent="0.2">
      <c r="A86" s="67">
        <f>A83+1</f>
        <v>70</v>
      </c>
      <c r="D86" s="71" t="str">
        <f t="shared" ref="D86:D100" si="15">D14</f>
        <v>PG&amp;E</v>
      </c>
      <c r="E86" s="77"/>
      <c r="I86" s="82">
        <v>86552.89</v>
      </c>
      <c r="J86" s="69"/>
      <c r="K86" s="81" t="s">
        <v>121</v>
      </c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</row>
    <row r="87" spans="1:23" s="75" customFormat="1" x14ac:dyDescent="0.2">
      <c r="A87" s="67">
        <f t="shared" ref="A87:A101" si="16">A86+1</f>
        <v>71</v>
      </c>
      <c r="D87" s="71" t="str">
        <f t="shared" si="15"/>
        <v>SCE</v>
      </c>
      <c r="E87" s="77"/>
      <c r="I87" s="82">
        <v>83511.922999999995</v>
      </c>
      <c r="J87" s="69"/>
      <c r="K87" s="81" t="s">
        <v>121</v>
      </c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</row>
    <row r="88" spans="1:23" s="75" customFormat="1" x14ac:dyDescent="0.2">
      <c r="A88" s="67">
        <f t="shared" si="16"/>
        <v>72</v>
      </c>
      <c r="D88" s="71" t="str">
        <f t="shared" si="15"/>
        <v>SDG&amp;E</v>
      </c>
      <c r="E88" s="77"/>
      <c r="I88" s="82">
        <v>18589.406999999999</v>
      </c>
      <c r="J88" s="69"/>
      <c r="K88" s="81" t="s">
        <v>121</v>
      </c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</row>
    <row r="89" spans="1:23" s="75" customFormat="1" x14ac:dyDescent="0.2">
      <c r="A89" s="67">
        <f t="shared" si="16"/>
        <v>73</v>
      </c>
      <c r="D89" s="71" t="str">
        <f t="shared" si="15"/>
        <v>Anaheim</v>
      </c>
      <c r="E89" s="77"/>
      <c r="I89" s="82">
        <v>2290.6889999999999</v>
      </c>
      <c r="J89" s="69"/>
      <c r="K89" s="81" t="s">
        <v>121</v>
      </c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</row>
    <row r="90" spans="1:23" s="75" customFormat="1" x14ac:dyDescent="0.2">
      <c r="A90" s="67">
        <f t="shared" si="16"/>
        <v>74</v>
      </c>
      <c r="D90" s="71" t="str">
        <f t="shared" si="15"/>
        <v>Azusa</v>
      </c>
      <c r="E90" s="77"/>
      <c r="I90" s="82">
        <v>257.416</v>
      </c>
      <c r="J90" s="69"/>
      <c r="K90" s="81" t="s">
        <v>121</v>
      </c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</row>
    <row r="91" spans="1:23" s="75" customFormat="1" x14ac:dyDescent="0.2">
      <c r="A91" s="67">
        <f t="shared" si="16"/>
        <v>75</v>
      </c>
      <c r="D91" s="71" t="str">
        <f t="shared" si="15"/>
        <v>Banning</v>
      </c>
      <c r="E91" s="77"/>
      <c r="I91" s="82">
        <v>144.65199999999999</v>
      </c>
      <c r="J91" s="69"/>
      <c r="K91" s="81" t="s">
        <v>121</v>
      </c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</row>
    <row r="92" spans="1:23" s="75" customFormat="1" x14ac:dyDescent="0.2">
      <c r="A92" s="67">
        <f t="shared" si="16"/>
        <v>76</v>
      </c>
      <c r="D92" s="71" t="str">
        <f t="shared" si="15"/>
        <v>Pasadena</v>
      </c>
      <c r="E92" s="77"/>
      <c r="I92" s="82">
        <v>1065.579</v>
      </c>
      <c r="J92" s="69"/>
      <c r="K92" s="81" t="s">
        <v>121</v>
      </c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</row>
    <row r="93" spans="1:23" s="75" customFormat="1" x14ac:dyDescent="0.2">
      <c r="A93" s="67">
        <f t="shared" si="16"/>
        <v>77</v>
      </c>
      <c r="D93" s="71" t="str">
        <f t="shared" si="15"/>
        <v>Riverside</v>
      </c>
      <c r="E93" s="77"/>
      <c r="I93" s="82">
        <v>2180.9850000000001</v>
      </c>
      <c r="J93" s="69"/>
      <c r="K93" s="81" t="s">
        <v>121</v>
      </c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</row>
    <row r="94" spans="1:23" s="75" customFormat="1" x14ac:dyDescent="0.2">
      <c r="A94" s="67">
        <f t="shared" si="16"/>
        <v>78</v>
      </c>
      <c r="D94" s="71" t="str">
        <f t="shared" si="15"/>
        <v>Vernon</v>
      </c>
      <c r="E94" s="77"/>
      <c r="I94" s="82">
        <v>1119.2149999999999</v>
      </c>
      <c r="J94" s="69"/>
      <c r="K94" s="81" t="s">
        <v>121</v>
      </c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</row>
    <row r="95" spans="1:23" s="75" customFormat="1" x14ac:dyDescent="0.2">
      <c r="A95" s="67">
        <f t="shared" si="16"/>
        <v>79</v>
      </c>
      <c r="D95" s="71" t="str">
        <f t="shared" si="15"/>
        <v>DATC Path 15</v>
      </c>
      <c r="E95" s="77"/>
      <c r="I95" s="82">
        <v>0</v>
      </c>
      <c r="J95" s="69"/>
      <c r="K95" s="81" t="s">
        <v>121</v>
      </c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</row>
    <row r="96" spans="1:23" s="75" customFormat="1" x14ac:dyDescent="0.2">
      <c r="A96" s="67">
        <f t="shared" si="16"/>
        <v>80</v>
      </c>
      <c r="D96" s="71" t="str">
        <f t="shared" si="15"/>
        <v>Startrans IO</v>
      </c>
      <c r="E96" s="77"/>
      <c r="I96" s="82">
        <v>0</v>
      </c>
      <c r="J96" s="69"/>
      <c r="K96" s="81" t="s">
        <v>121</v>
      </c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</row>
    <row r="97" spans="1:23" s="75" customFormat="1" x14ac:dyDescent="0.2">
      <c r="A97" s="67">
        <f t="shared" si="16"/>
        <v>81</v>
      </c>
      <c r="D97" s="71" t="str">
        <f t="shared" si="15"/>
        <v>Trans Bay Cable</v>
      </c>
      <c r="E97" s="77"/>
      <c r="I97" s="82">
        <v>0</v>
      </c>
      <c r="J97" s="69"/>
      <c r="K97" s="81" t="s">
        <v>121</v>
      </c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</row>
    <row r="98" spans="1:23" s="75" customFormat="1" x14ac:dyDescent="0.2">
      <c r="A98" s="67">
        <f t="shared" si="16"/>
        <v>82</v>
      </c>
      <c r="D98" s="71" t="str">
        <f t="shared" si="15"/>
        <v>Citizens Sunrise</v>
      </c>
      <c r="E98" s="77"/>
      <c r="I98" s="82">
        <v>0</v>
      </c>
      <c r="J98" s="69"/>
      <c r="K98" s="81" t="s">
        <v>121</v>
      </c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</row>
    <row r="99" spans="1:23" s="75" customFormat="1" x14ac:dyDescent="0.2">
      <c r="A99" s="67">
        <f t="shared" si="16"/>
        <v>83</v>
      </c>
      <c r="D99" s="71" t="str">
        <f t="shared" si="15"/>
        <v>Colton</v>
      </c>
      <c r="E99" s="77"/>
      <c r="I99" s="82">
        <v>372.17899999999997</v>
      </c>
      <c r="J99" s="69"/>
      <c r="K99" s="81" t="s">
        <v>121</v>
      </c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</row>
    <row r="100" spans="1:23" s="75" customFormat="1" x14ac:dyDescent="0.2">
      <c r="A100" s="67">
        <f t="shared" si="16"/>
        <v>84</v>
      </c>
      <c r="D100" s="71" t="str">
        <f t="shared" si="15"/>
        <v>GWT/VEA</v>
      </c>
      <c r="E100" s="77"/>
      <c r="I100" s="82">
        <v>544.97</v>
      </c>
      <c r="J100" s="69"/>
      <c r="K100" s="81" t="s">
        <v>121</v>
      </c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</row>
    <row r="101" spans="1:23" s="75" customFormat="1" x14ac:dyDescent="0.2">
      <c r="A101" s="67">
        <f t="shared" si="16"/>
        <v>85</v>
      </c>
      <c r="D101" s="71" t="s">
        <v>5</v>
      </c>
      <c r="E101" s="77"/>
      <c r="I101" s="80">
        <f>SUM(I86:I100)</f>
        <v>196629.905</v>
      </c>
      <c r="J101" s="79">
        <f t="shared" ref="J101:W101" si="17">I101*(1+J11)</f>
        <v>196531.59004750001</v>
      </c>
      <c r="K101" s="79">
        <f t="shared" si="17"/>
        <v>196433.32425247628</v>
      </c>
      <c r="L101" s="79">
        <f t="shared" si="17"/>
        <v>196335.10759035006</v>
      </c>
      <c r="M101" s="79">
        <f t="shared" si="17"/>
        <v>196236.94003655491</v>
      </c>
      <c r="N101" s="79">
        <f t="shared" si="17"/>
        <v>196138.82156653664</v>
      </c>
      <c r="O101" s="79">
        <f t="shared" si="17"/>
        <v>196040.75215575338</v>
      </c>
      <c r="P101" s="79">
        <f t="shared" si="17"/>
        <v>195942.73177967552</v>
      </c>
      <c r="Q101" s="79">
        <f t="shared" si="17"/>
        <v>195844.7604137857</v>
      </c>
      <c r="R101" s="79">
        <f t="shared" si="17"/>
        <v>195746.83803357882</v>
      </c>
      <c r="S101" s="79">
        <f t="shared" si="17"/>
        <v>195648.96461456205</v>
      </c>
      <c r="T101" s="79">
        <f t="shared" si="17"/>
        <v>195551.14013225478</v>
      </c>
      <c r="U101" s="79">
        <f t="shared" si="17"/>
        <v>195453.36456218865</v>
      </c>
      <c r="V101" s="79">
        <f t="shared" si="17"/>
        <v>195355.63787990756</v>
      </c>
      <c r="W101" s="79">
        <f t="shared" si="17"/>
        <v>195257.96006096763</v>
      </c>
    </row>
    <row r="102" spans="1:23" s="75" customFormat="1" x14ac:dyDescent="0.2">
      <c r="A102" s="67"/>
      <c r="D102" s="71"/>
      <c r="E102" s="77"/>
      <c r="I102" s="78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</row>
    <row r="103" spans="1:23" s="75" customFormat="1" x14ac:dyDescent="0.2">
      <c r="A103" s="67">
        <f>A101+1</f>
        <v>86</v>
      </c>
      <c r="C103" s="75" t="s">
        <v>93</v>
      </c>
      <c r="D103" s="71"/>
      <c r="E103" s="77"/>
      <c r="F103" s="67"/>
      <c r="I103" s="76">
        <f>1000*I83/I101</f>
        <v>13.010883349610527</v>
      </c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</row>
    <row r="104" spans="1:23" s="75" customFormat="1" x14ac:dyDescent="0.2">
      <c r="A104" s="67"/>
      <c r="D104" s="71"/>
      <c r="E104" s="77"/>
      <c r="I104" s="76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</row>
    <row r="105" spans="1:23" s="75" customFormat="1" x14ac:dyDescent="0.2">
      <c r="A105" s="67"/>
      <c r="C105" s="75" t="s">
        <v>94</v>
      </c>
      <c r="D105" s="71"/>
      <c r="E105" s="77"/>
      <c r="I105" s="76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</row>
    <row r="106" spans="1:23" s="75" customFormat="1" x14ac:dyDescent="0.2">
      <c r="A106" s="67">
        <f>A103+1</f>
        <v>87</v>
      </c>
      <c r="D106" s="71" t="str">
        <f t="shared" ref="D106:D114" si="18">D14</f>
        <v>PG&amp;E</v>
      </c>
      <c r="E106" s="77"/>
      <c r="I106" s="76">
        <f t="shared" ref="I106:I114" si="19">1000*I68/I86</f>
        <v>9.7734466983135988</v>
      </c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</row>
    <row r="107" spans="1:23" s="75" customFormat="1" x14ac:dyDescent="0.2">
      <c r="A107" s="67">
        <f t="shared" ref="A107:A116" si="20">A106+1</f>
        <v>88</v>
      </c>
      <c r="D107" s="71" t="str">
        <f t="shared" si="18"/>
        <v>SCE</v>
      </c>
      <c r="E107" s="77"/>
      <c r="I107" s="76">
        <f t="shared" si="19"/>
        <v>11.393612454595255</v>
      </c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</row>
    <row r="108" spans="1:23" s="75" customFormat="1" x14ac:dyDescent="0.2">
      <c r="A108" s="67">
        <f t="shared" si="20"/>
        <v>89</v>
      </c>
      <c r="D108" s="71" t="str">
        <f t="shared" si="18"/>
        <v>SDG&amp;E</v>
      </c>
      <c r="E108" s="77"/>
      <c r="I108" s="76">
        <f t="shared" si="19"/>
        <v>27.156341781101464</v>
      </c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</row>
    <row r="109" spans="1:23" s="75" customFormat="1" x14ac:dyDescent="0.2">
      <c r="A109" s="67">
        <f t="shared" si="20"/>
        <v>90</v>
      </c>
      <c r="D109" s="71" t="str">
        <f t="shared" si="18"/>
        <v>Anaheim</v>
      </c>
      <c r="E109" s="77"/>
      <c r="I109" s="76">
        <f t="shared" si="19"/>
        <v>14.409328372380539</v>
      </c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</row>
    <row r="110" spans="1:23" s="75" customFormat="1" x14ac:dyDescent="0.2">
      <c r="A110" s="67">
        <f t="shared" si="20"/>
        <v>91</v>
      </c>
      <c r="D110" s="71" t="str">
        <f t="shared" si="18"/>
        <v>Azusa</v>
      </c>
      <c r="E110" s="77"/>
      <c r="I110" s="76">
        <f t="shared" si="19"/>
        <v>4.648506697330391</v>
      </c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</row>
    <row r="111" spans="1:23" s="75" customFormat="1" x14ac:dyDescent="0.2">
      <c r="A111" s="67">
        <f t="shared" si="20"/>
        <v>92</v>
      </c>
      <c r="D111" s="71" t="str">
        <f t="shared" si="18"/>
        <v>Banning</v>
      </c>
      <c r="E111" s="77"/>
      <c r="I111" s="76">
        <f t="shared" si="19"/>
        <v>5.6185604070458757</v>
      </c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</row>
    <row r="112" spans="1:23" s="75" customFormat="1" x14ac:dyDescent="0.2">
      <c r="A112" s="67">
        <f t="shared" si="20"/>
        <v>93</v>
      </c>
      <c r="D112" s="71" t="str">
        <f t="shared" si="18"/>
        <v>Pasadena</v>
      </c>
      <c r="E112" s="77"/>
      <c r="I112" s="76">
        <f t="shared" si="19"/>
        <v>15.046222757768311</v>
      </c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</row>
    <row r="113" spans="1:23" s="75" customFormat="1" x14ac:dyDescent="0.2">
      <c r="A113" s="67">
        <f t="shared" si="20"/>
        <v>94</v>
      </c>
      <c r="D113" s="71" t="str">
        <f t="shared" si="18"/>
        <v>Riverside</v>
      </c>
      <c r="E113" s="77"/>
      <c r="I113" s="76">
        <f t="shared" si="19"/>
        <v>14.920845397836299</v>
      </c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</row>
    <row r="114" spans="1:23" s="75" customFormat="1" x14ac:dyDescent="0.2">
      <c r="A114" s="67">
        <f t="shared" si="20"/>
        <v>95</v>
      </c>
      <c r="D114" s="71" t="str">
        <f t="shared" si="18"/>
        <v>Vernon</v>
      </c>
      <c r="E114" s="77"/>
      <c r="I114" s="76">
        <f t="shared" si="19"/>
        <v>1.7187394736489414</v>
      </c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</row>
    <row r="115" spans="1:23" s="75" customFormat="1" x14ac:dyDescent="0.2">
      <c r="A115" s="67">
        <f t="shared" si="20"/>
        <v>96</v>
      </c>
      <c r="D115" s="71" t="str">
        <f>D27</f>
        <v>Colton</v>
      </c>
      <c r="E115" s="77"/>
      <c r="I115" s="76">
        <f>1000*I81/I99</f>
        <v>3.2529562387990727</v>
      </c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</row>
    <row r="116" spans="1:23" s="75" customFormat="1" x14ac:dyDescent="0.2">
      <c r="A116" s="67">
        <f t="shared" si="20"/>
        <v>97</v>
      </c>
      <c r="D116" s="71" t="str">
        <f>D28</f>
        <v>GWT/VEA</v>
      </c>
      <c r="E116" s="77"/>
      <c r="I116" s="76">
        <f>1000*I82/I100</f>
        <v>0</v>
      </c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</row>
    <row r="118" spans="1:23" x14ac:dyDescent="0.2">
      <c r="C118" s="65" t="s">
        <v>85</v>
      </c>
    </row>
    <row r="119" spans="1:23" x14ac:dyDescent="0.2">
      <c r="A119" s="67">
        <f>A116+1</f>
        <v>98</v>
      </c>
      <c r="D119" s="62" t="s">
        <v>60</v>
      </c>
      <c r="F119" s="74">
        <f>5681108015.11176/1000000</f>
        <v>5681.1080151117603</v>
      </c>
      <c r="I119" s="73">
        <f>F119</f>
        <v>5681.1080151117603</v>
      </c>
      <c r="K119" s="107" t="s">
        <v>124</v>
      </c>
    </row>
    <row r="120" spans="1:23" x14ac:dyDescent="0.2">
      <c r="A120" s="67">
        <f>A119+1</f>
        <v>99</v>
      </c>
      <c r="D120" s="62" t="s">
        <v>56</v>
      </c>
      <c r="F120" s="74">
        <f>3658171540.44568/1000000</f>
        <v>3658.17154044568</v>
      </c>
      <c r="I120" s="73">
        <f>F120</f>
        <v>3658.17154044568</v>
      </c>
      <c r="K120" s="107" t="s">
        <v>125</v>
      </c>
    </row>
    <row r="121" spans="1:23" x14ac:dyDescent="0.2">
      <c r="A121" s="67"/>
      <c r="F121" s="69"/>
      <c r="K121" s="107"/>
    </row>
    <row r="122" spans="1:23" x14ac:dyDescent="0.2">
      <c r="A122" s="67">
        <f>A120+1</f>
        <v>100</v>
      </c>
      <c r="D122" s="62" t="s">
        <v>4</v>
      </c>
      <c r="F122" s="74">
        <f>(173187590+15045557)/1000000</f>
        <v>188.233147</v>
      </c>
      <c r="I122" s="73">
        <f>F122</f>
        <v>188.233147</v>
      </c>
      <c r="J122" s="34"/>
      <c r="K122" s="107" t="s">
        <v>126</v>
      </c>
      <c r="N122" s="34"/>
      <c r="Q122" s="34"/>
    </row>
    <row r="123" spans="1:23" x14ac:dyDescent="0.2">
      <c r="A123" s="67">
        <f>A122+1</f>
        <v>101</v>
      </c>
      <c r="D123" s="62" t="s">
        <v>57</v>
      </c>
      <c r="F123" s="74">
        <f>266539163.133518/1000000</f>
        <v>266.539163133518</v>
      </c>
      <c r="I123" s="73">
        <f>F123</f>
        <v>266.539163133518</v>
      </c>
      <c r="J123" s="34"/>
      <c r="K123" s="107" t="s">
        <v>127</v>
      </c>
      <c r="N123" s="34"/>
      <c r="Q123" s="34"/>
    </row>
    <row r="124" spans="1:23" ht="15" x14ac:dyDescent="0.25">
      <c r="A124" s="67">
        <f>A123+1</f>
        <v>102</v>
      </c>
      <c r="D124" s="62" t="s">
        <v>18</v>
      </c>
      <c r="F124" s="74">
        <f>64301798/1000000</f>
        <v>64.301798000000005</v>
      </c>
      <c r="I124" s="73">
        <f>F124</f>
        <v>64.301798000000005</v>
      </c>
      <c r="J124" s="108"/>
      <c r="K124" s="107" t="s">
        <v>140</v>
      </c>
      <c r="R124" s="120"/>
    </row>
    <row r="125" spans="1:23" ht="15" x14ac:dyDescent="0.25">
      <c r="A125" s="67">
        <f>A124+1</f>
        <v>103</v>
      </c>
      <c r="D125" s="71" t="s">
        <v>19</v>
      </c>
      <c r="F125" s="69">
        <f>F126-SUM(F122:F124)</f>
        <v>444.86762986648205</v>
      </c>
      <c r="I125" s="73">
        <f>F125</f>
        <v>444.86762986648205</v>
      </c>
      <c r="J125" s="34"/>
      <c r="K125" s="107"/>
      <c r="R125" s="120"/>
    </row>
    <row r="126" spans="1:23" x14ac:dyDescent="0.2">
      <c r="A126" s="67">
        <f>A125+1</f>
        <v>104</v>
      </c>
      <c r="D126" s="62" t="s">
        <v>45</v>
      </c>
      <c r="F126" s="72">
        <f>I126</f>
        <v>963.94173799999999</v>
      </c>
      <c r="I126" s="68">
        <f>I14</f>
        <v>963.94173799999999</v>
      </c>
      <c r="K126" s="107" t="s">
        <v>128</v>
      </c>
    </row>
    <row r="128" spans="1:23" x14ac:dyDescent="0.2">
      <c r="C128" s="65" t="s">
        <v>38</v>
      </c>
    </row>
    <row r="129" spans="1:19" x14ac:dyDescent="0.2">
      <c r="A129" s="67">
        <f>A126+1</f>
        <v>105</v>
      </c>
      <c r="D129" s="62" t="s">
        <v>60</v>
      </c>
      <c r="F129" s="74">
        <f>9285531121/1000000</f>
        <v>9285.531121</v>
      </c>
      <c r="I129" s="73">
        <f>F129*$I$136/$F$136</f>
        <v>9011.4367055738603</v>
      </c>
      <c r="K129" s="109" t="s">
        <v>141</v>
      </c>
      <c r="Q129" s="106"/>
    </row>
    <row r="130" spans="1:19" x14ac:dyDescent="0.2">
      <c r="A130" s="67">
        <f>A129+1</f>
        <v>106</v>
      </c>
      <c r="D130" s="62" t="s">
        <v>56</v>
      </c>
      <c r="F130" s="74">
        <f>6428091828.91836/1000000</f>
        <v>6428.0918289183601</v>
      </c>
      <c r="I130" s="73">
        <f>F130*$I$136/$F$136</f>
        <v>6238.3445706093298</v>
      </c>
      <c r="K130" s="109" t="s">
        <v>142</v>
      </c>
      <c r="Q130" s="110"/>
    </row>
    <row r="131" spans="1:19" x14ac:dyDescent="0.2">
      <c r="A131" s="67"/>
      <c r="F131" s="69"/>
      <c r="I131" s="69"/>
      <c r="K131" s="109"/>
      <c r="Q131" s="106"/>
    </row>
    <row r="132" spans="1:19" x14ac:dyDescent="0.2">
      <c r="A132" s="67">
        <f>A130+1</f>
        <v>107</v>
      </c>
      <c r="D132" s="62" t="s">
        <v>4</v>
      </c>
      <c r="F132" s="74">
        <f>255151988.455089/1000000</f>
        <v>255.151988455089</v>
      </c>
      <c r="I132" s="73">
        <f t="shared" ref="I132:I135" si="21">F132*$I$136/$F$136</f>
        <v>247.62029918399827</v>
      </c>
      <c r="J132" s="34"/>
      <c r="K132" s="109" t="s">
        <v>143</v>
      </c>
      <c r="S132" s="34"/>
    </row>
    <row r="133" spans="1:19" x14ac:dyDescent="0.2">
      <c r="A133" s="67">
        <f>A132+1</f>
        <v>108</v>
      </c>
      <c r="D133" s="62" t="s">
        <v>57</v>
      </c>
      <c r="F133" s="74">
        <f>473893908.523055/1000000</f>
        <v>473.89390852305502</v>
      </c>
      <c r="I133" s="73">
        <f t="shared" si="21"/>
        <v>459.90529848685856</v>
      </c>
      <c r="J133" s="34"/>
      <c r="K133" s="109" t="s">
        <v>144</v>
      </c>
      <c r="L133" s="35"/>
      <c r="R133" s="106"/>
      <c r="S133" s="34"/>
    </row>
    <row r="134" spans="1:19" x14ac:dyDescent="0.2">
      <c r="A134" s="67">
        <f>A133+1</f>
        <v>109</v>
      </c>
      <c r="D134" s="62" t="s">
        <v>18</v>
      </c>
      <c r="F134" s="74">
        <f>96588917.241946/1000000</f>
        <v>96.588917241945992</v>
      </c>
      <c r="I134" s="73">
        <f t="shared" si="21"/>
        <v>93.737762853135564</v>
      </c>
      <c r="J134" s="34"/>
      <c r="K134" s="109" t="s">
        <v>145</v>
      </c>
      <c r="S134" s="34"/>
    </row>
    <row r="135" spans="1:19" x14ac:dyDescent="0.2">
      <c r="A135" s="67">
        <f>A134+1</f>
        <v>110</v>
      </c>
      <c r="D135" s="71" t="s">
        <v>19</v>
      </c>
      <c r="F135" s="69">
        <f>F136-SUM(F132:F134)</f>
        <v>256.47256099142987</v>
      </c>
      <c r="I135" s="73">
        <f t="shared" si="21"/>
        <v>248.90189047600757</v>
      </c>
      <c r="J135" s="34"/>
      <c r="K135" s="109"/>
    </row>
    <row r="136" spans="1:19" x14ac:dyDescent="0.2">
      <c r="A136" s="67">
        <f>A135+1</f>
        <v>111</v>
      </c>
      <c r="D136" s="62" t="s">
        <v>45</v>
      </c>
      <c r="F136" s="72">
        <f>1082107375.21152/1000000</f>
        <v>1082.1073752115199</v>
      </c>
      <c r="I136" s="68">
        <f>I15</f>
        <v>1050.1652509999999</v>
      </c>
      <c r="K136" s="109" t="s">
        <v>146</v>
      </c>
      <c r="Q136" s="106"/>
    </row>
    <row r="137" spans="1:19" x14ac:dyDescent="0.2">
      <c r="F137" s="100"/>
    </row>
    <row r="138" spans="1:19" x14ac:dyDescent="0.2">
      <c r="C138" s="65" t="s">
        <v>86</v>
      </c>
    </row>
    <row r="139" spans="1:19" x14ac:dyDescent="0.2">
      <c r="A139" s="67">
        <f>A136+1</f>
        <v>112</v>
      </c>
      <c r="D139" s="62" t="s">
        <v>60</v>
      </c>
      <c r="F139" s="74">
        <f>5678390.05002231/1000</f>
        <v>5678.3900500223099</v>
      </c>
      <c r="I139" s="73">
        <f>F139*I$146/F$146</f>
        <v>3491.7483944008623</v>
      </c>
      <c r="K139" s="107" t="s">
        <v>147</v>
      </c>
      <c r="P139" s="106"/>
    </row>
    <row r="140" spans="1:19" x14ac:dyDescent="0.2">
      <c r="A140" s="67">
        <f>A139+1</f>
        <v>113</v>
      </c>
      <c r="D140" s="62" t="s">
        <v>56</v>
      </c>
      <c r="F140" s="74">
        <f>4005297.75521942/1000</f>
        <v>4005.2977552194197</v>
      </c>
      <c r="I140" s="73">
        <f>F140*I$146/F$146</f>
        <v>2462.9326063696235</v>
      </c>
      <c r="K140" s="107" t="s">
        <v>148</v>
      </c>
    </row>
    <row r="141" spans="1:19" x14ac:dyDescent="0.2">
      <c r="A141" s="67"/>
      <c r="F141" s="69"/>
      <c r="K141" s="112"/>
    </row>
    <row r="142" spans="1:19" x14ac:dyDescent="0.2">
      <c r="A142" s="67">
        <f>A140+1</f>
        <v>114</v>
      </c>
      <c r="D142" s="62" t="s">
        <v>4</v>
      </c>
      <c r="F142" s="74">
        <f>175542.868738306/1000</f>
        <v>175.542868738306</v>
      </c>
      <c r="I142" s="73">
        <f>F142*I$146/F$146</f>
        <v>107.94459779371672</v>
      </c>
      <c r="J142" s="34"/>
      <c r="K142" s="107" t="s">
        <v>150</v>
      </c>
      <c r="Q142" s="35"/>
    </row>
    <row r="143" spans="1:19" x14ac:dyDescent="0.2">
      <c r="A143" s="67">
        <f>A142+1</f>
        <v>115</v>
      </c>
      <c r="D143" s="62" t="s">
        <v>57</v>
      </c>
      <c r="F143" s="74">
        <f>F140*0.0755</f>
        <v>302.39998051906616</v>
      </c>
      <c r="I143" s="73">
        <f>F143*I$146/F$146</f>
        <v>185.95141178090657</v>
      </c>
      <c r="J143" s="34"/>
      <c r="K143" s="107" t="s">
        <v>160</v>
      </c>
      <c r="Q143" s="35"/>
    </row>
    <row r="144" spans="1:19" ht="15" x14ac:dyDescent="0.25">
      <c r="A144" s="67">
        <f>A143+1</f>
        <v>116</v>
      </c>
      <c r="D144" s="62" t="s">
        <v>18</v>
      </c>
      <c r="F144" s="74">
        <f>F140*0.020689</f>
        <v>82.865605257734572</v>
      </c>
      <c r="I144" s="73">
        <f>F144*I$146/F$146</f>
        <v>50.955612693181138</v>
      </c>
      <c r="J144" s="34"/>
      <c r="K144" s="107" t="s">
        <v>149</v>
      </c>
      <c r="Q144" s="108"/>
      <c r="R144" s="113"/>
    </row>
    <row r="145" spans="1:17" x14ac:dyDescent="0.2">
      <c r="A145" s="67">
        <f>A144+1</f>
        <v>117</v>
      </c>
      <c r="D145" s="71" t="s">
        <v>19</v>
      </c>
      <c r="F145" s="69">
        <f>F146-SUM(F142:F144)</f>
        <v>304.64658789223029</v>
      </c>
      <c r="I145" s="73">
        <f>F145*I$146/F$146</f>
        <v>187.3328927321956</v>
      </c>
      <c r="J145" s="34"/>
      <c r="K145" s="112"/>
    </row>
    <row r="146" spans="1:17" x14ac:dyDescent="0.2">
      <c r="A146" s="67">
        <f>A145+1</f>
        <v>118</v>
      </c>
      <c r="D146" s="62" t="s">
        <v>45</v>
      </c>
      <c r="F146" s="72">
        <f>865455.042407337/1000</f>
        <v>865.45504240733703</v>
      </c>
      <c r="I146" s="68">
        <f>I16</f>
        <v>532.18451500000003</v>
      </c>
      <c r="K146" s="107" t="s">
        <v>159</v>
      </c>
    </row>
    <row r="147" spans="1:17" x14ac:dyDescent="0.2">
      <c r="F147" s="100"/>
    </row>
    <row r="148" spans="1:17" x14ac:dyDescent="0.2">
      <c r="C148" s="65" t="s">
        <v>95</v>
      </c>
    </row>
    <row r="149" spans="1:17" x14ac:dyDescent="0.2">
      <c r="A149" s="67">
        <f>A146+1</f>
        <v>119</v>
      </c>
      <c r="D149" s="62" t="s">
        <v>60</v>
      </c>
      <c r="F149" s="74">
        <v>151.58952600000001</v>
      </c>
      <c r="I149" s="73">
        <f>F149*I$156/F$156</f>
        <v>128.78380358594217</v>
      </c>
      <c r="K149" s="107" t="s">
        <v>129</v>
      </c>
      <c r="P149" s="110"/>
    </row>
    <row r="150" spans="1:17" x14ac:dyDescent="0.2">
      <c r="A150" s="67">
        <f>A149+1</f>
        <v>120</v>
      </c>
      <c r="D150" s="62" t="s">
        <v>56</v>
      </c>
      <c r="F150" s="74">
        <v>104.850024</v>
      </c>
      <c r="I150" s="73">
        <f>F150*I$156/F$156</f>
        <v>89.075975452270498</v>
      </c>
      <c r="K150" s="107" t="s">
        <v>130</v>
      </c>
      <c r="P150" s="110"/>
    </row>
    <row r="151" spans="1:17" x14ac:dyDescent="0.2">
      <c r="A151" s="67"/>
      <c r="K151" s="107"/>
    </row>
    <row r="152" spans="1:17" x14ac:dyDescent="0.2">
      <c r="A152" s="67">
        <f>A150+1</f>
        <v>121</v>
      </c>
      <c r="D152" s="62" t="s">
        <v>4</v>
      </c>
      <c r="F152" s="74">
        <f>5.046878+0.7</f>
        <v>5.7468780000000006</v>
      </c>
      <c r="I152" s="73">
        <f>F152*I$156/F$156</f>
        <v>4.8822951500248912</v>
      </c>
      <c r="J152" s="34"/>
      <c r="K152" s="107" t="s">
        <v>154</v>
      </c>
    </row>
    <row r="153" spans="1:17" x14ac:dyDescent="0.2">
      <c r="A153" s="67">
        <f>A152+1</f>
        <v>122</v>
      </c>
      <c r="D153" s="62" t="s">
        <v>57</v>
      </c>
      <c r="F153" s="74">
        <v>11.568531999999999</v>
      </c>
      <c r="I153" s="73">
        <f>F153*I$156/F$156</f>
        <v>9.8281167055412961</v>
      </c>
      <c r="J153" s="34"/>
      <c r="K153" s="107" t="s">
        <v>131</v>
      </c>
    </row>
    <row r="154" spans="1:17" x14ac:dyDescent="0.2">
      <c r="A154" s="67">
        <f>A153+1</f>
        <v>123</v>
      </c>
      <c r="D154" s="62" t="s">
        <v>18</v>
      </c>
      <c r="F154" s="74">
        <v>4.9840739999999997</v>
      </c>
      <c r="I154" s="73">
        <f>F154*I$156/F$156</f>
        <v>4.2342503734314798</v>
      </c>
      <c r="J154" s="34"/>
      <c r="K154" s="107" t="s">
        <v>132</v>
      </c>
    </row>
    <row r="155" spans="1:17" x14ac:dyDescent="0.2">
      <c r="A155" s="67">
        <f>A154+1</f>
        <v>124</v>
      </c>
      <c r="D155" s="71" t="s">
        <v>19</v>
      </c>
      <c r="F155" s="69">
        <f>F156-SUM(F152:F154)</f>
        <v>3.271606000000002</v>
      </c>
      <c r="I155" s="73">
        <f>F155*I$156/F$156</f>
        <v>2.7794127710023329</v>
      </c>
      <c r="J155" s="34"/>
      <c r="K155" s="107"/>
    </row>
    <row r="156" spans="1:17" x14ac:dyDescent="0.2">
      <c r="A156" s="67">
        <f>A155+1</f>
        <v>125</v>
      </c>
      <c r="D156" s="62" t="s">
        <v>45</v>
      </c>
      <c r="F156" s="72">
        <v>25.571090000000002</v>
      </c>
      <c r="I156" s="68">
        <f>I23</f>
        <v>21.724074999999999</v>
      </c>
      <c r="K156" s="107" t="s">
        <v>155</v>
      </c>
      <c r="Q156" s="106"/>
    </row>
    <row r="157" spans="1:17" x14ac:dyDescent="0.2">
      <c r="F157" s="100"/>
    </row>
    <row r="158" spans="1:17" x14ac:dyDescent="0.2">
      <c r="C158" s="65" t="s">
        <v>87</v>
      </c>
    </row>
    <row r="159" spans="1:17" x14ac:dyDescent="0.2">
      <c r="A159" s="67">
        <f>A156+1</f>
        <v>126</v>
      </c>
      <c r="D159" s="62" t="s">
        <v>60</v>
      </c>
      <c r="F159" s="74">
        <v>653.68299999999999</v>
      </c>
      <c r="I159" s="73">
        <f>F159*I$166/F$166</f>
        <v>521.23326876859699</v>
      </c>
      <c r="K159" s="107" t="s">
        <v>135</v>
      </c>
    </row>
    <row r="160" spans="1:17" x14ac:dyDescent="0.2">
      <c r="A160" s="67">
        <f>A159+1</f>
        <v>127</v>
      </c>
      <c r="D160" s="62" t="s">
        <v>56</v>
      </c>
      <c r="F160" s="74">
        <v>522.202</v>
      </c>
      <c r="I160" s="73">
        <f>F160*I$166/F$166</f>
        <v>416.39304589150839</v>
      </c>
      <c r="K160" s="107" t="s">
        <v>134</v>
      </c>
    </row>
    <row r="161" spans="1:23" x14ac:dyDescent="0.2">
      <c r="A161" s="67"/>
      <c r="F161" s="69"/>
      <c r="K161" s="107"/>
    </row>
    <row r="162" spans="1:23" x14ac:dyDescent="0.2">
      <c r="A162" s="67">
        <f>A160+1</f>
        <v>128</v>
      </c>
      <c r="D162" s="62" t="s">
        <v>4</v>
      </c>
      <c r="F162" s="74">
        <v>28.577000000000002</v>
      </c>
      <c r="I162" s="73">
        <f>F162*I$166/F$166</f>
        <v>22.786707198443583</v>
      </c>
      <c r="J162" s="34"/>
      <c r="K162" s="107" t="s">
        <v>136</v>
      </c>
      <c r="R162" s="33"/>
    </row>
    <row r="163" spans="1:23" x14ac:dyDescent="0.2">
      <c r="A163" s="67">
        <f>A162+1</f>
        <v>129</v>
      </c>
      <c r="D163" s="62" t="s">
        <v>57</v>
      </c>
      <c r="F163" s="74">
        <v>51.055</v>
      </c>
      <c r="I163" s="73">
        <f>F163*I$166/F$166</f>
        <v>40.710198271915772</v>
      </c>
      <c r="J163" s="34"/>
      <c r="K163" s="107" t="s">
        <v>137</v>
      </c>
      <c r="R163" s="33"/>
    </row>
    <row r="164" spans="1:23" x14ac:dyDescent="0.2">
      <c r="A164" s="67">
        <f>A163+1</f>
        <v>130</v>
      </c>
      <c r="D164" s="62" t="s">
        <v>18</v>
      </c>
      <c r="F164" s="74">
        <v>17.747</v>
      </c>
      <c r="I164" s="73">
        <f>F164*I$166/F$166</f>
        <v>14.151089780270086</v>
      </c>
      <c r="J164" s="34"/>
      <c r="K164" s="107" t="s">
        <v>138</v>
      </c>
      <c r="R164" s="33"/>
    </row>
    <row r="165" spans="1:23" x14ac:dyDescent="0.2">
      <c r="A165" s="67">
        <f>A164+1</f>
        <v>131</v>
      </c>
      <c r="D165" s="71" t="s">
        <v>19</v>
      </c>
      <c r="F165" s="69">
        <f>F166-SUM(F162:F164)</f>
        <v>59.904999999999987</v>
      </c>
      <c r="I165" s="73">
        <f>F165*I$166/F$166</f>
        <v>47.767004749370557</v>
      </c>
      <c r="J165" s="34"/>
      <c r="K165" s="107"/>
    </row>
    <row r="166" spans="1:23" x14ac:dyDescent="0.2">
      <c r="A166" s="67">
        <f>A165+1</f>
        <v>132</v>
      </c>
      <c r="D166" s="62" t="s">
        <v>45</v>
      </c>
      <c r="F166" s="72">
        <v>157.28399999999999</v>
      </c>
      <c r="I166" s="68">
        <f>I25</f>
        <v>125.41500000000001</v>
      </c>
      <c r="K166" s="107" t="s">
        <v>139</v>
      </c>
    </row>
    <row r="168" spans="1:23" x14ac:dyDescent="0.2">
      <c r="C168" s="65" t="s">
        <v>63</v>
      </c>
    </row>
    <row r="169" spans="1:23" x14ac:dyDescent="0.2">
      <c r="A169" s="67">
        <f>A166+1</f>
        <v>133</v>
      </c>
      <c r="D169" s="62" t="s">
        <v>60</v>
      </c>
      <c r="I169" s="69">
        <f>I119+I129+I139+I149+I159</f>
        <v>18834.31018744102</v>
      </c>
      <c r="J169" s="69">
        <f>I169*(
1+J7)</f>
        <v>19210.996391189841</v>
      </c>
      <c r="K169" s="69">
        <f t="shared" ref="K169:W169" si="22">J169*(1+K7)</f>
        <v>19595.216319013638</v>
      </c>
      <c r="L169" s="69">
        <f t="shared" si="22"/>
        <v>19987.120645393912</v>
      </c>
      <c r="M169" s="69">
        <f t="shared" si="22"/>
        <v>20386.863058301791</v>
      </c>
      <c r="N169" s="69">
        <f t="shared" si="22"/>
        <v>20794.600319467827</v>
      </c>
      <c r="O169" s="69">
        <f t="shared" si="22"/>
        <v>21210.492325857183</v>
      </c>
      <c r="P169" s="69">
        <f t="shared" si="22"/>
        <v>21634.702172374327</v>
      </c>
      <c r="Q169" s="69">
        <f t="shared" si="22"/>
        <v>22067.396215821813</v>
      </c>
      <c r="R169" s="69">
        <f t="shared" si="22"/>
        <v>22508.744140138249</v>
      </c>
      <c r="S169" s="69">
        <f t="shared" si="22"/>
        <v>22958.919022941016</v>
      </c>
      <c r="T169" s="69">
        <f t="shared" si="22"/>
        <v>23418.097403399835</v>
      </c>
      <c r="U169" s="69">
        <f t="shared" si="22"/>
        <v>23886.459351467831</v>
      </c>
      <c r="V169" s="69">
        <f t="shared" si="22"/>
        <v>24364.188538497187</v>
      </c>
      <c r="W169" s="69">
        <f t="shared" si="22"/>
        <v>24851.47230926713</v>
      </c>
    </row>
    <row r="170" spans="1:23" x14ac:dyDescent="0.2">
      <c r="A170" s="67">
        <f>A169+1</f>
        <v>134</v>
      </c>
      <c r="D170" s="62" t="s">
        <v>56</v>
      </c>
      <c r="I170" s="69">
        <f>I120+I130+I140+I150+I160</f>
        <v>12864.917738768414</v>
      </c>
      <c r="J170" s="69">
        <f t="shared" ref="J170:W170" si="23">I170+(J169-I169)-J172</f>
        <v>12658.707555264527</v>
      </c>
      <c r="K170" s="69">
        <f t="shared" si="23"/>
        <v>12448.373168090562</v>
      </c>
      <c r="L170" s="69">
        <f t="shared" si="23"/>
        <v>12233.83209317312</v>
      </c>
      <c r="M170" s="69">
        <f t="shared" si="23"/>
        <v>12015.000196757328</v>
      </c>
      <c r="N170" s="69">
        <f t="shared" si="23"/>
        <v>11791.791662413219</v>
      </c>
      <c r="O170" s="69">
        <f t="shared" si="23"/>
        <v>11564.118957382228</v>
      </c>
      <c r="P170" s="69">
        <f t="shared" si="23"/>
        <v>11331.892798250617</v>
      </c>
      <c r="Q170" s="69">
        <f t="shared" si="23"/>
        <v>11095.022115936374</v>
      </c>
      <c r="R170" s="69">
        <f t="shared" si="23"/>
        <v>10853.414019975846</v>
      </c>
      <c r="S170" s="69">
        <f t="shared" si="23"/>
        <v>10606.97376209611</v>
      </c>
      <c r="T170" s="69">
        <f t="shared" si="23"/>
        <v>10355.604699058777</v>
      </c>
      <c r="U170" s="69">
        <f t="shared" si="23"/>
        <v>10099.208254760695</v>
      </c>
      <c r="V170" s="69">
        <f t="shared" si="23"/>
        <v>9837.6838815766532</v>
      </c>
      <c r="W170" s="69">
        <f t="shared" si="23"/>
        <v>9570.929020928932</v>
      </c>
    </row>
    <row r="171" spans="1:23" x14ac:dyDescent="0.2">
      <c r="A171" s="67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</row>
    <row r="172" spans="1:23" x14ac:dyDescent="0.2">
      <c r="A172" s="67">
        <f>A170+1</f>
        <v>135</v>
      </c>
      <c r="D172" s="62" t="s">
        <v>4</v>
      </c>
      <c r="F172" s="37">
        <f>I172/I169</f>
        <v>3.0341809210896697E-2</v>
      </c>
      <c r="I172" s="69">
        <f>I122+I132+I142+I152+I162</f>
        <v>571.46704632618344</v>
      </c>
      <c r="J172" s="69">
        <f t="shared" ref="J172:W172" si="24">$F172*J169</f>
        <v>582.89638725270709</v>
      </c>
      <c r="K172" s="69">
        <f t="shared" si="24"/>
        <v>594.55431499776125</v>
      </c>
      <c r="L172" s="69">
        <f t="shared" si="24"/>
        <v>606.44540129771656</v>
      </c>
      <c r="M172" s="69">
        <f t="shared" si="24"/>
        <v>618.57430932367083</v>
      </c>
      <c r="N172" s="69">
        <f t="shared" si="24"/>
        <v>630.94579551014431</v>
      </c>
      <c r="O172" s="69">
        <f t="shared" si="24"/>
        <v>643.56471142034718</v>
      </c>
      <c r="P172" s="69">
        <f t="shared" si="24"/>
        <v>656.43600564875419</v>
      </c>
      <c r="Q172" s="69">
        <f t="shared" si="24"/>
        <v>669.56472576172916</v>
      </c>
      <c r="R172" s="69">
        <f t="shared" si="24"/>
        <v>682.95602027696373</v>
      </c>
      <c r="S172" s="69">
        <f t="shared" si="24"/>
        <v>696.61514068250312</v>
      </c>
      <c r="T172" s="69">
        <f t="shared" si="24"/>
        <v>710.54744349615316</v>
      </c>
      <c r="U172" s="69">
        <f t="shared" si="24"/>
        <v>724.75839236607612</v>
      </c>
      <c r="V172" s="69">
        <f t="shared" si="24"/>
        <v>739.25356021339769</v>
      </c>
      <c r="W172" s="69">
        <f t="shared" si="24"/>
        <v>754.03863141766567</v>
      </c>
    </row>
    <row r="173" spans="1:23" x14ac:dyDescent="0.2">
      <c r="A173" s="67">
        <f t="shared" ref="A173:A178" si="25">A172+1</f>
        <v>136</v>
      </c>
      <c r="D173" s="62" t="s">
        <v>57</v>
      </c>
      <c r="F173" s="37">
        <f>I173/I170</f>
        <v>7.4849618779678578E-2</v>
      </c>
      <c r="I173" s="69">
        <f>I123+I133+I143+I153+I163</f>
        <v>962.93418837874037</v>
      </c>
      <c r="J173" s="69">
        <f>$F173*J170</f>
        <v>947.49943475498685</v>
      </c>
      <c r="K173" s="69">
        <f t="shared" ref="K173:W173" si="26">$F173*K170</f>
        <v>931.75598605875825</v>
      </c>
      <c r="L173" s="69">
        <f t="shared" si="26"/>
        <v>915.69766838860517</v>
      </c>
      <c r="M173" s="69">
        <f t="shared" si="26"/>
        <v>899.31818436504909</v>
      </c>
      <c r="N173" s="69">
        <f t="shared" si="26"/>
        <v>882.61111066102183</v>
      </c>
      <c r="O173" s="69">
        <f t="shared" si="26"/>
        <v>865.56989548291392</v>
      </c>
      <c r="P173" s="69">
        <f t="shared" si="26"/>
        <v>848.18785600124386</v>
      </c>
      <c r="Q173" s="69">
        <f t="shared" si="26"/>
        <v>830.45817572994031</v>
      </c>
      <c r="R173" s="69">
        <f t="shared" si="26"/>
        <v>812.3739018532109</v>
      </c>
      <c r="S173" s="69">
        <f t="shared" si="26"/>
        <v>793.92794249894689</v>
      </c>
      <c r="T173" s="69">
        <f t="shared" si="26"/>
        <v>775.11306395759755</v>
      </c>
      <c r="U173" s="69">
        <f t="shared" si="26"/>
        <v>755.921887845421</v>
      </c>
      <c r="V173" s="69">
        <f t="shared" si="26"/>
        <v>736.3468882110011</v>
      </c>
      <c r="W173" s="69">
        <f t="shared" si="26"/>
        <v>716.38038858389291</v>
      </c>
    </row>
    <row r="174" spans="1:23" x14ac:dyDescent="0.2">
      <c r="A174" s="67">
        <f t="shared" si="25"/>
        <v>137</v>
      </c>
      <c r="D174" s="62" t="s">
        <v>18</v>
      </c>
      <c r="F174" s="37">
        <f>I174/I170</f>
        <v>1.7674463087689041E-2</v>
      </c>
      <c r="I174" s="69">
        <f>I124+I134+I144+I154+I164</f>
        <v>227.3805137000183</v>
      </c>
      <c r="J174" s="69">
        <f t="shared" ref="J174:W174" si="27">$F174*J170</f>
        <v>223.73585942337328</v>
      </c>
      <c r="K174" s="69">
        <f t="shared" si="27"/>
        <v>220.01831206119533</v>
      </c>
      <c r="L174" s="69">
        <f t="shared" si="27"/>
        <v>216.22641375177386</v>
      </c>
      <c r="M174" s="69">
        <f t="shared" si="27"/>
        <v>212.35867747616396</v>
      </c>
      <c r="N174" s="69">
        <f t="shared" si="27"/>
        <v>208.41358647504185</v>
      </c>
      <c r="O174" s="69">
        <f t="shared" si="27"/>
        <v>204.38959365389729</v>
      </c>
      <c r="P174" s="69">
        <f t="shared" si="27"/>
        <v>200.28512097632981</v>
      </c>
      <c r="Q174" s="69">
        <f t="shared" si="27"/>
        <v>196.09855884521099</v>
      </c>
      <c r="R174" s="69">
        <f t="shared" si="27"/>
        <v>191.82826547146982</v>
      </c>
      <c r="S174" s="69">
        <f t="shared" si="27"/>
        <v>187.47256623025385</v>
      </c>
      <c r="T174" s="69">
        <f t="shared" si="27"/>
        <v>183.02975300421352</v>
      </c>
      <c r="U174" s="69">
        <f t="shared" si="27"/>
        <v>178.49808351365238</v>
      </c>
      <c r="V174" s="69">
        <f t="shared" si="27"/>
        <v>173.87578063328002</v>
      </c>
      <c r="W174" s="69">
        <f t="shared" si="27"/>
        <v>169.16103169530024</v>
      </c>
    </row>
    <row r="175" spans="1:23" x14ac:dyDescent="0.2">
      <c r="A175" s="67">
        <f t="shared" si="25"/>
        <v>138</v>
      </c>
      <c r="D175" s="71" t="s">
        <v>19</v>
      </c>
      <c r="F175" s="34"/>
      <c r="I175" s="69">
        <f>I125+I135+I145+I155+I165</f>
        <v>931.64883059505814</v>
      </c>
      <c r="J175" s="69">
        <f>I175*(1+J8)</f>
        <v>950.28180720695934</v>
      </c>
      <c r="K175" s="69">
        <f t="shared" ref="K175:W175" si="28">J175*(1+K8)</f>
        <v>969.28744335109855</v>
      </c>
      <c r="L175" s="69">
        <f t="shared" si="28"/>
        <v>988.67319221812056</v>
      </c>
      <c r="M175" s="69">
        <f t="shared" si="28"/>
        <v>1008.446656062483</v>
      </c>
      <c r="N175" s="69">
        <f t="shared" si="28"/>
        <v>1028.6155891837327</v>
      </c>
      <c r="O175" s="69">
        <f t="shared" si="28"/>
        <v>1049.1879009674074</v>
      </c>
      <c r="P175" s="69">
        <f t="shared" si="28"/>
        <v>1070.1716589867556</v>
      </c>
      <c r="Q175" s="69">
        <f t="shared" si="28"/>
        <v>1091.5750921664908</v>
      </c>
      <c r="R175" s="69">
        <f t="shared" si="28"/>
        <v>1113.4065940098205</v>
      </c>
      <c r="S175" s="69">
        <f t="shared" si="28"/>
        <v>1135.674725890017</v>
      </c>
      <c r="T175" s="69">
        <f t="shared" si="28"/>
        <v>1158.3882204078175</v>
      </c>
      <c r="U175" s="69">
        <f t="shared" si="28"/>
        <v>1181.5559848159739</v>
      </c>
      <c r="V175" s="69">
        <f t="shared" si="28"/>
        <v>1205.1871045122934</v>
      </c>
      <c r="W175" s="69">
        <f t="shared" si="28"/>
        <v>1229.2908466025394</v>
      </c>
    </row>
    <row r="176" spans="1:23" x14ac:dyDescent="0.2">
      <c r="A176" s="67">
        <f t="shared" si="25"/>
        <v>139</v>
      </c>
      <c r="D176" s="62" t="s">
        <v>58</v>
      </c>
      <c r="I176" s="70">
        <f>I126+I136+I146+I156+I166</f>
        <v>2693.4305789999999</v>
      </c>
      <c r="J176" s="70">
        <f t="shared" ref="J176:W176" si="29">SUM(J172:J175)</f>
        <v>2704.4134886380266</v>
      </c>
      <c r="K176" s="70">
        <f t="shared" si="29"/>
        <v>2715.6160564688134</v>
      </c>
      <c r="L176" s="70">
        <f t="shared" si="29"/>
        <v>2727.042675656216</v>
      </c>
      <c r="M176" s="70">
        <f t="shared" si="29"/>
        <v>2738.6978272273673</v>
      </c>
      <c r="N176" s="70">
        <f t="shared" si="29"/>
        <v>2750.5860818299407</v>
      </c>
      <c r="O176" s="70">
        <f t="shared" si="29"/>
        <v>2762.7121015245657</v>
      </c>
      <c r="P176" s="70">
        <f t="shared" si="29"/>
        <v>2775.0806416130836</v>
      </c>
      <c r="Q176" s="70">
        <f t="shared" si="29"/>
        <v>2787.6965525033711</v>
      </c>
      <c r="R176" s="70">
        <f t="shared" si="29"/>
        <v>2800.5647816114652</v>
      </c>
      <c r="S176" s="70">
        <f t="shared" si="29"/>
        <v>2813.6903753017214</v>
      </c>
      <c r="T176" s="70">
        <f t="shared" si="29"/>
        <v>2827.0784808657818</v>
      </c>
      <c r="U176" s="70">
        <f t="shared" si="29"/>
        <v>2840.7343485411234</v>
      </c>
      <c r="V176" s="70">
        <f t="shared" si="29"/>
        <v>2854.6633335699726</v>
      </c>
      <c r="W176" s="70">
        <f t="shared" si="29"/>
        <v>2868.8708982993985</v>
      </c>
    </row>
    <row r="177" spans="1:23" x14ac:dyDescent="0.2">
      <c r="A177" s="67">
        <f t="shared" si="25"/>
        <v>140</v>
      </c>
      <c r="D177" s="62" t="s">
        <v>59</v>
      </c>
      <c r="I177" s="69">
        <f>I17+I18+I19+I20+I21+I22+I24+I26+I27+I28</f>
        <v>106.91861700000001</v>
      </c>
      <c r="J177" s="69">
        <f t="shared" ref="J177:W177" si="30">I177*(1+J8)</f>
        <v>109.05698934000002</v>
      </c>
      <c r="K177" s="69">
        <f t="shared" si="30"/>
        <v>111.23812912680002</v>
      </c>
      <c r="L177" s="69">
        <f t="shared" si="30"/>
        <v>113.46289170933602</v>
      </c>
      <c r="M177" s="69">
        <f t="shared" si="30"/>
        <v>115.73214954352274</v>
      </c>
      <c r="N177" s="69">
        <f t="shared" si="30"/>
        <v>118.04679253439319</v>
      </c>
      <c r="O177" s="69">
        <f t="shared" si="30"/>
        <v>120.40772838508106</v>
      </c>
      <c r="P177" s="69">
        <f t="shared" si="30"/>
        <v>122.81588295278269</v>
      </c>
      <c r="Q177" s="69">
        <f t="shared" si="30"/>
        <v>125.27220061183834</v>
      </c>
      <c r="R177" s="69">
        <f t="shared" si="30"/>
        <v>127.77764462407511</v>
      </c>
      <c r="S177" s="69">
        <f t="shared" si="30"/>
        <v>130.33319751655662</v>
      </c>
      <c r="T177" s="69">
        <f t="shared" si="30"/>
        <v>132.93986146688775</v>
      </c>
      <c r="U177" s="69">
        <f t="shared" si="30"/>
        <v>135.5986586962255</v>
      </c>
      <c r="V177" s="69">
        <f t="shared" si="30"/>
        <v>138.31063187015002</v>
      </c>
      <c r="W177" s="69">
        <f t="shared" si="30"/>
        <v>141.07684450755303</v>
      </c>
    </row>
    <row r="178" spans="1:23" x14ac:dyDescent="0.2">
      <c r="A178" s="67">
        <f t="shared" si="25"/>
        <v>141</v>
      </c>
      <c r="D178" s="62" t="s">
        <v>5</v>
      </c>
      <c r="I178" s="68">
        <f>SUM(I176:I177)</f>
        <v>2800.3491959999997</v>
      </c>
      <c r="J178" s="68">
        <f t="shared" ref="J178:W178" si="31">SUM(J176:J177)</f>
        <v>2813.4704779780268</v>
      </c>
      <c r="K178" s="68">
        <f t="shared" si="31"/>
        <v>2826.8541855956137</v>
      </c>
      <c r="L178" s="68">
        <f t="shared" si="31"/>
        <v>2840.505567365552</v>
      </c>
      <c r="M178" s="68">
        <f t="shared" si="31"/>
        <v>2854.4299767708899</v>
      </c>
      <c r="N178" s="68">
        <f t="shared" si="31"/>
        <v>2868.6328743643339</v>
      </c>
      <c r="O178" s="68">
        <f t="shared" si="31"/>
        <v>2883.1198299096468</v>
      </c>
      <c r="P178" s="68">
        <f t="shared" si="31"/>
        <v>2897.8965245658665</v>
      </c>
      <c r="Q178" s="68">
        <f t="shared" si="31"/>
        <v>2912.9687531152094</v>
      </c>
      <c r="R178" s="68">
        <f t="shared" si="31"/>
        <v>2928.3424262355402</v>
      </c>
      <c r="S178" s="68">
        <f t="shared" si="31"/>
        <v>2944.0235728182779</v>
      </c>
      <c r="T178" s="68">
        <f t="shared" si="31"/>
        <v>2960.0183423326694</v>
      </c>
      <c r="U178" s="68">
        <f t="shared" si="31"/>
        <v>2976.3330072373487</v>
      </c>
      <c r="V178" s="68">
        <f t="shared" si="31"/>
        <v>2992.9739654401228</v>
      </c>
      <c r="W178" s="68">
        <f t="shared" si="31"/>
        <v>3009.9477428069517</v>
      </c>
    </row>
    <row r="180" spans="1:23" x14ac:dyDescent="0.2">
      <c r="C180" s="65" t="s">
        <v>84</v>
      </c>
      <c r="F180" s="64" t="s">
        <v>106</v>
      </c>
      <c r="H180" s="115"/>
      <c r="I180" s="116"/>
      <c r="J180" s="116"/>
      <c r="K180" s="116"/>
      <c r="L180" s="116"/>
      <c r="M180" s="116"/>
      <c r="N180" s="116"/>
      <c r="O180" s="116"/>
      <c r="P180" s="115"/>
      <c r="Q180" s="115"/>
      <c r="R180" s="115"/>
      <c r="S180" s="115"/>
      <c r="T180" s="115"/>
    </row>
    <row r="181" spans="1:23" x14ac:dyDescent="0.2">
      <c r="A181" s="67">
        <f>A178+1</f>
        <v>142</v>
      </c>
      <c r="D181" s="66" t="s">
        <v>161</v>
      </c>
      <c r="H181" s="115"/>
      <c r="I181" s="121" t="s">
        <v>162</v>
      </c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</row>
    <row r="182" spans="1:23" x14ac:dyDescent="0.2">
      <c r="A182" s="67">
        <f>A181+1</f>
        <v>143</v>
      </c>
      <c r="D182" s="114" t="s">
        <v>163</v>
      </c>
      <c r="F182" s="111" t="s">
        <v>109</v>
      </c>
      <c r="H182" s="115"/>
      <c r="I182" s="118" t="s">
        <v>114</v>
      </c>
      <c r="J182" s="115"/>
      <c r="K182" s="115"/>
      <c r="L182" s="115"/>
      <c r="M182" s="115"/>
      <c r="N182" s="115"/>
      <c r="O182" s="118" t="s">
        <v>158</v>
      </c>
      <c r="P182" s="118"/>
      <c r="Q182" s="115"/>
      <c r="R182" s="115"/>
      <c r="S182" s="115"/>
      <c r="T182" s="115"/>
    </row>
    <row r="183" spans="1:23" x14ac:dyDescent="0.2">
      <c r="A183" s="67">
        <f>A182+1</f>
        <v>144</v>
      </c>
      <c r="D183" s="66" t="s">
        <v>157</v>
      </c>
      <c r="F183" s="111" t="s">
        <v>115</v>
      </c>
      <c r="H183" s="115"/>
      <c r="I183" s="117" t="s">
        <v>116</v>
      </c>
      <c r="J183" s="115"/>
      <c r="K183" s="115"/>
      <c r="L183" s="115"/>
      <c r="M183" s="115"/>
      <c r="N183" s="115"/>
      <c r="O183" s="118"/>
      <c r="P183" s="115"/>
      <c r="Q183" s="115"/>
      <c r="R183" s="115"/>
      <c r="S183" s="115"/>
      <c r="T183" s="115"/>
    </row>
    <row r="184" spans="1:23" x14ac:dyDescent="0.2">
      <c r="A184" s="67">
        <f>A183+1</f>
        <v>145</v>
      </c>
      <c r="D184" s="114" t="s">
        <v>151</v>
      </c>
      <c r="F184" s="111" t="s">
        <v>152</v>
      </c>
      <c r="H184" s="115"/>
      <c r="I184" s="118" t="s">
        <v>153</v>
      </c>
      <c r="J184" s="115"/>
      <c r="K184" s="115"/>
      <c r="L184" s="115"/>
      <c r="M184" s="115"/>
      <c r="N184" s="115"/>
      <c r="O184" s="118" t="s">
        <v>122</v>
      </c>
      <c r="P184" s="115"/>
      <c r="Q184" s="115"/>
      <c r="R184" s="115"/>
      <c r="S184" s="115"/>
      <c r="T184" s="115"/>
    </row>
    <row r="185" spans="1:23" x14ac:dyDescent="0.2">
      <c r="A185" s="67">
        <f>A184+1</f>
        <v>146</v>
      </c>
      <c r="D185" s="114" t="s">
        <v>97</v>
      </c>
      <c r="F185" s="111" t="s">
        <v>108</v>
      </c>
      <c r="H185" s="115"/>
      <c r="I185" s="119" t="s">
        <v>107</v>
      </c>
      <c r="J185" s="115"/>
      <c r="K185" s="115"/>
      <c r="L185" s="115"/>
      <c r="M185" s="115"/>
      <c r="N185" s="115"/>
      <c r="O185" s="118"/>
      <c r="P185" s="115"/>
      <c r="Q185" s="115"/>
      <c r="R185" s="115"/>
      <c r="S185" s="115"/>
      <c r="T185" s="115"/>
    </row>
    <row r="186" spans="1:23" x14ac:dyDescent="0.2">
      <c r="A186" s="67">
        <f>A185+1</f>
        <v>147</v>
      </c>
      <c r="D186" s="66" t="s">
        <v>98</v>
      </c>
      <c r="F186" s="111" t="s">
        <v>156</v>
      </c>
      <c r="H186" s="115"/>
      <c r="I186" s="117" t="s">
        <v>133</v>
      </c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</row>
    <row r="187" spans="1:23" x14ac:dyDescent="0.2">
      <c r="H187" s="115"/>
      <c r="I187" s="116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</row>
    <row r="188" spans="1:23" x14ac:dyDescent="0.2">
      <c r="H188" s="115"/>
      <c r="I188" s="116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</row>
    <row r="189" spans="1:23" x14ac:dyDescent="0.2">
      <c r="H189" s="115"/>
      <c r="I189" s="116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</row>
    <row r="190" spans="1:23" x14ac:dyDescent="0.2">
      <c r="H190" s="115"/>
      <c r="I190" s="116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</row>
    <row r="191" spans="1:23" x14ac:dyDescent="0.2">
      <c r="H191" s="115"/>
      <c r="I191" s="116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</row>
  </sheetData>
  <hyperlinks>
    <hyperlink ref="I183" r:id="rId1"/>
    <hyperlink ref="I185" r:id="rId2"/>
    <hyperlink ref="O184" r:id="rId3"/>
    <hyperlink ref="I186" r:id="rId4"/>
    <hyperlink ref="I184" r:id="rId5"/>
    <hyperlink ref="I181" r:id="rId6"/>
    <hyperlink ref="I182" r:id="rId7"/>
    <hyperlink ref="O182" r:id="rId8"/>
  </hyperlinks>
  <pageMargins left="0.70866141732283505" right="0.70866141732283505" top="0.74803149606299202" bottom="0.74803149606299202" header="0.31496062992126" footer="0.31496062992126"/>
  <pageSetup paperSize="3" scale="47" orientation="portrait" r:id="rId9"/>
  <headerFooter>
    <oddHeader>&amp;L&amp;"Arial,Bold"California ISO&amp;R&amp;"Arial,Bold"Page &amp;P</oddHeader>
  </headerFooter>
  <rowBreaks count="2" manualBreakCount="2">
    <brk id="48" min="8" max="17" man="1"/>
    <brk id="147" min="8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Y116"/>
  <sheetViews>
    <sheetView zoomScale="115" zoomScaleNormal="115" workbookViewId="0">
      <selection activeCell="P10" sqref="P10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66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f>Existing!H3</f>
        <v>2020</v>
      </c>
      <c r="I3" s="5">
        <f>Existing!I3</f>
        <v>2021</v>
      </c>
      <c r="J3" s="5">
        <f>Existing!J3</f>
        <v>2022</v>
      </c>
      <c r="K3" s="5">
        <f>Existing!K3</f>
        <v>2023</v>
      </c>
      <c r="L3" s="5">
        <f>Existing!L3</f>
        <v>2024</v>
      </c>
      <c r="M3" s="5">
        <f>Existing!M3</f>
        <v>2025</v>
      </c>
      <c r="N3" s="5">
        <f>Existing!N3</f>
        <v>2026</v>
      </c>
      <c r="O3" s="5">
        <f>Existing!O3</f>
        <v>2027</v>
      </c>
      <c r="P3" s="5">
        <f>Existing!P3</f>
        <v>2028</v>
      </c>
      <c r="Q3" s="5">
        <f>Existing!Q3</f>
        <v>2029</v>
      </c>
      <c r="R3" s="5">
        <f>Existing!R3</f>
        <v>2030</v>
      </c>
      <c r="S3" s="5">
        <f>Existing!S3</f>
        <v>2031</v>
      </c>
      <c r="T3" s="5">
        <f>Existing!T3</f>
        <v>2032</v>
      </c>
      <c r="U3" s="5">
        <f>Existing!U3</f>
        <v>2033</v>
      </c>
      <c r="V3" s="5">
        <f>Existing!V3</f>
        <v>2034</v>
      </c>
      <c r="W3" s="5">
        <f>Existing!W3</f>
        <v>2035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2020</v>
      </c>
      <c r="I7" s="10"/>
      <c r="J7" s="10"/>
      <c r="K7" s="10"/>
      <c r="L7" s="10"/>
      <c r="M7" s="10"/>
      <c r="N7" s="10"/>
      <c r="O7" s="10"/>
      <c r="P7" s="12"/>
      <c r="Q7" s="12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H8" s="48">
        <v>0</v>
      </c>
      <c r="I8" s="48">
        <v>368</v>
      </c>
      <c r="J8" s="48">
        <v>170</v>
      </c>
      <c r="K8" s="48">
        <v>670</v>
      </c>
      <c r="L8" s="48">
        <v>471</v>
      </c>
      <c r="M8" s="48">
        <v>169</v>
      </c>
      <c r="N8" s="48">
        <v>837</v>
      </c>
      <c r="O8" s="48">
        <v>224</v>
      </c>
      <c r="P8" s="48">
        <v>209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</row>
    <row r="9" spans="1:24" x14ac:dyDescent="0.2">
      <c r="A9" s="10"/>
      <c r="F9" s="30"/>
      <c r="P9" s="61"/>
      <c r="Q9" s="12"/>
      <c r="R9" s="12"/>
      <c r="S9" s="12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40">
        <f t="shared" ref="H25:W25" si="6">$F25</f>
        <v>0.21</v>
      </c>
      <c r="I25" s="40">
        <f t="shared" si="6"/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 t="shared" ref="H36:W36" si="10">H8</f>
        <v>0</v>
      </c>
      <c r="I36" s="12">
        <f t="shared" si="10"/>
        <v>368</v>
      </c>
      <c r="J36" s="12">
        <f t="shared" si="10"/>
        <v>170</v>
      </c>
      <c r="K36" s="12">
        <f t="shared" si="10"/>
        <v>670</v>
      </c>
      <c r="L36" s="12">
        <f t="shared" si="10"/>
        <v>471</v>
      </c>
      <c r="M36" s="12">
        <f t="shared" si="10"/>
        <v>169</v>
      </c>
      <c r="N36" s="12">
        <f t="shared" si="10"/>
        <v>837</v>
      </c>
      <c r="O36" s="12">
        <f t="shared" si="10"/>
        <v>224</v>
      </c>
      <c r="P36" s="12">
        <f t="shared" si="10"/>
        <v>209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>IF(I3&gt;=$F7,-SUM(I35:I37),0)</f>
        <v>-368</v>
      </c>
      <c r="J38" s="12">
        <f t="shared" ref="J38:W38" si="12">IF(J3&gt;=$F7,-SUM(J35:J37),0)</f>
        <v>-170</v>
      </c>
      <c r="K38" s="12">
        <f t="shared" si="12"/>
        <v>-670</v>
      </c>
      <c r="L38" s="12">
        <f t="shared" si="12"/>
        <v>-471</v>
      </c>
      <c r="M38" s="12">
        <f t="shared" si="12"/>
        <v>-169</v>
      </c>
      <c r="N38" s="12">
        <f t="shared" si="12"/>
        <v>-837</v>
      </c>
      <c r="O38" s="12">
        <f t="shared" si="12"/>
        <v>-224</v>
      </c>
      <c r="P38" s="12">
        <f t="shared" si="12"/>
        <v>-209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368</v>
      </c>
      <c r="K43" s="12">
        <f t="shared" ref="K43:W43" si="15">J46</f>
        <v>538</v>
      </c>
      <c r="L43" s="12">
        <f t="shared" si="15"/>
        <v>1208</v>
      </c>
      <c r="M43" s="12">
        <f t="shared" si="15"/>
        <v>1679</v>
      </c>
      <c r="N43" s="12">
        <f t="shared" si="15"/>
        <v>1848</v>
      </c>
      <c r="O43" s="12">
        <f t="shared" si="15"/>
        <v>2685</v>
      </c>
      <c r="P43" s="12">
        <f t="shared" si="15"/>
        <v>2909</v>
      </c>
      <c r="Q43" s="12">
        <f t="shared" si="15"/>
        <v>3118</v>
      </c>
      <c r="R43" s="12">
        <f t="shared" si="15"/>
        <v>3118</v>
      </c>
      <c r="S43" s="12">
        <f>R46</f>
        <v>3118</v>
      </c>
      <c r="T43" s="12">
        <f t="shared" si="15"/>
        <v>3118</v>
      </c>
      <c r="U43" s="12">
        <f t="shared" si="15"/>
        <v>3118</v>
      </c>
      <c r="V43" s="12">
        <f t="shared" si="15"/>
        <v>3118</v>
      </c>
      <c r="W43" s="12">
        <f t="shared" si="15"/>
        <v>3118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368</v>
      </c>
      <c r="J44" s="12">
        <f t="shared" ref="J44:W44" si="16">-J38</f>
        <v>170</v>
      </c>
      <c r="K44" s="12">
        <f t="shared" si="16"/>
        <v>670</v>
      </c>
      <c r="L44" s="12">
        <f t="shared" si="16"/>
        <v>471</v>
      </c>
      <c r="M44" s="12">
        <f t="shared" si="16"/>
        <v>169</v>
      </c>
      <c r="N44" s="12">
        <f t="shared" si="16"/>
        <v>837</v>
      </c>
      <c r="O44" s="12">
        <f t="shared" si="16"/>
        <v>224</v>
      </c>
      <c r="P44" s="12">
        <f t="shared" si="16"/>
        <v>209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368</v>
      </c>
      <c r="J46" s="20">
        <f>SUM(J43:J45)</f>
        <v>538</v>
      </c>
      <c r="K46" s="20">
        <f t="shared" ref="K46:W46" si="18">SUM(K43:K45)</f>
        <v>1208</v>
      </c>
      <c r="L46" s="20">
        <f t="shared" si="18"/>
        <v>1679</v>
      </c>
      <c r="M46" s="20">
        <f t="shared" si="18"/>
        <v>1848</v>
      </c>
      <c r="N46" s="20">
        <f t="shared" si="18"/>
        <v>2685</v>
      </c>
      <c r="O46" s="20">
        <f t="shared" si="18"/>
        <v>2909</v>
      </c>
      <c r="P46" s="20">
        <f t="shared" si="18"/>
        <v>3118</v>
      </c>
      <c r="Q46" s="20">
        <f t="shared" si="18"/>
        <v>3118</v>
      </c>
      <c r="R46" s="20">
        <f t="shared" si="18"/>
        <v>3118</v>
      </c>
      <c r="S46" s="20">
        <f t="shared" si="18"/>
        <v>3118</v>
      </c>
      <c r="T46" s="20">
        <f t="shared" si="18"/>
        <v>3118</v>
      </c>
      <c r="U46" s="20">
        <f t="shared" si="18"/>
        <v>3118</v>
      </c>
      <c r="V46" s="20">
        <f t="shared" si="18"/>
        <v>3118</v>
      </c>
      <c r="W46" s="20">
        <f t="shared" si="18"/>
        <v>3118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184</v>
      </c>
      <c r="J47" s="20">
        <f>(J43+J46)/2</f>
        <v>453</v>
      </c>
      <c r="K47" s="20">
        <f t="shared" ref="K47:W47" si="19">(K43+K46)/2</f>
        <v>873</v>
      </c>
      <c r="L47" s="20">
        <f t="shared" si="19"/>
        <v>1443.5</v>
      </c>
      <c r="M47" s="20">
        <f t="shared" si="19"/>
        <v>1763.5</v>
      </c>
      <c r="N47" s="20">
        <f t="shared" si="19"/>
        <v>2266.5</v>
      </c>
      <c r="O47" s="20">
        <f t="shared" si="19"/>
        <v>2797</v>
      </c>
      <c r="P47" s="20">
        <f t="shared" si="19"/>
        <v>3013.5</v>
      </c>
      <c r="Q47" s="20">
        <f t="shared" si="19"/>
        <v>3118</v>
      </c>
      <c r="R47" s="20">
        <f t="shared" si="19"/>
        <v>3118</v>
      </c>
      <c r="S47" s="20">
        <f t="shared" si="19"/>
        <v>3118</v>
      </c>
      <c r="T47" s="20">
        <f t="shared" si="19"/>
        <v>3118</v>
      </c>
      <c r="U47" s="20">
        <f t="shared" si="19"/>
        <v>3118</v>
      </c>
      <c r="V47" s="20">
        <f t="shared" si="19"/>
        <v>3118</v>
      </c>
      <c r="W47" s="20">
        <f t="shared" si="19"/>
        <v>3118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4.6000000000000005</v>
      </c>
      <c r="K50" s="12">
        <f t="shared" ref="K50:W50" si="20">J53</f>
        <v>15.925000000000001</v>
      </c>
      <c r="L50" s="12">
        <f t="shared" si="20"/>
        <v>37.75</v>
      </c>
      <c r="M50" s="12">
        <f t="shared" si="20"/>
        <v>73.837500000000006</v>
      </c>
      <c r="N50" s="12">
        <f t="shared" si="20"/>
        <v>117.92500000000001</v>
      </c>
      <c r="O50" s="12">
        <f t="shared" si="20"/>
        <v>174.58750000000001</v>
      </c>
      <c r="P50" s="12">
        <f t="shared" si="20"/>
        <v>244.51249999999999</v>
      </c>
      <c r="Q50" s="12">
        <f t="shared" si="20"/>
        <v>319.85000000000002</v>
      </c>
      <c r="R50" s="12">
        <f t="shared" si="20"/>
        <v>397.8</v>
      </c>
      <c r="S50" s="12">
        <f>R53</f>
        <v>475.75</v>
      </c>
      <c r="T50" s="12">
        <f t="shared" si="20"/>
        <v>553.70000000000005</v>
      </c>
      <c r="U50" s="12">
        <f t="shared" si="20"/>
        <v>631.65000000000009</v>
      </c>
      <c r="V50" s="12">
        <f t="shared" si="20"/>
        <v>709.60000000000014</v>
      </c>
      <c r="W50" s="12">
        <f t="shared" si="20"/>
        <v>787.55000000000018</v>
      </c>
    </row>
    <row r="51" spans="1:23" s="8" customFormat="1" x14ac:dyDescent="0.2">
      <c r="A51" s="10">
        <f>A50+1</f>
        <v>31</v>
      </c>
      <c r="D51" s="13" t="s">
        <v>69</v>
      </c>
      <c r="E51" s="19"/>
      <c r="H51" s="12">
        <f>MAX(H13*(H43+0.5*H44),0)</f>
        <v>0</v>
      </c>
      <c r="I51" s="12">
        <f>MAX(I13*(I43+0.5*I44),0)</f>
        <v>4.6000000000000005</v>
      </c>
      <c r="J51" s="12">
        <f t="shared" ref="J51:W51" si="21">MIN(J13*(J43+0.5*J44),J43+J44-I53)</f>
        <v>11.325000000000001</v>
      </c>
      <c r="K51" s="12">
        <f t="shared" si="21"/>
        <v>21.825000000000003</v>
      </c>
      <c r="L51" s="12">
        <f t="shared" si="21"/>
        <v>36.087499999999999</v>
      </c>
      <c r="M51" s="12">
        <f t="shared" si="21"/>
        <v>44.087500000000006</v>
      </c>
      <c r="N51" s="12">
        <f t="shared" si="21"/>
        <v>56.662500000000001</v>
      </c>
      <c r="O51" s="12">
        <f t="shared" si="21"/>
        <v>69.924999999999997</v>
      </c>
      <c r="P51" s="12">
        <f t="shared" si="21"/>
        <v>75.337500000000006</v>
      </c>
      <c r="Q51" s="12">
        <f t="shared" si="21"/>
        <v>77.95</v>
      </c>
      <c r="R51" s="12">
        <f t="shared" si="21"/>
        <v>77.95</v>
      </c>
      <c r="S51" s="12">
        <f>MIN(S13*(S43+0.5*S44),S43+S44-R53)</f>
        <v>77.95</v>
      </c>
      <c r="T51" s="12">
        <f t="shared" si="21"/>
        <v>77.95</v>
      </c>
      <c r="U51" s="12">
        <f t="shared" si="21"/>
        <v>77.95</v>
      </c>
      <c r="V51" s="12">
        <f t="shared" si="21"/>
        <v>77.95</v>
      </c>
      <c r="W51" s="12">
        <f t="shared" si="21"/>
        <v>77.95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4.6000000000000005</v>
      </c>
      <c r="J53" s="20">
        <f>SUM(J50:J52)</f>
        <v>15.925000000000001</v>
      </c>
      <c r="K53" s="20">
        <f t="shared" ref="K53:W53" si="23">SUM(K50:K52)</f>
        <v>37.75</v>
      </c>
      <c r="L53" s="20">
        <f t="shared" si="23"/>
        <v>73.837500000000006</v>
      </c>
      <c r="M53" s="20">
        <f t="shared" si="23"/>
        <v>117.92500000000001</v>
      </c>
      <c r="N53" s="20">
        <f t="shared" si="23"/>
        <v>174.58750000000001</v>
      </c>
      <c r="O53" s="20">
        <f t="shared" si="23"/>
        <v>244.51249999999999</v>
      </c>
      <c r="P53" s="20">
        <f t="shared" si="23"/>
        <v>319.85000000000002</v>
      </c>
      <c r="Q53" s="20">
        <f t="shared" si="23"/>
        <v>397.8</v>
      </c>
      <c r="R53" s="20">
        <f t="shared" si="23"/>
        <v>475.75</v>
      </c>
      <c r="S53" s="20">
        <f t="shared" si="23"/>
        <v>553.70000000000005</v>
      </c>
      <c r="T53" s="20">
        <f t="shared" si="23"/>
        <v>631.65000000000009</v>
      </c>
      <c r="U53" s="20">
        <f t="shared" si="23"/>
        <v>709.60000000000014</v>
      </c>
      <c r="V53" s="20">
        <f t="shared" si="23"/>
        <v>787.55000000000018</v>
      </c>
      <c r="W53" s="20">
        <f t="shared" si="23"/>
        <v>865.50000000000023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2.3000000000000003</v>
      </c>
      <c r="J54" s="20">
        <f>(J50+J53)/2</f>
        <v>10.262500000000001</v>
      </c>
      <c r="K54" s="20">
        <f t="shared" ref="K54:W54" si="24">(K50+K53)/2</f>
        <v>26.837499999999999</v>
      </c>
      <c r="L54" s="20">
        <f t="shared" si="24"/>
        <v>55.793750000000003</v>
      </c>
      <c r="M54" s="20">
        <f t="shared" si="24"/>
        <v>95.881250000000009</v>
      </c>
      <c r="N54" s="20">
        <f t="shared" si="24"/>
        <v>146.25625000000002</v>
      </c>
      <c r="O54" s="20">
        <f t="shared" si="24"/>
        <v>209.55</v>
      </c>
      <c r="P54" s="20">
        <f t="shared" si="24"/>
        <v>282.18124999999998</v>
      </c>
      <c r="Q54" s="20">
        <f t="shared" si="24"/>
        <v>358.82500000000005</v>
      </c>
      <c r="R54" s="20">
        <f t="shared" si="24"/>
        <v>436.77499999999998</v>
      </c>
      <c r="S54" s="20">
        <f t="shared" si="24"/>
        <v>514.72500000000002</v>
      </c>
      <c r="T54" s="20">
        <f t="shared" si="24"/>
        <v>592.67500000000007</v>
      </c>
      <c r="U54" s="20">
        <f t="shared" si="24"/>
        <v>670.62500000000011</v>
      </c>
      <c r="V54" s="20">
        <f t="shared" si="24"/>
        <v>748.57500000000016</v>
      </c>
      <c r="W54" s="20">
        <f t="shared" si="24"/>
        <v>826.5250000000002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349.6</v>
      </c>
      <c r="K57" s="12">
        <f t="shared" ref="K57:W57" si="25">J60</f>
        <v>476.14000000000004</v>
      </c>
      <c r="L57" s="12">
        <f t="shared" si="25"/>
        <v>1065.0260000000001</v>
      </c>
      <c r="M57" s="12">
        <f t="shared" si="25"/>
        <v>1405.9734000000001</v>
      </c>
      <c r="N57" s="12">
        <f t="shared" si="25"/>
        <v>1425.92606</v>
      </c>
      <c r="O57" s="12">
        <f t="shared" si="25"/>
        <v>2078.4834539999997</v>
      </c>
      <c r="P57" s="12">
        <f t="shared" si="25"/>
        <v>2082.3486069999999</v>
      </c>
      <c r="Q57" s="12">
        <f t="shared" si="25"/>
        <v>2068.902325</v>
      </c>
      <c r="R57" s="12">
        <f t="shared" si="25"/>
        <v>1853.0956934999999</v>
      </c>
      <c r="S57" s="12">
        <f t="shared" si="25"/>
        <v>1650.346002</v>
      </c>
      <c r="T57" s="12">
        <f t="shared" si="25"/>
        <v>1457.4579885000001</v>
      </c>
      <c r="U57" s="12">
        <f t="shared" si="25"/>
        <v>1270.4753205000002</v>
      </c>
      <c r="V57" s="12">
        <f t="shared" si="25"/>
        <v>1085.6749140000002</v>
      </c>
      <c r="W57" s="12">
        <f t="shared" si="25"/>
        <v>901.56013200000029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368</v>
      </c>
      <c r="J58" s="12">
        <f t="shared" ref="J58:W58" si="26">-J38</f>
        <v>170</v>
      </c>
      <c r="K58" s="12">
        <f t="shared" si="26"/>
        <v>670</v>
      </c>
      <c r="L58" s="12">
        <f t="shared" si="26"/>
        <v>471</v>
      </c>
      <c r="M58" s="12">
        <f t="shared" si="26"/>
        <v>169</v>
      </c>
      <c r="N58" s="12">
        <f t="shared" si="26"/>
        <v>837</v>
      </c>
      <c r="O58" s="12">
        <f t="shared" si="26"/>
        <v>224</v>
      </c>
      <c r="P58" s="12">
        <f t="shared" si="26"/>
        <v>209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H59" s="12">
        <f>-I23*H58</f>
        <v>0</v>
      </c>
      <c r="I59" s="12">
        <f>-I23*I58-H58*J23</f>
        <v>-18.400000000000002</v>
      </c>
      <c r="J59" s="12">
        <f>-I23*J58-J23*I58-H58*K23</f>
        <v>-43.46</v>
      </c>
      <c r="K59" s="12">
        <f>-I23*K58-J23*J58-K23*I58-H58*L23</f>
        <v>-81.114000000000004</v>
      </c>
      <c r="L59" s="12">
        <f>-I23*L58-J23*K58-K23*J58-L23*I58-H58*M23</f>
        <v>-130.05260000000001</v>
      </c>
      <c r="M59" s="12">
        <f>-I23*M58-J23*L58-K23*K58-L23*J58-M23*I58-H58*N23</f>
        <v>-149.04734000000002</v>
      </c>
      <c r="N59" s="12">
        <f>-I23*N58-J23*M58-K23*L58-L23*K58-M23*J58-N23*I58-H58*O23</f>
        <v>-184.44260599999998</v>
      </c>
      <c r="O59" s="12">
        <f>-I23*O58-J23*N58-K23*M58-L23*L58-M23*K58-N23*J58-O23*I58-H58*P23</f>
        <v>-220.13484699999998</v>
      </c>
      <c r="P59" s="12">
        <f>-I23*P58-J23*O58-K23*N58-L23*M58-M23*L58-N23*K58-O23*J58-P23*I58-H58*Q23</f>
        <v>-222.446282</v>
      </c>
      <c r="Q59" s="12">
        <f>-I23*Q58-J23*P58-K23*O58-L23*N58-M23*M58-N23*L58-O23*K58-P23*J58-Q23*I58-H58*R23</f>
        <v>-215.80663149999998</v>
      </c>
      <c r="R59" s="12">
        <f>-I23*R58-J23*Q58-K23*P58-L23*O58-M23*N58-N23*M58-O23*L58-P23*K58-Q23*J58-R23*I58-H58*S23</f>
        <v>-202.74969149999998</v>
      </c>
      <c r="S59" s="12">
        <f>-I23*S58-J23*R58-K23*Q58-L23*P58-M23*O58-N23*N58-O23*M58-P23*L58-Q23*K58-R23*J58-S23*I58-H58*T23</f>
        <v>-192.88801349999997</v>
      </c>
      <c r="T59" s="12">
        <f>-I23*T58-J23*S58-K23*R58-L23*Q58-M23*P58-N23*O58-O23*N58-P23*M58-Q23*L58-R23*K58-S23*J58-T23*I58-H58*U23</f>
        <v>-186.98266799999996</v>
      </c>
      <c r="U59" s="12">
        <f>-I23*U58-J23*T58-K23*S58-L23*R58-M23*Q58-N23*P58-O23*O58-P23*N58-Q23*M58-R23*L58-S23*K58-T23*J58-U23*I58-H58*V23</f>
        <v>-184.80040649999998</v>
      </c>
      <c r="V59" s="12">
        <f>-I23*V58-J23*U58-K23*T58-L23*S58-M23*R58-N23*Q58-O23*P58-P23*O58-Q23*N58-R23*M58-S23*L58-T23*K58-U23*J58-V23*I58-H58*W23</f>
        <v>-184.11478199999993</v>
      </c>
      <c r="W59" s="12">
        <f>-I23*W58-J23*V58-K23*U58-L23*T58-M23*S58-N23*R58-O23*Q58-P23*P58-Q23*O58-R23*N58-S23*M58-T23*L58-U23*K58-V23*J58-W23*I58-H58*X23</f>
        <v>-184.11478199999996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349.6</v>
      </c>
      <c r="J60" s="20">
        <f t="shared" si="27"/>
        <v>476.14000000000004</v>
      </c>
      <c r="K60" s="20">
        <f t="shared" si="27"/>
        <v>1065.0260000000001</v>
      </c>
      <c r="L60" s="20">
        <f t="shared" si="27"/>
        <v>1405.9734000000001</v>
      </c>
      <c r="M60" s="20">
        <f t="shared" si="27"/>
        <v>1425.92606</v>
      </c>
      <c r="N60" s="20">
        <f t="shared" si="27"/>
        <v>2078.4834539999997</v>
      </c>
      <c r="O60" s="20">
        <f t="shared" si="27"/>
        <v>2082.3486069999999</v>
      </c>
      <c r="P60" s="20">
        <f t="shared" si="27"/>
        <v>2068.902325</v>
      </c>
      <c r="Q60" s="20">
        <f t="shared" si="27"/>
        <v>1853.0956934999999</v>
      </c>
      <c r="R60" s="20">
        <f t="shared" si="27"/>
        <v>1650.346002</v>
      </c>
      <c r="S60" s="20">
        <f t="shared" si="27"/>
        <v>1457.4579885000001</v>
      </c>
      <c r="T60" s="20">
        <f t="shared" si="27"/>
        <v>1270.4753205000002</v>
      </c>
      <c r="U60" s="20">
        <f t="shared" si="27"/>
        <v>1085.6749140000002</v>
      </c>
      <c r="V60" s="20">
        <f t="shared" si="27"/>
        <v>901.56013200000029</v>
      </c>
      <c r="W60" s="20">
        <f t="shared" si="27"/>
        <v>717.4453500000003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358.8</v>
      </c>
      <c r="K63" s="12">
        <f t="shared" si="28"/>
        <v>506.60999999999996</v>
      </c>
      <c r="L63" s="12">
        <f t="shared" si="28"/>
        <v>1134.5294999999999</v>
      </c>
      <c r="M63" s="12">
        <f t="shared" si="28"/>
        <v>1537.0280249999998</v>
      </c>
      <c r="N63" s="12">
        <f t="shared" si="28"/>
        <v>1624.9516237499997</v>
      </c>
      <c r="O63" s="12">
        <f t="shared" si="28"/>
        <v>2359.7790425624999</v>
      </c>
      <c r="P63" s="12">
        <f t="shared" si="28"/>
        <v>2460.1900904343747</v>
      </c>
      <c r="Q63" s="12">
        <f t="shared" si="28"/>
        <v>2540.9555859126558</v>
      </c>
      <c r="R63" s="12">
        <f t="shared" si="28"/>
        <v>2413.9078066170232</v>
      </c>
      <c r="S63" s="12">
        <f t="shared" si="28"/>
        <v>2293.2124162861719</v>
      </c>
      <c r="T63" s="12">
        <f t="shared" si="28"/>
        <v>2178.5517954718634</v>
      </c>
      <c r="U63" s="12">
        <f t="shared" si="28"/>
        <v>2069.6242056982701</v>
      </c>
      <c r="V63" s="12">
        <f t="shared" si="28"/>
        <v>1966.1429954133566</v>
      </c>
      <c r="W63" s="12">
        <f t="shared" si="28"/>
        <v>1867.8358456426888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368</v>
      </c>
      <c r="J64" s="12">
        <f t="shared" ref="J64:W64" si="29">-J38</f>
        <v>170</v>
      </c>
      <c r="K64" s="12">
        <f t="shared" si="29"/>
        <v>670</v>
      </c>
      <c r="L64" s="12">
        <f t="shared" si="29"/>
        <v>471</v>
      </c>
      <c r="M64" s="12">
        <f t="shared" si="29"/>
        <v>169</v>
      </c>
      <c r="N64" s="12">
        <f t="shared" si="29"/>
        <v>837</v>
      </c>
      <c r="O64" s="12">
        <f t="shared" si="29"/>
        <v>224</v>
      </c>
      <c r="P64" s="12">
        <f t="shared" si="29"/>
        <v>209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H65" s="12">
        <f>-H13*$F27*(H63+0.5*H64)</f>
        <v>0</v>
      </c>
      <c r="I65" s="12">
        <f t="shared" ref="I65:W65" si="30">-I13*$F27*(I63+0.5*I64)</f>
        <v>-9.2000000000000011</v>
      </c>
      <c r="J65" s="12">
        <f t="shared" si="30"/>
        <v>-22.19</v>
      </c>
      <c r="K65" s="12">
        <f t="shared" si="30"/>
        <v>-42.080500000000001</v>
      </c>
      <c r="L65" s="12">
        <f t="shared" si="30"/>
        <v>-68.501474999999999</v>
      </c>
      <c r="M65" s="12">
        <f t="shared" si="30"/>
        <v>-81.076401250000004</v>
      </c>
      <c r="N65" s="12">
        <f t="shared" si="30"/>
        <v>-102.17258118749999</v>
      </c>
      <c r="O65" s="12">
        <f t="shared" si="30"/>
        <v>-123.588952128125</v>
      </c>
      <c r="P65" s="12">
        <f t="shared" si="30"/>
        <v>-128.23450452171875</v>
      </c>
      <c r="Q65" s="12">
        <f t="shared" si="30"/>
        <v>-127.04777929563279</v>
      </c>
      <c r="R65" s="12">
        <f t="shared" si="30"/>
        <v>-120.69539033085117</v>
      </c>
      <c r="S65" s="12">
        <f t="shared" si="30"/>
        <v>-114.6606208143086</v>
      </c>
      <c r="T65" s="12">
        <f t="shared" si="30"/>
        <v>-108.92758977359318</v>
      </c>
      <c r="U65" s="12">
        <f t="shared" si="30"/>
        <v>-103.48121028491352</v>
      </c>
      <c r="V65" s="12">
        <f t="shared" si="30"/>
        <v>-98.307149770667834</v>
      </c>
      <c r="W65" s="12">
        <f t="shared" si="30"/>
        <v>-93.391792282134446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358.8</v>
      </c>
      <c r="J66" s="20">
        <f t="shared" si="31"/>
        <v>506.60999999999996</v>
      </c>
      <c r="K66" s="20">
        <f t="shared" si="31"/>
        <v>1134.5294999999999</v>
      </c>
      <c r="L66" s="20">
        <f t="shared" si="31"/>
        <v>1537.0280249999998</v>
      </c>
      <c r="M66" s="20">
        <f t="shared" si="31"/>
        <v>1624.9516237499997</v>
      </c>
      <c r="N66" s="20">
        <f t="shared" si="31"/>
        <v>2359.7790425624999</v>
      </c>
      <c r="O66" s="20">
        <f t="shared" si="31"/>
        <v>2460.1900904343747</v>
      </c>
      <c r="P66" s="20">
        <f t="shared" si="31"/>
        <v>2540.9555859126558</v>
      </c>
      <c r="Q66" s="20">
        <f t="shared" si="31"/>
        <v>2413.9078066170232</v>
      </c>
      <c r="R66" s="20">
        <f t="shared" si="31"/>
        <v>2293.2124162861719</v>
      </c>
      <c r="S66" s="20">
        <f t="shared" si="31"/>
        <v>2178.5517954718634</v>
      </c>
      <c r="T66" s="20">
        <f t="shared" si="31"/>
        <v>2069.6242056982701</v>
      </c>
      <c r="U66" s="20">
        <f t="shared" si="31"/>
        <v>1966.1429954133566</v>
      </c>
      <c r="V66" s="20">
        <f t="shared" si="31"/>
        <v>1867.8358456426888</v>
      </c>
      <c r="W66" s="20">
        <f t="shared" si="31"/>
        <v>1774.4440533605543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3.2192456000000003</v>
      </c>
      <c r="K69" s="12">
        <f t="shared" ref="K69:W69" si="32">J72</f>
        <v>10.72636374</v>
      </c>
      <c r="L69" s="12">
        <f t="shared" si="32"/>
        <v>24.591616838</v>
      </c>
      <c r="M69" s="12">
        <f t="shared" si="32"/>
        <v>46.587950196100003</v>
      </c>
      <c r="N69" s="12">
        <f t="shared" si="32"/>
        <v>71.212673503795003</v>
      </c>
      <c r="O69" s="12">
        <f t="shared" si="32"/>
        <v>101.22473779360526</v>
      </c>
      <c r="P69" s="12">
        <f t="shared" si="32"/>
        <v>136.51648142442497</v>
      </c>
      <c r="Q69" s="12">
        <f t="shared" si="32"/>
        <v>171.1034408522037</v>
      </c>
      <c r="R69" s="12">
        <f t="shared" si="32"/>
        <v>203.48212598209352</v>
      </c>
      <c r="S69" s="12">
        <f t="shared" si="32"/>
        <v>232.67522827623884</v>
      </c>
      <c r="T69" s="12">
        <f t="shared" si="32"/>
        <v>259.37593402642688</v>
      </c>
      <c r="U69" s="12">
        <f t="shared" si="32"/>
        <v>284.43614526585554</v>
      </c>
      <c r="V69" s="12">
        <f t="shared" si="32"/>
        <v>308.65772823231271</v>
      </c>
      <c r="W69" s="12">
        <f t="shared" si="32"/>
        <v>332.37399436369702</v>
      </c>
    </row>
    <row r="70" spans="1:23" s="8" customFormat="1" x14ac:dyDescent="0.2">
      <c r="A70" s="10">
        <f>A69+1</f>
        <v>44</v>
      </c>
      <c r="D70" s="13" t="s">
        <v>74</v>
      </c>
      <c r="E70" s="19"/>
      <c r="H70" s="12">
        <f>($F24="Y")*H25*(-H59-H51-H71)</f>
        <v>0</v>
      </c>
      <c r="I70" s="12">
        <f>($F24="Y")*I25*(-I59-I51-I71)</f>
        <v>2.8126056000000004</v>
      </c>
      <c r="J70" s="12">
        <f>($F24="Y")*J25*(-J59-J51-J71)</f>
        <v>6.5466521399999991</v>
      </c>
      <c r="K70" s="12">
        <f t="shared" ref="K70:W70" si="33">($F24="Y")*K25*(-K59-K51-K71)</f>
        <v>12.074666898</v>
      </c>
      <c r="L70" s="12">
        <f t="shared" si="33"/>
        <v>19.1309379681</v>
      </c>
      <c r="M70" s="12">
        <f t="shared" si="33"/>
        <v>21.354904437195</v>
      </c>
      <c r="N70" s="12">
        <f t="shared" si="33"/>
        <v>25.988973112835247</v>
      </c>
      <c r="O70" s="12">
        <f t="shared" si="33"/>
        <v>30.547850262693483</v>
      </c>
      <c r="P70" s="12">
        <f t="shared" si="33"/>
        <v>29.910864228058813</v>
      </c>
      <c r="Q70" s="12">
        <f t="shared" si="33"/>
        <v>28.038441440155871</v>
      </c>
      <c r="R70" s="12">
        <f t="shared" si="33"/>
        <v>25.414409788898073</v>
      </c>
      <c r="S70" s="12">
        <f t="shared" si="33"/>
        <v>23.455486870203167</v>
      </c>
      <c r="T70" s="12">
        <f t="shared" si="33"/>
        <v>22.321792303443008</v>
      </c>
      <c r="U70" s="12">
        <f t="shared" si="33"/>
        <v>21.964623977270858</v>
      </c>
      <c r="V70" s="12">
        <f t="shared" si="33"/>
        <v>21.916694091657305</v>
      </c>
      <c r="W70" s="12">
        <f t="shared" si="33"/>
        <v>22.007942788074448</v>
      </c>
    </row>
    <row r="71" spans="1:23" s="8" customFormat="1" x14ac:dyDescent="0.2">
      <c r="A71" s="10">
        <f>A70+1</f>
        <v>45</v>
      </c>
      <c r="D71" s="13" t="s">
        <v>75</v>
      </c>
      <c r="E71" s="19"/>
      <c r="H71" s="12">
        <f>($F28="Y")*H29*(-H65-H51)</f>
        <v>0</v>
      </c>
      <c r="I71" s="12">
        <f>($F28="Y")*I29*(-I65-I51)</f>
        <v>0.40664000000000006</v>
      </c>
      <c r="J71" s="12">
        <f t="shared" ref="J71:W71" si="34">($F28="Y")*J29*(-J65-J51)</f>
        <v>0.96046600000000004</v>
      </c>
      <c r="K71" s="12">
        <f t="shared" si="34"/>
        <v>1.7905861999999999</v>
      </c>
      <c r="L71" s="12">
        <f t="shared" si="34"/>
        <v>2.8653953900000002</v>
      </c>
      <c r="M71" s="12">
        <f t="shared" si="34"/>
        <v>3.2698188705</v>
      </c>
      <c r="N71" s="12">
        <f t="shared" si="34"/>
        <v>4.0230911769749991</v>
      </c>
      <c r="O71" s="12">
        <f t="shared" si="34"/>
        <v>4.7438933681262503</v>
      </c>
      <c r="P71" s="12">
        <f t="shared" si="34"/>
        <v>4.6760951997199367</v>
      </c>
      <c r="Q71" s="12">
        <f t="shared" si="34"/>
        <v>4.3402436897339394</v>
      </c>
      <c r="R71" s="12">
        <f t="shared" si="34"/>
        <v>3.7786925052472431</v>
      </c>
      <c r="S71" s="12">
        <f t="shared" si="34"/>
        <v>3.2452188799848805</v>
      </c>
      <c r="T71" s="12">
        <f t="shared" si="34"/>
        <v>2.7384189359856372</v>
      </c>
      <c r="U71" s="12">
        <f t="shared" si="34"/>
        <v>2.2569589891863546</v>
      </c>
      <c r="V71" s="12">
        <f t="shared" si="34"/>
        <v>1.7995720397270365</v>
      </c>
      <c r="W71" s="12">
        <f t="shared" si="34"/>
        <v>1.3650544377406848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3.2192456000000003</v>
      </c>
      <c r="J72" s="20">
        <f>SUM(J69:J71)</f>
        <v>10.72636374</v>
      </c>
      <c r="K72" s="20">
        <f t="shared" ref="K72:W72" si="35">SUM(K69:K71)</f>
        <v>24.591616838</v>
      </c>
      <c r="L72" s="20">
        <f t="shared" si="35"/>
        <v>46.587950196100003</v>
      </c>
      <c r="M72" s="20">
        <f t="shared" si="35"/>
        <v>71.212673503795003</v>
      </c>
      <c r="N72" s="20">
        <f t="shared" si="35"/>
        <v>101.22473779360526</v>
      </c>
      <c r="O72" s="20">
        <f t="shared" si="35"/>
        <v>136.51648142442497</v>
      </c>
      <c r="P72" s="20">
        <f t="shared" si="35"/>
        <v>171.1034408522037</v>
      </c>
      <c r="Q72" s="20">
        <f t="shared" si="35"/>
        <v>203.48212598209352</v>
      </c>
      <c r="R72" s="20">
        <f t="shared" si="35"/>
        <v>232.67522827623884</v>
      </c>
      <c r="S72" s="20">
        <f t="shared" si="35"/>
        <v>259.37593402642688</v>
      </c>
      <c r="T72" s="20">
        <f t="shared" si="35"/>
        <v>284.43614526585554</v>
      </c>
      <c r="U72" s="20">
        <f t="shared" si="35"/>
        <v>308.65772823231271</v>
      </c>
      <c r="V72" s="20">
        <f t="shared" si="35"/>
        <v>332.37399436369702</v>
      </c>
      <c r="W72" s="20">
        <f t="shared" si="35"/>
        <v>355.74699158951216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1.6096228000000001</v>
      </c>
      <c r="J73" s="20">
        <f>(J69+J72)/2</f>
        <v>6.9728046700000004</v>
      </c>
      <c r="K73" s="20">
        <f t="shared" ref="K73:W73" si="36">(K69+K72)/2</f>
        <v>17.658990289000002</v>
      </c>
      <c r="L73" s="20">
        <f t="shared" si="36"/>
        <v>35.589783517050002</v>
      </c>
      <c r="M73" s="20">
        <f t="shared" si="36"/>
        <v>58.900311849947499</v>
      </c>
      <c r="N73" s="20">
        <f t="shared" si="36"/>
        <v>86.218705648700137</v>
      </c>
      <c r="O73" s="20">
        <f t="shared" si="36"/>
        <v>118.8706096090151</v>
      </c>
      <c r="P73" s="20">
        <f t="shared" si="36"/>
        <v>153.80996113831435</v>
      </c>
      <c r="Q73" s="20">
        <f t="shared" si="36"/>
        <v>187.2927834171486</v>
      </c>
      <c r="R73" s="20">
        <f t="shared" si="36"/>
        <v>218.07867712916618</v>
      </c>
      <c r="S73" s="20">
        <f t="shared" si="36"/>
        <v>246.02558115133286</v>
      </c>
      <c r="T73" s="20">
        <f t="shared" si="36"/>
        <v>271.90603964614121</v>
      </c>
      <c r="U73" s="20">
        <f t="shared" si="36"/>
        <v>296.54693674908413</v>
      </c>
      <c r="V73" s="20">
        <f t="shared" si="36"/>
        <v>320.51586129800489</v>
      </c>
      <c r="W73" s="20">
        <f t="shared" si="36"/>
        <v>344.06049297660456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184</v>
      </c>
      <c r="J76" s="12">
        <f t="shared" si="37"/>
        <v>453</v>
      </c>
      <c r="K76" s="12">
        <f t="shared" si="37"/>
        <v>873</v>
      </c>
      <c r="L76" s="12">
        <f t="shared" si="37"/>
        <v>1443.5</v>
      </c>
      <c r="M76" s="12">
        <f t="shared" si="37"/>
        <v>1763.5</v>
      </c>
      <c r="N76" s="12">
        <f t="shared" si="37"/>
        <v>2266.5</v>
      </c>
      <c r="O76" s="12">
        <f t="shared" si="37"/>
        <v>2797</v>
      </c>
      <c r="P76" s="12">
        <f t="shared" si="37"/>
        <v>3013.5</v>
      </c>
      <c r="Q76" s="12">
        <f t="shared" si="37"/>
        <v>3118</v>
      </c>
      <c r="R76" s="12">
        <f t="shared" si="37"/>
        <v>3118</v>
      </c>
      <c r="S76" s="12">
        <f t="shared" si="37"/>
        <v>3118</v>
      </c>
      <c r="T76" s="12">
        <f t="shared" si="37"/>
        <v>3118</v>
      </c>
      <c r="U76" s="12">
        <f t="shared" si="37"/>
        <v>3118</v>
      </c>
      <c r="V76" s="12">
        <f t="shared" si="37"/>
        <v>3118</v>
      </c>
      <c r="W76" s="12">
        <f t="shared" si="37"/>
        <v>3118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-2.3000000000000003</v>
      </c>
      <c r="J77" s="12">
        <f t="shared" si="38"/>
        <v>-10.262500000000001</v>
      </c>
      <c r="K77" s="12">
        <f t="shared" si="38"/>
        <v>-26.837499999999999</v>
      </c>
      <c r="L77" s="12">
        <f t="shared" si="38"/>
        <v>-55.793750000000003</v>
      </c>
      <c r="M77" s="12">
        <f t="shared" si="38"/>
        <v>-95.881250000000009</v>
      </c>
      <c r="N77" s="12">
        <f t="shared" si="38"/>
        <v>-146.25625000000002</v>
      </c>
      <c r="O77" s="12">
        <f t="shared" si="38"/>
        <v>-209.55</v>
      </c>
      <c r="P77" s="12">
        <f t="shared" si="38"/>
        <v>-282.18124999999998</v>
      </c>
      <c r="Q77" s="12">
        <f t="shared" si="38"/>
        <v>-358.82500000000005</v>
      </c>
      <c r="R77" s="12">
        <f t="shared" si="38"/>
        <v>-436.77499999999998</v>
      </c>
      <c r="S77" s="12">
        <f t="shared" si="38"/>
        <v>-514.72500000000002</v>
      </c>
      <c r="T77" s="12">
        <f t="shared" si="38"/>
        <v>-592.67500000000007</v>
      </c>
      <c r="U77" s="12">
        <f t="shared" si="38"/>
        <v>-670.62500000000011</v>
      </c>
      <c r="V77" s="12">
        <f t="shared" si="38"/>
        <v>-748.57500000000016</v>
      </c>
      <c r="W77" s="12">
        <f t="shared" si="38"/>
        <v>-826.5250000000002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-1.6096228000000001</v>
      </c>
      <c r="J79" s="12">
        <f>-J73</f>
        <v>-6.9728046700000004</v>
      </c>
      <c r="K79" s="12">
        <f t="shared" ref="K79:W79" si="40">-K73</f>
        <v>-17.658990289000002</v>
      </c>
      <c r="L79" s="12">
        <f t="shared" si="40"/>
        <v>-35.589783517050002</v>
      </c>
      <c r="M79" s="12">
        <f t="shared" si="40"/>
        <v>-58.900311849947499</v>
      </c>
      <c r="N79" s="12">
        <f t="shared" si="40"/>
        <v>-86.218705648700137</v>
      </c>
      <c r="O79" s="12">
        <f t="shared" si="40"/>
        <v>-118.8706096090151</v>
      </c>
      <c r="P79" s="12">
        <f t="shared" si="40"/>
        <v>-153.80996113831435</v>
      </c>
      <c r="Q79" s="12">
        <f t="shared" si="40"/>
        <v>-187.2927834171486</v>
      </c>
      <c r="R79" s="12">
        <f t="shared" si="40"/>
        <v>-218.07867712916618</v>
      </c>
      <c r="S79" s="12">
        <f t="shared" si="40"/>
        <v>-246.02558115133286</v>
      </c>
      <c r="T79" s="12">
        <f t="shared" si="40"/>
        <v>-271.90603964614121</v>
      </c>
      <c r="U79" s="12">
        <f t="shared" si="40"/>
        <v>-296.54693674908413</v>
      </c>
      <c r="V79" s="12">
        <f t="shared" si="40"/>
        <v>-320.51586129800489</v>
      </c>
      <c r="W79" s="12">
        <f t="shared" si="40"/>
        <v>-344.06049297660456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180.09037719999998</v>
      </c>
      <c r="J80" s="20">
        <f>SUM(J76:J79)</f>
        <v>435.76469533</v>
      </c>
      <c r="K80" s="20">
        <f t="shared" ref="K80:W80" si="41">SUM(K76:K79)</f>
        <v>828.50350971099999</v>
      </c>
      <c r="L80" s="20">
        <f>SUM(L76:L79)</f>
        <v>1352.11646648295</v>
      </c>
      <c r="M80" s="20">
        <f t="shared" si="41"/>
        <v>1608.7184381500526</v>
      </c>
      <c r="N80" s="20">
        <f t="shared" si="41"/>
        <v>2034.0250443513</v>
      </c>
      <c r="O80" s="20">
        <f t="shared" si="41"/>
        <v>2468.5793903909848</v>
      </c>
      <c r="P80" s="20">
        <f t="shared" si="41"/>
        <v>2577.5087888616854</v>
      </c>
      <c r="Q80" s="20">
        <f t="shared" si="41"/>
        <v>2571.8822165828515</v>
      </c>
      <c r="R80" s="20">
        <f t="shared" si="41"/>
        <v>2463.1463228708335</v>
      </c>
      <c r="S80" s="20">
        <f t="shared" si="41"/>
        <v>2357.2494188486671</v>
      </c>
      <c r="T80" s="20">
        <f t="shared" si="41"/>
        <v>2253.4189603538584</v>
      </c>
      <c r="U80" s="20">
        <f t="shared" si="41"/>
        <v>2150.8280632509159</v>
      </c>
      <c r="V80" s="20">
        <f t="shared" si="41"/>
        <v>2048.9091387019948</v>
      </c>
      <c r="W80" s="20">
        <f t="shared" si="41"/>
        <v>1947.4145070233953</v>
      </c>
    </row>
    <row r="81" spans="1:25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5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5" s="8" customFormat="1" x14ac:dyDescent="0.2">
      <c r="A83" s="10">
        <f>A80+1</f>
        <v>53</v>
      </c>
      <c r="D83" s="13" t="s">
        <v>4</v>
      </c>
      <c r="E83" s="19"/>
      <c r="I83" s="12">
        <f>I51</f>
        <v>4.6000000000000005</v>
      </c>
      <c r="J83" s="12">
        <f t="shared" ref="J83:W83" si="42">J51</f>
        <v>11.325000000000001</v>
      </c>
      <c r="K83" s="12">
        <f t="shared" si="42"/>
        <v>21.825000000000003</v>
      </c>
      <c r="L83" s="12">
        <f t="shared" si="42"/>
        <v>36.087499999999999</v>
      </c>
      <c r="M83" s="12">
        <f t="shared" si="42"/>
        <v>44.087500000000006</v>
      </c>
      <c r="N83" s="12">
        <f t="shared" si="42"/>
        <v>56.662500000000001</v>
      </c>
      <c r="O83" s="12">
        <f t="shared" si="42"/>
        <v>69.924999999999997</v>
      </c>
      <c r="P83" s="12">
        <f t="shared" si="42"/>
        <v>75.337500000000006</v>
      </c>
      <c r="Q83" s="12">
        <f t="shared" si="42"/>
        <v>77.95</v>
      </c>
      <c r="R83" s="12">
        <f t="shared" si="42"/>
        <v>77.95</v>
      </c>
      <c r="S83" s="12">
        <f t="shared" si="42"/>
        <v>77.95</v>
      </c>
      <c r="T83" s="12">
        <f t="shared" si="42"/>
        <v>77.95</v>
      </c>
      <c r="U83" s="12">
        <f t="shared" si="42"/>
        <v>77.95</v>
      </c>
      <c r="V83" s="12">
        <f t="shared" si="42"/>
        <v>77.95</v>
      </c>
      <c r="W83" s="12">
        <f t="shared" si="42"/>
        <v>77.95</v>
      </c>
    </row>
    <row r="84" spans="1:25" s="8" customFormat="1" x14ac:dyDescent="0.2">
      <c r="A84" s="10">
        <f t="shared" ref="A84:A89" si="43">A83+1</f>
        <v>54</v>
      </c>
      <c r="D84" s="13" t="s">
        <v>34</v>
      </c>
      <c r="E84" s="19"/>
      <c r="I84" s="12">
        <f>I15*I16*I80</f>
        <v>5.4027113159999995</v>
      </c>
      <c r="J84" s="12">
        <f t="shared" ref="J84:W84" si="44">J15*J16*J80</f>
        <v>13.072940859899999</v>
      </c>
      <c r="K84" s="12">
        <f t="shared" si="44"/>
        <v>24.855105291329998</v>
      </c>
      <c r="L84" s="12">
        <f t="shared" si="44"/>
        <v>40.563493994488503</v>
      </c>
      <c r="M84" s="12">
        <f t="shared" si="44"/>
        <v>48.261553144501576</v>
      </c>
      <c r="N84" s="12">
        <f t="shared" si="44"/>
        <v>61.020751330538999</v>
      </c>
      <c r="O84" s="12">
        <f t="shared" si="44"/>
        <v>74.057381711729548</v>
      </c>
      <c r="P84" s="12">
        <f t="shared" si="44"/>
        <v>77.325263665850557</v>
      </c>
      <c r="Q84" s="12">
        <f t="shared" si="44"/>
        <v>77.156466497485539</v>
      </c>
      <c r="R84" s="12">
        <f t="shared" si="44"/>
        <v>73.894389686124995</v>
      </c>
      <c r="S84" s="12">
        <f t="shared" si="44"/>
        <v>70.717482565460017</v>
      </c>
      <c r="T84" s="12">
        <f t="shared" si="44"/>
        <v>67.60256881061575</v>
      </c>
      <c r="U84" s="12">
        <f t="shared" si="44"/>
        <v>64.52484189752748</v>
      </c>
      <c r="V84" s="12">
        <f t="shared" si="44"/>
        <v>61.467274161059841</v>
      </c>
      <c r="W84" s="12">
        <f t="shared" si="44"/>
        <v>58.422435210701856</v>
      </c>
    </row>
    <row r="85" spans="1:25" s="8" customFormat="1" x14ac:dyDescent="0.2">
      <c r="A85" s="10">
        <f t="shared" si="43"/>
        <v>55</v>
      </c>
      <c r="D85" s="13" t="s">
        <v>35</v>
      </c>
      <c r="E85" s="19"/>
      <c r="I85" s="12">
        <f>I18*I19*I80</f>
        <v>9.9049707459999983</v>
      </c>
      <c r="J85" s="12">
        <f t="shared" ref="J85:W85" si="45">J18*J19*J80</f>
        <v>23.967058243149999</v>
      </c>
      <c r="K85" s="12">
        <f t="shared" si="45"/>
        <v>45.567693034104998</v>
      </c>
      <c r="L85" s="12">
        <f t="shared" si="45"/>
        <v>74.36640565656225</v>
      </c>
      <c r="M85" s="12">
        <f t="shared" si="45"/>
        <v>88.479514098252892</v>
      </c>
      <c r="N85" s="12">
        <f t="shared" si="45"/>
        <v>111.87137743932151</v>
      </c>
      <c r="O85" s="12">
        <f t="shared" si="45"/>
        <v>135.77186647150415</v>
      </c>
      <c r="P85" s="12">
        <f t="shared" si="45"/>
        <v>141.76298338739269</v>
      </c>
      <c r="Q85" s="12">
        <f t="shared" si="45"/>
        <v>141.45352191205683</v>
      </c>
      <c r="R85" s="12">
        <f t="shared" si="45"/>
        <v>135.47304775789584</v>
      </c>
      <c r="S85" s="12">
        <f t="shared" si="45"/>
        <v>129.64871803667668</v>
      </c>
      <c r="T85" s="12">
        <f t="shared" si="45"/>
        <v>123.93804281946221</v>
      </c>
      <c r="U85" s="12">
        <f t="shared" si="45"/>
        <v>118.29554347880037</v>
      </c>
      <c r="V85" s="12">
        <f t="shared" si="45"/>
        <v>112.69000262860972</v>
      </c>
      <c r="W85" s="12">
        <f t="shared" si="45"/>
        <v>107.10779788628675</v>
      </c>
    </row>
    <row r="86" spans="1:25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2.6329669071645565</v>
      </c>
      <c r="J86" s="12">
        <f t="shared" ref="J86:W86" si="46">IF($F24="Y",J85*J25/(1-J25),J85*J25/(1-J25)+(J51+J59)*J25)</f>
        <v>6.3709901659006327</v>
      </c>
      <c r="K86" s="12">
        <f t="shared" si="46"/>
        <v>12.112931059698797</v>
      </c>
      <c r="L86" s="12">
        <f t="shared" si="46"/>
        <v>19.768285047946925</v>
      </c>
      <c r="M86" s="12">
        <f t="shared" si="46"/>
        <v>23.519870836244436</v>
      </c>
      <c r="N86" s="12">
        <f t="shared" si="46"/>
        <v>29.737961091465209</v>
      </c>
      <c r="O86" s="12">
        <f t="shared" si="46"/>
        <v>36.091255644323887</v>
      </c>
      <c r="P86" s="12">
        <f t="shared" si="46"/>
        <v>37.683831027028432</v>
      </c>
      <c r="Q86" s="12">
        <f t="shared" si="46"/>
        <v>37.601569115863207</v>
      </c>
      <c r="R86" s="12">
        <f t="shared" si="46"/>
        <v>36.011822821719143</v>
      </c>
      <c r="S86" s="12">
        <f t="shared" si="46"/>
        <v>34.463583275572283</v>
      </c>
      <c r="T86" s="12">
        <f t="shared" si="46"/>
        <v>32.945555686186154</v>
      </c>
      <c r="U86" s="12">
        <f t="shared" si="46"/>
        <v>31.445650798162124</v>
      </c>
      <c r="V86" s="12">
        <f t="shared" si="46"/>
        <v>29.955570318997516</v>
      </c>
      <c r="W86" s="12">
        <f t="shared" si="46"/>
        <v>28.471693109012929</v>
      </c>
    </row>
    <row r="87" spans="1:25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1.2158333573274975</v>
      </c>
      <c r="J87" s="12">
        <f t="shared" ref="J87:W87" si="47">IF($F28="Y",(J85+J86)*J29/(1-J29),(J85+J86)*J29/(1-J29)+(J51+J65)*J29)</f>
        <v>2.9419520396666039</v>
      </c>
      <c r="K87" s="12">
        <f t="shared" si="47"/>
        <v>5.5934260310358228</v>
      </c>
      <c r="L87" s="12">
        <f t="shared" si="47"/>
        <v>9.1284627668699123</v>
      </c>
      <c r="M87" s="12">
        <f t="shared" si="47"/>
        <v>10.86084426087052</v>
      </c>
      <c r="N87" s="12">
        <f t="shared" si="47"/>
        <v>13.732191230936317</v>
      </c>
      <c r="O87" s="12">
        <f t="shared" si="47"/>
        <v>16.665971912065821</v>
      </c>
      <c r="P87" s="12">
        <f t="shared" si="47"/>
        <v>17.401380423688927</v>
      </c>
      <c r="Q87" s="12">
        <f t="shared" si="47"/>
        <v>17.363394083883428</v>
      </c>
      <c r="R87" s="12">
        <f t="shared" si="47"/>
        <v>16.62929196932642</v>
      </c>
      <c r="S87" s="12">
        <f t="shared" si="47"/>
        <v>15.914356555509885</v>
      </c>
      <c r="T87" s="12">
        <f t="shared" si="47"/>
        <v>15.213372211385824</v>
      </c>
      <c r="U87" s="12">
        <f t="shared" si="47"/>
        <v>14.520756443707201</v>
      </c>
      <c r="V87" s="12">
        <f t="shared" si="47"/>
        <v>13.83267732401106</v>
      </c>
      <c r="W87" s="12">
        <f t="shared" si="47"/>
        <v>13.147462707310764</v>
      </c>
    </row>
    <row r="88" spans="1:25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7.36</v>
      </c>
      <c r="K88" s="12">
        <f t="shared" ref="K88:W88" si="48">(K80&gt;0)*(J88*(1+K32)+J44*K31)</f>
        <v>10.9072</v>
      </c>
      <c r="L88" s="12">
        <f t="shared" si="48"/>
        <v>24.525344</v>
      </c>
      <c r="M88" s="12">
        <f t="shared" si="48"/>
        <v>34.435850880000004</v>
      </c>
      <c r="N88" s="12">
        <f t="shared" si="48"/>
        <v>38.504567897600005</v>
      </c>
      <c r="O88" s="12">
        <f t="shared" si="48"/>
        <v>56.014659255552004</v>
      </c>
      <c r="P88" s="12">
        <f t="shared" si="48"/>
        <v>61.614952440663046</v>
      </c>
      <c r="Q88" s="12">
        <f t="shared" si="48"/>
        <v>67.027251489476299</v>
      </c>
      <c r="R88" s="12">
        <f t="shared" si="48"/>
        <v>68.367796519265823</v>
      </c>
      <c r="S88" s="12">
        <f t="shared" si="48"/>
        <v>69.735152449651139</v>
      </c>
      <c r="T88" s="12">
        <f t="shared" si="48"/>
        <v>71.129855498644162</v>
      </c>
      <c r="U88" s="12">
        <f t="shared" si="48"/>
        <v>72.552452608617045</v>
      </c>
      <c r="V88" s="12">
        <f t="shared" si="48"/>
        <v>74.003501660789382</v>
      </c>
      <c r="W88" s="12">
        <f t="shared" si="48"/>
        <v>75.483571694005178</v>
      </c>
    </row>
    <row r="89" spans="1:25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23.756482326492055</v>
      </c>
      <c r="J89" s="20">
        <f t="shared" ref="J89:W89" si="49">SUM(J83:J88)</f>
        <v>65.037941308617235</v>
      </c>
      <c r="K89" s="20">
        <f t="shared" si="49"/>
        <v>120.86135541616962</v>
      </c>
      <c r="L89" s="20">
        <f t="shared" si="49"/>
        <v>204.4394914658676</v>
      </c>
      <c r="M89" s="20">
        <f t="shared" si="49"/>
        <v>249.64513321986945</v>
      </c>
      <c r="N89" s="20">
        <f t="shared" si="49"/>
        <v>311.52934898986206</v>
      </c>
      <c r="O89" s="20">
        <f t="shared" si="49"/>
        <v>388.52613499517543</v>
      </c>
      <c r="P89" s="20">
        <f t="shared" si="49"/>
        <v>411.12591094462363</v>
      </c>
      <c r="Q89" s="20">
        <f t="shared" si="49"/>
        <v>418.55220309876529</v>
      </c>
      <c r="R89" s="20">
        <f t="shared" si="49"/>
        <v>408.32634875433217</v>
      </c>
      <c r="S89" s="20">
        <f t="shared" si="49"/>
        <v>398.42929288287002</v>
      </c>
      <c r="T89" s="20">
        <f t="shared" si="49"/>
        <v>388.77939502629408</v>
      </c>
      <c r="U89" s="20">
        <f t="shared" si="49"/>
        <v>379.28924522681427</v>
      </c>
      <c r="V89" s="20">
        <f t="shared" si="49"/>
        <v>369.89902609346751</v>
      </c>
      <c r="W89" s="20">
        <f t="shared" si="49"/>
        <v>360.58296060731743</v>
      </c>
      <c r="X89" s="49"/>
    </row>
    <row r="90" spans="1:25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2" spans="1:25" x14ac:dyDescent="0.2"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</row>
    <row r="93" spans="1:25" x14ac:dyDescent="0.2"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</row>
    <row r="94" spans="1:25" x14ac:dyDescent="0.2"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</row>
    <row r="95" spans="1:25" x14ac:dyDescent="0.2"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7"/>
      <c r="Y95" s="55"/>
    </row>
    <row r="101" spans="5:6" x14ac:dyDescent="0.2">
      <c r="F101" s="54"/>
    </row>
    <row r="102" spans="5:6" x14ac:dyDescent="0.2">
      <c r="E102" s="52"/>
      <c r="F102" s="53"/>
    </row>
    <row r="103" spans="5:6" x14ac:dyDescent="0.2">
      <c r="E103" s="52"/>
      <c r="F103" s="53"/>
    </row>
    <row r="104" spans="5:6" x14ac:dyDescent="0.2">
      <c r="E104" s="52"/>
      <c r="F104" s="53"/>
    </row>
    <row r="105" spans="5:6" x14ac:dyDescent="0.2">
      <c r="E105" s="52"/>
      <c r="F105" s="53"/>
    </row>
    <row r="106" spans="5:6" x14ac:dyDescent="0.2">
      <c r="E106" s="52"/>
      <c r="F106" s="53"/>
    </row>
    <row r="107" spans="5:6" x14ac:dyDescent="0.2">
      <c r="E107" s="52"/>
      <c r="F107" s="53"/>
    </row>
    <row r="108" spans="5:6" x14ac:dyDescent="0.2">
      <c r="F108" s="58"/>
    </row>
    <row r="114" spans="5:9" x14ac:dyDescent="0.2">
      <c r="E114" s="52"/>
      <c r="F114" s="53"/>
      <c r="I114" s="43"/>
    </row>
    <row r="115" spans="5:9" x14ac:dyDescent="0.2">
      <c r="I115" s="43"/>
    </row>
    <row r="116" spans="5:9" x14ac:dyDescent="0.2">
      <c r="I116" s="43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94"/>
  <sheetViews>
    <sheetView topLeftCell="A58" zoomScale="115" zoomScaleNormal="115" workbookViewId="0">
      <selection activeCell="N10" sqref="N10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6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118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f>Existing!H3</f>
        <v>2020</v>
      </c>
      <c r="I3" s="5">
        <f>Existing!I3</f>
        <v>2021</v>
      </c>
      <c r="J3" s="5">
        <f>Existing!J3</f>
        <v>2022</v>
      </c>
      <c r="K3" s="5">
        <f>Existing!K3</f>
        <v>2023</v>
      </c>
      <c r="L3" s="5">
        <f>Existing!L3</f>
        <v>2024</v>
      </c>
      <c r="M3" s="5">
        <f>Existing!M3</f>
        <v>2025</v>
      </c>
      <c r="N3" s="5">
        <f>Existing!N3</f>
        <v>2026</v>
      </c>
      <c r="O3" s="5">
        <f>Existing!O3</f>
        <v>2027</v>
      </c>
      <c r="P3" s="5">
        <f>Existing!P3</f>
        <v>2028</v>
      </c>
      <c r="Q3" s="5">
        <f>Existing!Q3</f>
        <v>2029</v>
      </c>
      <c r="R3" s="5">
        <f>Existing!R3</f>
        <v>2030</v>
      </c>
      <c r="S3" s="5">
        <f>Existing!S3</f>
        <v>2031</v>
      </c>
      <c r="T3" s="5">
        <f>Existing!T3</f>
        <v>2032</v>
      </c>
      <c r="U3" s="5">
        <f>Existing!U3</f>
        <v>2033</v>
      </c>
      <c r="V3" s="5">
        <f>Existing!V3</f>
        <v>2034</v>
      </c>
      <c r="W3" s="5">
        <f>Existing!W3</f>
        <v>2035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2020</v>
      </c>
      <c r="I7" s="10"/>
      <c r="J7" s="10"/>
      <c r="K7" s="10"/>
      <c r="L7" s="10"/>
      <c r="M7" s="61"/>
      <c r="N7" s="61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H8" s="48">
        <v>0</v>
      </c>
      <c r="I8" s="48">
        <v>292</v>
      </c>
      <c r="J8" s="48">
        <v>338</v>
      </c>
      <c r="K8" s="48">
        <v>137</v>
      </c>
      <c r="L8" s="48">
        <v>25</v>
      </c>
      <c r="M8" s="48">
        <v>1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51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40">
        <f t="shared" ref="H25:W25" si="6">$F25</f>
        <v>0.21</v>
      </c>
      <c r="I25" s="40">
        <f t="shared" si="6"/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>H8</f>
        <v>0</v>
      </c>
      <c r="I36" s="12">
        <f t="shared" ref="I36:W36" si="10">I8</f>
        <v>292</v>
      </c>
      <c r="J36" s="12">
        <f t="shared" si="10"/>
        <v>338</v>
      </c>
      <c r="K36" s="12">
        <f t="shared" si="10"/>
        <v>137</v>
      </c>
      <c r="L36" s="12">
        <f t="shared" si="10"/>
        <v>25</v>
      </c>
      <c r="M36" s="12">
        <f>M8</f>
        <v>1</v>
      </c>
      <c r="N36" s="12">
        <f>N8</f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 t="shared" ref="I38:W38" si="12">IF(I3&gt;=$F7,-SUM(I35:I37),0)</f>
        <v>-292</v>
      </c>
      <c r="J38" s="12">
        <f t="shared" si="12"/>
        <v>-338</v>
      </c>
      <c r="K38" s="12">
        <f t="shared" si="12"/>
        <v>-137</v>
      </c>
      <c r="L38" s="12">
        <f t="shared" si="12"/>
        <v>-25</v>
      </c>
      <c r="M38" s="12">
        <f t="shared" si="12"/>
        <v>-1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292</v>
      </c>
      <c r="K43" s="12">
        <f t="shared" ref="K43:W43" si="15">J46</f>
        <v>630</v>
      </c>
      <c r="L43" s="12">
        <f t="shared" si="15"/>
        <v>767</v>
      </c>
      <c r="M43" s="12">
        <f t="shared" si="15"/>
        <v>792</v>
      </c>
      <c r="N43" s="12">
        <f t="shared" si="15"/>
        <v>793</v>
      </c>
      <c r="O43" s="12">
        <f t="shared" si="15"/>
        <v>793</v>
      </c>
      <c r="P43" s="12">
        <f t="shared" si="15"/>
        <v>793</v>
      </c>
      <c r="Q43" s="12">
        <f t="shared" si="15"/>
        <v>793</v>
      </c>
      <c r="R43" s="12">
        <f t="shared" si="15"/>
        <v>793</v>
      </c>
      <c r="S43" s="12">
        <f t="shared" si="15"/>
        <v>793</v>
      </c>
      <c r="T43" s="12">
        <f t="shared" si="15"/>
        <v>793</v>
      </c>
      <c r="U43" s="12">
        <f t="shared" si="15"/>
        <v>793</v>
      </c>
      <c r="V43" s="12">
        <f t="shared" si="15"/>
        <v>793</v>
      </c>
      <c r="W43" s="12">
        <f t="shared" si="15"/>
        <v>793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292</v>
      </c>
      <c r="J44" s="12">
        <f t="shared" ref="J44:W44" si="16">-J38</f>
        <v>338</v>
      </c>
      <c r="K44" s="12">
        <f t="shared" si="16"/>
        <v>137</v>
      </c>
      <c r="L44" s="12">
        <f t="shared" si="16"/>
        <v>25</v>
      </c>
      <c r="M44" s="12">
        <f t="shared" si="16"/>
        <v>1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292</v>
      </c>
      <c r="J46" s="20">
        <f>SUM(J43:J45)</f>
        <v>630</v>
      </c>
      <c r="K46" s="20">
        <f t="shared" ref="K46:W46" si="18">SUM(K43:K45)</f>
        <v>767</v>
      </c>
      <c r="L46" s="20">
        <f t="shared" si="18"/>
        <v>792</v>
      </c>
      <c r="M46" s="20">
        <f t="shared" si="18"/>
        <v>793</v>
      </c>
      <c r="N46" s="20">
        <f t="shared" si="18"/>
        <v>793</v>
      </c>
      <c r="O46" s="20">
        <f t="shared" si="18"/>
        <v>793</v>
      </c>
      <c r="P46" s="20">
        <f t="shared" si="18"/>
        <v>793</v>
      </c>
      <c r="Q46" s="20">
        <f t="shared" si="18"/>
        <v>793</v>
      </c>
      <c r="R46" s="20">
        <f t="shared" si="18"/>
        <v>793</v>
      </c>
      <c r="S46" s="20">
        <f t="shared" si="18"/>
        <v>793</v>
      </c>
      <c r="T46" s="20">
        <f t="shared" si="18"/>
        <v>793</v>
      </c>
      <c r="U46" s="20">
        <f t="shared" si="18"/>
        <v>793</v>
      </c>
      <c r="V46" s="20">
        <f t="shared" si="18"/>
        <v>793</v>
      </c>
      <c r="W46" s="20">
        <f t="shared" si="18"/>
        <v>793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146</v>
      </c>
      <c r="J47" s="20">
        <f>(J43+J46)/2</f>
        <v>461</v>
      </c>
      <c r="K47" s="20">
        <f t="shared" ref="K47:W47" si="19">(K43+K46)/2</f>
        <v>698.5</v>
      </c>
      <c r="L47" s="20">
        <f t="shared" si="19"/>
        <v>779.5</v>
      </c>
      <c r="M47" s="20">
        <f t="shared" si="19"/>
        <v>792.5</v>
      </c>
      <c r="N47" s="20">
        <f t="shared" si="19"/>
        <v>793</v>
      </c>
      <c r="O47" s="20">
        <f t="shared" si="19"/>
        <v>793</v>
      </c>
      <c r="P47" s="20">
        <f t="shared" si="19"/>
        <v>793</v>
      </c>
      <c r="Q47" s="20">
        <f t="shared" si="19"/>
        <v>793</v>
      </c>
      <c r="R47" s="20">
        <f t="shared" si="19"/>
        <v>793</v>
      </c>
      <c r="S47" s="20">
        <f t="shared" si="19"/>
        <v>793</v>
      </c>
      <c r="T47" s="20">
        <f t="shared" si="19"/>
        <v>793</v>
      </c>
      <c r="U47" s="20">
        <f t="shared" si="19"/>
        <v>793</v>
      </c>
      <c r="V47" s="20">
        <f t="shared" si="19"/>
        <v>793</v>
      </c>
      <c r="W47" s="20">
        <f t="shared" si="19"/>
        <v>793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3.6500000000000004</v>
      </c>
      <c r="K50" s="12">
        <f t="shared" ref="K50:W50" si="20">J53</f>
        <v>15.175000000000001</v>
      </c>
      <c r="L50" s="12">
        <f t="shared" si="20"/>
        <v>32.637500000000003</v>
      </c>
      <c r="M50" s="12">
        <f t="shared" si="20"/>
        <v>52.125</v>
      </c>
      <c r="N50" s="12">
        <f t="shared" si="20"/>
        <v>71.9375</v>
      </c>
      <c r="O50" s="12">
        <f t="shared" si="20"/>
        <v>91.762500000000003</v>
      </c>
      <c r="P50" s="12">
        <f t="shared" si="20"/>
        <v>111.58750000000001</v>
      </c>
      <c r="Q50" s="12">
        <f t="shared" si="20"/>
        <v>131.41250000000002</v>
      </c>
      <c r="R50" s="12">
        <f t="shared" si="20"/>
        <v>151.23750000000001</v>
      </c>
      <c r="S50" s="12">
        <f t="shared" si="20"/>
        <v>171.0625</v>
      </c>
      <c r="T50" s="12">
        <f t="shared" si="20"/>
        <v>190.88749999999999</v>
      </c>
      <c r="U50" s="12">
        <f t="shared" si="20"/>
        <v>210.71249999999998</v>
      </c>
      <c r="V50" s="12">
        <f t="shared" si="20"/>
        <v>230.53749999999997</v>
      </c>
      <c r="W50" s="12">
        <f t="shared" si="20"/>
        <v>250.36249999999995</v>
      </c>
    </row>
    <row r="51" spans="1:23" s="8" customFormat="1" x14ac:dyDescent="0.2">
      <c r="A51" s="10">
        <f>A50+1</f>
        <v>31</v>
      </c>
      <c r="D51" s="13" t="s">
        <v>69</v>
      </c>
      <c r="E51" s="19"/>
      <c r="H51" s="12">
        <f>MAX(H13*(H43+0.5*H44),0)</f>
        <v>0</v>
      </c>
      <c r="I51" s="12">
        <f>MAX(I13*(I43+0.5*I44),0)</f>
        <v>3.6500000000000004</v>
      </c>
      <c r="J51" s="12">
        <f t="shared" ref="J51:W51" si="21">MIN(J13*(J43+0.5*J44),J43+J44-I53)</f>
        <v>11.525</v>
      </c>
      <c r="K51" s="12">
        <f t="shared" si="21"/>
        <v>17.462500000000002</v>
      </c>
      <c r="L51" s="12">
        <f t="shared" si="21"/>
        <v>19.487500000000001</v>
      </c>
      <c r="M51" s="12">
        <f t="shared" si="21"/>
        <v>19.8125</v>
      </c>
      <c r="N51" s="12">
        <f t="shared" si="21"/>
        <v>19.825000000000003</v>
      </c>
      <c r="O51" s="12">
        <f t="shared" si="21"/>
        <v>19.825000000000003</v>
      </c>
      <c r="P51" s="12">
        <f t="shared" si="21"/>
        <v>19.825000000000003</v>
      </c>
      <c r="Q51" s="12">
        <f t="shared" si="21"/>
        <v>19.825000000000003</v>
      </c>
      <c r="R51" s="12">
        <f t="shared" si="21"/>
        <v>19.825000000000003</v>
      </c>
      <c r="S51" s="12">
        <f t="shared" si="21"/>
        <v>19.825000000000003</v>
      </c>
      <c r="T51" s="12">
        <f t="shared" si="21"/>
        <v>19.825000000000003</v>
      </c>
      <c r="U51" s="12">
        <f t="shared" si="21"/>
        <v>19.825000000000003</v>
      </c>
      <c r="V51" s="12">
        <f t="shared" si="21"/>
        <v>19.825000000000003</v>
      </c>
      <c r="W51" s="12">
        <f t="shared" si="21"/>
        <v>19.825000000000003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3.6500000000000004</v>
      </c>
      <c r="J53" s="20">
        <f>SUM(J50:J52)</f>
        <v>15.175000000000001</v>
      </c>
      <c r="K53" s="20">
        <f t="shared" ref="K53:W53" si="23">SUM(K50:K52)</f>
        <v>32.637500000000003</v>
      </c>
      <c r="L53" s="20">
        <f t="shared" si="23"/>
        <v>52.125</v>
      </c>
      <c r="M53" s="20">
        <f t="shared" si="23"/>
        <v>71.9375</v>
      </c>
      <c r="N53" s="20">
        <f t="shared" si="23"/>
        <v>91.762500000000003</v>
      </c>
      <c r="O53" s="20">
        <f t="shared" si="23"/>
        <v>111.58750000000001</v>
      </c>
      <c r="P53" s="20">
        <f t="shared" si="23"/>
        <v>131.41250000000002</v>
      </c>
      <c r="Q53" s="20">
        <f t="shared" si="23"/>
        <v>151.23750000000001</v>
      </c>
      <c r="R53" s="20">
        <f t="shared" si="23"/>
        <v>171.0625</v>
      </c>
      <c r="S53" s="20">
        <f t="shared" si="23"/>
        <v>190.88749999999999</v>
      </c>
      <c r="T53" s="20">
        <f t="shared" si="23"/>
        <v>210.71249999999998</v>
      </c>
      <c r="U53" s="20">
        <f t="shared" si="23"/>
        <v>230.53749999999997</v>
      </c>
      <c r="V53" s="20">
        <f t="shared" si="23"/>
        <v>250.36249999999995</v>
      </c>
      <c r="W53" s="20">
        <f t="shared" si="23"/>
        <v>270.18749999999994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1.8250000000000002</v>
      </c>
      <c r="J54" s="20">
        <f>(J50+J53)/2</f>
        <v>9.4125000000000014</v>
      </c>
      <c r="K54" s="20">
        <f t="shared" ref="K54:W54" si="24">(K50+K53)/2</f>
        <v>23.90625</v>
      </c>
      <c r="L54" s="20">
        <f t="shared" si="24"/>
        <v>42.381250000000001</v>
      </c>
      <c r="M54" s="20">
        <f t="shared" si="24"/>
        <v>62.03125</v>
      </c>
      <c r="N54" s="20">
        <f t="shared" si="24"/>
        <v>81.849999999999994</v>
      </c>
      <c r="O54" s="20">
        <f t="shared" si="24"/>
        <v>101.67500000000001</v>
      </c>
      <c r="P54" s="20">
        <f t="shared" si="24"/>
        <v>121.50000000000001</v>
      </c>
      <c r="Q54" s="20">
        <f t="shared" si="24"/>
        <v>141.32500000000002</v>
      </c>
      <c r="R54" s="20">
        <f t="shared" si="24"/>
        <v>161.15</v>
      </c>
      <c r="S54" s="20">
        <f t="shared" si="24"/>
        <v>180.97499999999999</v>
      </c>
      <c r="T54" s="20">
        <f t="shared" si="24"/>
        <v>200.79999999999998</v>
      </c>
      <c r="U54" s="20">
        <f t="shared" si="24"/>
        <v>220.62499999999997</v>
      </c>
      <c r="V54" s="20">
        <f t="shared" si="24"/>
        <v>240.44999999999996</v>
      </c>
      <c r="W54" s="20">
        <f t="shared" si="24"/>
        <v>260.27499999999998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277.39999999999998</v>
      </c>
      <c r="K57" s="12">
        <f t="shared" ref="K57:W57" si="25">J60</f>
        <v>570.76</v>
      </c>
      <c r="L57" s="12">
        <f t="shared" si="25"/>
        <v>643.83399999999995</v>
      </c>
      <c r="M57" s="12">
        <f t="shared" si="25"/>
        <v>603.20059999999989</v>
      </c>
      <c r="N57" s="12">
        <f t="shared" si="25"/>
        <v>543.83053999999993</v>
      </c>
      <c r="O57" s="12">
        <f t="shared" si="25"/>
        <v>489.44748599999991</v>
      </c>
      <c r="P57" s="12">
        <f t="shared" si="25"/>
        <v>439.64062199999989</v>
      </c>
      <c r="Q57" s="12">
        <f t="shared" si="25"/>
        <v>392.09228549999989</v>
      </c>
      <c r="R57" s="12">
        <f t="shared" si="25"/>
        <v>345.1742099999999</v>
      </c>
      <c r="S57" s="12">
        <f t="shared" si="25"/>
        <v>298.3450724999999</v>
      </c>
      <c r="T57" s="12">
        <f t="shared" si="25"/>
        <v>251.51921549999992</v>
      </c>
      <c r="U57" s="12">
        <f t="shared" si="25"/>
        <v>204.69335849999993</v>
      </c>
      <c r="V57" s="12">
        <f t="shared" si="25"/>
        <v>157.86750149999995</v>
      </c>
      <c r="W57" s="12">
        <f t="shared" si="25"/>
        <v>111.04164449999998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292</v>
      </c>
      <c r="J58" s="12">
        <f t="shared" ref="J58:W58" si="26">-J38</f>
        <v>338</v>
      </c>
      <c r="K58" s="12">
        <f t="shared" si="26"/>
        <v>137</v>
      </c>
      <c r="L58" s="12">
        <f t="shared" si="26"/>
        <v>25</v>
      </c>
      <c r="M58" s="12">
        <f t="shared" si="26"/>
        <v>1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H59" s="12">
        <f>-I23*H58</f>
        <v>0</v>
      </c>
      <c r="I59" s="12">
        <f>-I23*I58-H58*J23</f>
        <v>-14.600000000000001</v>
      </c>
      <c r="J59" s="12">
        <f>-I23*J58-J23*I58-H58*K23</f>
        <v>-44.64</v>
      </c>
      <c r="K59" s="12">
        <f>-I23*K58-J23*J58-K23*I58-H58*L23</f>
        <v>-63.926000000000002</v>
      </c>
      <c r="L59" s="12">
        <f>-I23*L58-J23*K58-K23*J58-L23*I58-H58*M23</f>
        <v>-65.633399999999995</v>
      </c>
      <c r="M59" s="12">
        <f>-I23*M58-J23*L58-K23*K58-L23*J58-M23*I58-H58*N23</f>
        <v>-60.370059999999995</v>
      </c>
      <c r="N59" s="12">
        <f>-I23*N58-J23*M58-K23*L58-L23*K58-M23*J58-N23*I58-H58*O23</f>
        <v>-54.383054000000001</v>
      </c>
      <c r="O59" s="12">
        <f>-I23*O58-J23*N58-K23*M58-L23*L58-M23*K58-N23*J58-O23*I58-H58*P23</f>
        <v>-49.80686399999999</v>
      </c>
      <c r="P59" s="12">
        <f>-I23*P58-J23*O58-K23*N58-L23*M58-M23*L58-N23*K58-O23*J58-P23*I58-H58*Q23</f>
        <v>-47.548336499999991</v>
      </c>
      <c r="Q59" s="12">
        <f>-I23*Q58-J23*P58-K23*O58-L23*N58-M23*M58-N23*L58-O23*K58-P23*J58-Q23*I58-H58*R23</f>
        <v>-46.918075499999986</v>
      </c>
      <c r="R59" s="12">
        <f>-I23*R58-J23*Q58-K23*P58-L23*O58-M23*N58-N23*M58-O23*L58-P23*K58-Q23*J58-R23*I58-H58*S23</f>
        <v>-46.829137500000002</v>
      </c>
      <c r="S59" s="12">
        <f>-I23*S58-J23*R58-K23*Q58-L23*P58-M23*O58-N23*N58-O23*M58-P23*L58-Q23*K58-R23*J58-S23*I58-H58*T23</f>
        <v>-46.825856999999999</v>
      </c>
      <c r="T59" s="12">
        <f>-I23*T58-J23*S58-K23*R58-L23*Q58-M23*P58-N23*O58-O23*N58-P23*M58-Q23*L58-R23*K58-S23*J58-T23*I58-H58*U23</f>
        <v>-46.825856999999985</v>
      </c>
      <c r="U59" s="12">
        <f>-I23*U58-J23*T58-K23*S58-L23*R58-M23*Q58-N23*P58-O23*O58-P23*N58-Q23*M58-R23*L58-S23*K58-T23*J58-U23*I58-H58*V23</f>
        <v>-46.825856999999985</v>
      </c>
      <c r="V59" s="12">
        <f>-I23*V58-J23*U58-K23*T58-L23*S58-M23*R58-N23*Q58-O23*P58-P23*O58-Q23*N58-R23*M58-S23*L58-T23*K58-U23*J58-V23*I58-H58*W23</f>
        <v>-46.825856999999971</v>
      </c>
      <c r="W59" s="12">
        <f>-I23*W58-J23*V58-K23*U58-L23*T58-M23*S58-N23*R58-O23*Q58-P23*P58-Q23*O58-R23*N58-S23*M58-T23*L58-U23*K58-V23*J58-W23*I58-H58*X23</f>
        <v>-46.825856999999971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277.39999999999998</v>
      </c>
      <c r="J60" s="20">
        <f t="shared" si="27"/>
        <v>570.76</v>
      </c>
      <c r="K60" s="20">
        <f t="shared" si="27"/>
        <v>643.83399999999995</v>
      </c>
      <c r="L60" s="20">
        <f t="shared" si="27"/>
        <v>603.20059999999989</v>
      </c>
      <c r="M60" s="20">
        <f t="shared" si="27"/>
        <v>543.83053999999993</v>
      </c>
      <c r="N60" s="20">
        <f t="shared" si="27"/>
        <v>489.44748599999991</v>
      </c>
      <c r="O60" s="20">
        <f t="shared" si="27"/>
        <v>439.64062199999989</v>
      </c>
      <c r="P60" s="20">
        <f t="shared" si="27"/>
        <v>392.09228549999989</v>
      </c>
      <c r="Q60" s="20">
        <f t="shared" si="27"/>
        <v>345.1742099999999</v>
      </c>
      <c r="R60" s="20">
        <f t="shared" si="27"/>
        <v>298.3450724999999</v>
      </c>
      <c r="S60" s="20">
        <f t="shared" si="27"/>
        <v>251.51921549999992</v>
      </c>
      <c r="T60" s="20">
        <f t="shared" si="27"/>
        <v>204.69335849999993</v>
      </c>
      <c r="U60" s="20">
        <f t="shared" si="27"/>
        <v>157.86750149999995</v>
      </c>
      <c r="V60" s="20">
        <f t="shared" si="27"/>
        <v>111.04164449999998</v>
      </c>
      <c r="W60" s="20">
        <f t="shared" si="27"/>
        <v>64.215787500000005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284.7</v>
      </c>
      <c r="K63" s="12">
        <f t="shared" si="28"/>
        <v>600.0150000000001</v>
      </c>
      <c r="L63" s="12">
        <f t="shared" si="28"/>
        <v>703.58925000000011</v>
      </c>
      <c r="M63" s="12">
        <f t="shared" si="28"/>
        <v>692.78478750000011</v>
      </c>
      <c r="N63" s="12">
        <f t="shared" si="28"/>
        <v>659.12054812500014</v>
      </c>
      <c r="O63" s="12">
        <f t="shared" si="28"/>
        <v>626.16452071875017</v>
      </c>
      <c r="P63" s="12">
        <f t="shared" si="28"/>
        <v>594.85629468281263</v>
      </c>
      <c r="Q63" s="12">
        <f t="shared" si="28"/>
        <v>565.11347994867197</v>
      </c>
      <c r="R63" s="12">
        <f t="shared" si="28"/>
        <v>536.85780595123833</v>
      </c>
      <c r="S63" s="12">
        <f t="shared" si="28"/>
        <v>510.01491565367644</v>
      </c>
      <c r="T63" s="12">
        <f t="shared" si="28"/>
        <v>484.51416987099265</v>
      </c>
      <c r="U63" s="12">
        <f t="shared" si="28"/>
        <v>460.28846137744301</v>
      </c>
      <c r="V63" s="12">
        <f t="shared" si="28"/>
        <v>437.27403830857088</v>
      </c>
      <c r="W63" s="12">
        <f t="shared" si="28"/>
        <v>415.41033639314236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292</v>
      </c>
      <c r="J64" s="12">
        <f t="shared" ref="J64:W64" si="29">-J38</f>
        <v>338</v>
      </c>
      <c r="K64" s="12">
        <f t="shared" si="29"/>
        <v>137</v>
      </c>
      <c r="L64" s="12">
        <f t="shared" si="29"/>
        <v>25</v>
      </c>
      <c r="M64" s="12">
        <f t="shared" si="29"/>
        <v>1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H65" s="12">
        <f>-H13*$F27*(H63+0.5*H64)</f>
        <v>0</v>
      </c>
      <c r="I65" s="12">
        <f t="shared" ref="I65:W65" si="30">-I13*$F27*(I63+0.5*I64)</f>
        <v>-7.3000000000000007</v>
      </c>
      <c r="J65" s="12">
        <f t="shared" si="30"/>
        <v>-22.685000000000002</v>
      </c>
      <c r="K65" s="12">
        <f t="shared" si="30"/>
        <v>-33.425750000000008</v>
      </c>
      <c r="L65" s="12">
        <f t="shared" si="30"/>
        <v>-35.804462500000007</v>
      </c>
      <c r="M65" s="12">
        <f t="shared" si="30"/>
        <v>-34.664239375000008</v>
      </c>
      <c r="N65" s="12">
        <f t="shared" si="30"/>
        <v>-32.956027406250008</v>
      </c>
      <c r="O65" s="12">
        <f t="shared" si="30"/>
        <v>-31.308226035937508</v>
      </c>
      <c r="P65" s="12">
        <f t="shared" si="30"/>
        <v>-29.742814734140634</v>
      </c>
      <c r="Q65" s="12">
        <f t="shared" si="30"/>
        <v>-28.2556739974336</v>
      </c>
      <c r="R65" s="12">
        <f t="shared" si="30"/>
        <v>-26.842890297561919</v>
      </c>
      <c r="S65" s="12">
        <f t="shared" si="30"/>
        <v>-25.500745782683822</v>
      </c>
      <c r="T65" s="12">
        <f t="shared" si="30"/>
        <v>-24.225708493549632</v>
      </c>
      <c r="U65" s="12">
        <f t="shared" si="30"/>
        <v>-23.014423068872151</v>
      </c>
      <c r="V65" s="12">
        <f t="shared" si="30"/>
        <v>-21.863701915428546</v>
      </c>
      <c r="W65" s="12">
        <f t="shared" si="30"/>
        <v>-20.770516819657118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284.7</v>
      </c>
      <c r="J66" s="20">
        <f t="shared" si="31"/>
        <v>600.0150000000001</v>
      </c>
      <c r="K66" s="20">
        <f t="shared" si="31"/>
        <v>703.58925000000011</v>
      </c>
      <c r="L66" s="20">
        <f t="shared" si="31"/>
        <v>692.78478750000011</v>
      </c>
      <c r="M66" s="20">
        <f t="shared" si="31"/>
        <v>659.12054812500014</v>
      </c>
      <c r="N66" s="20">
        <f t="shared" si="31"/>
        <v>626.16452071875017</v>
      </c>
      <c r="O66" s="20">
        <f t="shared" si="31"/>
        <v>594.85629468281263</v>
      </c>
      <c r="P66" s="20">
        <f t="shared" si="31"/>
        <v>565.11347994867197</v>
      </c>
      <c r="Q66" s="20">
        <f t="shared" si="31"/>
        <v>536.85780595123833</v>
      </c>
      <c r="R66" s="20">
        <f t="shared" si="31"/>
        <v>510.01491565367644</v>
      </c>
      <c r="S66" s="20">
        <f t="shared" si="31"/>
        <v>484.51416987099265</v>
      </c>
      <c r="T66" s="20">
        <f t="shared" si="31"/>
        <v>460.28846137744301</v>
      </c>
      <c r="U66" s="20">
        <f t="shared" si="31"/>
        <v>437.27403830857088</v>
      </c>
      <c r="V66" s="20">
        <f t="shared" si="31"/>
        <v>415.41033639314236</v>
      </c>
      <c r="W66" s="20">
        <f t="shared" si="31"/>
        <v>394.63981957348523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2.5544013999999997</v>
      </c>
      <c r="K69" s="12">
        <f t="shared" ref="K69:W69" si="32">J72</f>
        <v>10.28792116</v>
      </c>
      <c r="L69" s="12">
        <f t="shared" si="32"/>
        <v>21.160065686999999</v>
      </c>
      <c r="M69" s="12">
        <f t="shared" si="32"/>
        <v>31.990216080149999</v>
      </c>
      <c r="N69" s="12">
        <f t="shared" si="32"/>
        <v>41.5444897511425</v>
      </c>
      <c r="O69" s="12">
        <f t="shared" si="32"/>
        <v>49.718699521085377</v>
      </c>
      <c r="P69" s="12">
        <f t="shared" si="32"/>
        <v>56.816833534531106</v>
      </c>
      <c r="Q69" s="12">
        <f t="shared" si="32"/>
        <v>63.331354709304549</v>
      </c>
      <c r="R69" s="12">
        <f t="shared" si="32"/>
        <v>69.609665113589315</v>
      </c>
      <c r="S69" s="12">
        <f t="shared" si="32"/>
        <v>75.770635375409839</v>
      </c>
      <c r="T69" s="12">
        <f t="shared" si="32"/>
        <v>81.837186727889346</v>
      </c>
      <c r="U69" s="12">
        <f t="shared" si="32"/>
        <v>87.814694576244875</v>
      </c>
      <c r="V69" s="12">
        <f t="shared" si="32"/>
        <v>93.707611095682623</v>
      </c>
      <c r="W69" s="12">
        <f t="shared" si="32"/>
        <v>99.520165852648475</v>
      </c>
    </row>
    <row r="70" spans="1:23" s="8" customFormat="1" x14ac:dyDescent="0.2">
      <c r="A70" s="10">
        <f>A69+1</f>
        <v>44</v>
      </c>
      <c r="D70" s="13" t="s">
        <v>74</v>
      </c>
      <c r="E70" s="19"/>
      <c r="H70" s="12">
        <f>($F24="Y")*H25*(-H59-H51-H71)</f>
        <v>0</v>
      </c>
      <c r="I70" s="12">
        <f>($F24="Y")*I25*(-I59-I51-I71)</f>
        <v>2.2317413999999998</v>
      </c>
      <c r="J70" s="12">
        <f>($F24="Y")*J25*(-J59-J51-J71)</f>
        <v>6.7469757599999998</v>
      </c>
      <c r="K70" s="12">
        <f t="shared" ref="K70:W70" si="33">($F24="Y")*K25*(-K59-K51-K71)</f>
        <v>9.4609932269999995</v>
      </c>
      <c r="L70" s="12">
        <f t="shared" si="33"/>
        <v>9.3877309081499991</v>
      </c>
      <c r="M70" s="12">
        <f t="shared" si="33"/>
        <v>8.2413799102424985</v>
      </c>
      <c r="N70" s="12">
        <f t="shared" si="33"/>
        <v>7.013426947230375</v>
      </c>
      <c r="O70" s="12">
        <f t="shared" si="33"/>
        <v>6.0830168318688536</v>
      </c>
      <c r="P70" s="12">
        <f t="shared" si="33"/>
        <v>5.6377863522754099</v>
      </c>
      <c r="Q70" s="12">
        <f t="shared" si="33"/>
        <v>5.5330388229116387</v>
      </c>
      <c r="R70" s="12">
        <f t="shared" si="33"/>
        <v>5.5405887595160603</v>
      </c>
      <c r="S70" s="12">
        <f t="shared" si="33"/>
        <v>5.5648154252902566</v>
      </c>
      <c r="T70" s="12">
        <f t="shared" si="33"/>
        <v>5.5884852175257409</v>
      </c>
      <c r="U70" s="12">
        <f t="shared" si="33"/>
        <v>5.6109715201494534</v>
      </c>
      <c r="V70" s="12">
        <f t="shared" si="33"/>
        <v>5.6323335076419783</v>
      </c>
      <c r="W70" s="12">
        <f t="shared" si="33"/>
        <v>5.652627395759878</v>
      </c>
    </row>
    <row r="71" spans="1:23" s="8" customFormat="1" x14ac:dyDescent="0.2">
      <c r="A71" s="10">
        <f>A70+1</f>
        <v>45</v>
      </c>
      <c r="D71" s="13" t="s">
        <v>75</v>
      </c>
      <c r="E71" s="19"/>
      <c r="H71" s="12">
        <f>($F28="Y")*H29*(-H65-H51)</f>
        <v>0</v>
      </c>
      <c r="I71" s="12">
        <f>($F28="Y")*I29*(-I65-I51)</f>
        <v>0.32266000000000006</v>
      </c>
      <c r="J71" s="12">
        <f t="shared" ref="J71:W71" si="34">($F28="Y")*J29*(-J65-J51)</f>
        <v>0.9865440000000002</v>
      </c>
      <c r="K71" s="12">
        <f t="shared" si="34"/>
        <v>1.4111513000000007</v>
      </c>
      <c r="L71" s="12">
        <f t="shared" si="34"/>
        <v>1.4424194850000007</v>
      </c>
      <c r="M71" s="12">
        <f t="shared" si="34"/>
        <v>1.3128937607500009</v>
      </c>
      <c r="N71" s="12">
        <f t="shared" si="34"/>
        <v>1.1607828227125006</v>
      </c>
      <c r="O71" s="12">
        <f t="shared" si="34"/>
        <v>1.0151171815768756</v>
      </c>
      <c r="P71" s="12">
        <f t="shared" si="34"/>
        <v>0.87673482249803181</v>
      </c>
      <c r="Q71" s="12">
        <f t="shared" si="34"/>
        <v>0.7452715813731301</v>
      </c>
      <c r="R71" s="12">
        <f t="shared" si="34"/>
        <v>0.62038150230447342</v>
      </c>
      <c r="S71" s="12">
        <f t="shared" si="34"/>
        <v>0.50173592718924964</v>
      </c>
      <c r="T71" s="12">
        <f t="shared" si="34"/>
        <v>0.38902263082978727</v>
      </c>
      <c r="U71" s="12">
        <f t="shared" si="34"/>
        <v>0.28194499928829797</v>
      </c>
      <c r="V71" s="12">
        <f t="shared" si="34"/>
        <v>0.18022124932388323</v>
      </c>
      <c r="W71" s="12">
        <f t="shared" si="34"/>
        <v>8.358368685768898E-2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2.5544013999999997</v>
      </c>
      <c r="J72" s="20">
        <f>SUM(J69:J71)</f>
        <v>10.28792116</v>
      </c>
      <c r="K72" s="20">
        <f t="shared" ref="K72:W72" si="35">SUM(K69:K71)</f>
        <v>21.160065686999999</v>
      </c>
      <c r="L72" s="20">
        <f t="shared" si="35"/>
        <v>31.990216080149999</v>
      </c>
      <c r="M72" s="20">
        <f t="shared" si="35"/>
        <v>41.5444897511425</v>
      </c>
      <c r="N72" s="20">
        <f t="shared" si="35"/>
        <v>49.718699521085377</v>
      </c>
      <c r="O72" s="20">
        <f t="shared" si="35"/>
        <v>56.816833534531106</v>
      </c>
      <c r="P72" s="20">
        <f t="shared" si="35"/>
        <v>63.331354709304549</v>
      </c>
      <c r="Q72" s="20">
        <f t="shared" si="35"/>
        <v>69.609665113589315</v>
      </c>
      <c r="R72" s="20">
        <f t="shared" si="35"/>
        <v>75.770635375409839</v>
      </c>
      <c r="S72" s="20">
        <f t="shared" si="35"/>
        <v>81.837186727889346</v>
      </c>
      <c r="T72" s="20">
        <f t="shared" si="35"/>
        <v>87.814694576244875</v>
      </c>
      <c r="U72" s="20">
        <f t="shared" si="35"/>
        <v>93.707611095682623</v>
      </c>
      <c r="V72" s="20">
        <f t="shared" si="35"/>
        <v>99.520165852648475</v>
      </c>
      <c r="W72" s="20">
        <f t="shared" si="35"/>
        <v>105.25637693526605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1.2772006999999999</v>
      </c>
      <c r="J73" s="20">
        <f>(J69+J72)/2</f>
        <v>6.4211612799999997</v>
      </c>
      <c r="K73" s="20">
        <f t="shared" ref="K73:W73" si="36">(K69+K72)/2</f>
        <v>15.7239934235</v>
      </c>
      <c r="L73" s="20">
        <f t="shared" si="36"/>
        <v>26.575140883574999</v>
      </c>
      <c r="M73" s="20">
        <f t="shared" si="36"/>
        <v>36.767352915646249</v>
      </c>
      <c r="N73" s="20">
        <f t="shared" si="36"/>
        <v>45.631594636113938</v>
      </c>
      <c r="O73" s="20">
        <f t="shared" si="36"/>
        <v>53.267766527808242</v>
      </c>
      <c r="P73" s="20">
        <f t="shared" si="36"/>
        <v>60.074094121917824</v>
      </c>
      <c r="Q73" s="20">
        <f t="shared" si="36"/>
        <v>66.470509911446925</v>
      </c>
      <c r="R73" s="20">
        <f t="shared" si="36"/>
        <v>72.690150244499577</v>
      </c>
      <c r="S73" s="20">
        <f t="shared" si="36"/>
        <v>78.803911051649592</v>
      </c>
      <c r="T73" s="20">
        <f t="shared" si="36"/>
        <v>84.825940652067118</v>
      </c>
      <c r="U73" s="20">
        <f t="shared" si="36"/>
        <v>90.761152835963742</v>
      </c>
      <c r="V73" s="20">
        <f t="shared" si="36"/>
        <v>96.613888474165549</v>
      </c>
      <c r="W73" s="20">
        <f t="shared" si="36"/>
        <v>102.38827139395727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146</v>
      </c>
      <c r="J76" s="12">
        <f t="shared" si="37"/>
        <v>461</v>
      </c>
      <c r="K76" s="12">
        <f t="shared" si="37"/>
        <v>698.5</v>
      </c>
      <c r="L76" s="12">
        <f t="shared" si="37"/>
        <v>779.5</v>
      </c>
      <c r="M76" s="12">
        <f t="shared" si="37"/>
        <v>792.5</v>
      </c>
      <c r="N76" s="12">
        <f t="shared" si="37"/>
        <v>793</v>
      </c>
      <c r="O76" s="12">
        <f t="shared" si="37"/>
        <v>793</v>
      </c>
      <c r="P76" s="12">
        <f t="shared" si="37"/>
        <v>793</v>
      </c>
      <c r="Q76" s="12">
        <f t="shared" si="37"/>
        <v>793</v>
      </c>
      <c r="R76" s="12">
        <f t="shared" si="37"/>
        <v>793</v>
      </c>
      <c r="S76" s="12">
        <f t="shared" si="37"/>
        <v>793</v>
      </c>
      <c r="T76" s="12">
        <f t="shared" si="37"/>
        <v>793</v>
      </c>
      <c r="U76" s="12">
        <f t="shared" si="37"/>
        <v>793</v>
      </c>
      <c r="V76" s="12">
        <f t="shared" si="37"/>
        <v>793</v>
      </c>
      <c r="W76" s="12">
        <f t="shared" si="37"/>
        <v>793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-1.8250000000000002</v>
      </c>
      <c r="J77" s="12">
        <f t="shared" si="38"/>
        <v>-9.4125000000000014</v>
      </c>
      <c r="K77" s="12">
        <f t="shared" si="38"/>
        <v>-23.90625</v>
      </c>
      <c r="L77" s="12">
        <f t="shared" si="38"/>
        <v>-42.381250000000001</v>
      </c>
      <c r="M77" s="12">
        <f t="shared" si="38"/>
        <v>-62.03125</v>
      </c>
      <c r="N77" s="12">
        <f t="shared" si="38"/>
        <v>-81.849999999999994</v>
      </c>
      <c r="O77" s="12">
        <f t="shared" si="38"/>
        <v>-101.67500000000001</v>
      </c>
      <c r="P77" s="12">
        <f t="shared" si="38"/>
        <v>-121.50000000000001</v>
      </c>
      <c r="Q77" s="12">
        <f t="shared" si="38"/>
        <v>-141.32500000000002</v>
      </c>
      <c r="R77" s="12">
        <f t="shared" si="38"/>
        <v>-161.15</v>
      </c>
      <c r="S77" s="12">
        <f t="shared" si="38"/>
        <v>-180.97499999999999</v>
      </c>
      <c r="T77" s="12">
        <f t="shared" si="38"/>
        <v>-200.79999999999998</v>
      </c>
      <c r="U77" s="12">
        <f t="shared" si="38"/>
        <v>-220.62499999999997</v>
      </c>
      <c r="V77" s="12">
        <f t="shared" si="38"/>
        <v>-240.44999999999996</v>
      </c>
      <c r="W77" s="12">
        <f t="shared" si="38"/>
        <v>-260.27499999999998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-1.2772006999999999</v>
      </c>
      <c r="J79" s="12">
        <f>-J73</f>
        <v>-6.4211612799999997</v>
      </c>
      <c r="K79" s="12">
        <f t="shared" ref="K79:W79" si="40">-K73</f>
        <v>-15.7239934235</v>
      </c>
      <c r="L79" s="12">
        <f t="shared" si="40"/>
        <v>-26.575140883574999</v>
      </c>
      <c r="M79" s="12">
        <f t="shared" si="40"/>
        <v>-36.767352915646249</v>
      </c>
      <c r="N79" s="12">
        <f t="shared" si="40"/>
        <v>-45.631594636113938</v>
      </c>
      <c r="O79" s="12">
        <f t="shared" si="40"/>
        <v>-53.267766527808242</v>
      </c>
      <c r="P79" s="12">
        <f t="shared" si="40"/>
        <v>-60.074094121917824</v>
      </c>
      <c r="Q79" s="12">
        <f t="shared" si="40"/>
        <v>-66.470509911446925</v>
      </c>
      <c r="R79" s="12">
        <f t="shared" si="40"/>
        <v>-72.690150244499577</v>
      </c>
      <c r="S79" s="12">
        <f t="shared" si="40"/>
        <v>-78.803911051649592</v>
      </c>
      <c r="T79" s="12">
        <f t="shared" si="40"/>
        <v>-84.825940652067118</v>
      </c>
      <c r="U79" s="12">
        <f t="shared" si="40"/>
        <v>-90.761152835963742</v>
      </c>
      <c r="V79" s="12">
        <f t="shared" si="40"/>
        <v>-96.613888474165549</v>
      </c>
      <c r="W79" s="12">
        <f t="shared" si="40"/>
        <v>-102.38827139395727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142.8977993</v>
      </c>
      <c r="J80" s="20">
        <f>SUM(J76:J79)</f>
        <v>445.16633872</v>
      </c>
      <c r="K80" s="20">
        <f t="shared" ref="K80:W80" si="41">SUM(K76:K79)</f>
        <v>658.86975657649998</v>
      </c>
      <c r="L80" s="20">
        <f t="shared" si="41"/>
        <v>710.54360911642493</v>
      </c>
      <c r="M80" s="20">
        <f t="shared" si="41"/>
        <v>693.70139708435374</v>
      </c>
      <c r="N80" s="20">
        <f t="shared" si="41"/>
        <v>665.51840536388602</v>
      </c>
      <c r="O80" s="20">
        <f t="shared" si="41"/>
        <v>638.0572334721918</v>
      </c>
      <c r="P80" s="20">
        <f t="shared" si="41"/>
        <v>611.42590587808218</v>
      </c>
      <c r="Q80" s="20">
        <f t="shared" si="41"/>
        <v>585.20449008855303</v>
      </c>
      <c r="R80" s="20">
        <f t="shared" si="41"/>
        <v>559.15984975550043</v>
      </c>
      <c r="S80" s="20">
        <f t="shared" si="41"/>
        <v>533.22108894835037</v>
      </c>
      <c r="T80" s="20">
        <f t="shared" si="41"/>
        <v>507.37405934793293</v>
      </c>
      <c r="U80" s="20">
        <f t="shared" si="41"/>
        <v>481.61384716403626</v>
      </c>
      <c r="V80" s="20">
        <f t="shared" si="41"/>
        <v>455.93611152583452</v>
      </c>
      <c r="W80" s="20">
        <f t="shared" si="41"/>
        <v>430.33672860604275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3.6500000000000004</v>
      </c>
      <c r="J83" s="12">
        <f t="shared" si="42"/>
        <v>11.525</v>
      </c>
      <c r="K83" s="12">
        <f t="shared" si="42"/>
        <v>17.462500000000002</v>
      </c>
      <c r="L83" s="12">
        <f t="shared" si="42"/>
        <v>19.487500000000001</v>
      </c>
      <c r="M83" s="12">
        <f t="shared" si="42"/>
        <v>19.8125</v>
      </c>
      <c r="N83" s="12">
        <f t="shared" si="42"/>
        <v>19.825000000000003</v>
      </c>
      <c r="O83" s="12">
        <f t="shared" si="42"/>
        <v>19.825000000000003</v>
      </c>
      <c r="P83" s="12">
        <f t="shared" si="42"/>
        <v>19.825000000000003</v>
      </c>
      <c r="Q83" s="12">
        <f t="shared" si="42"/>
        <v>19.825000000000003</v>
      </c>
      <c r="R83" s="12">
        <f t="shared" si="42"/>
        <v>19.825000000000003</v>
      </c>
      <c r="S83" s="12">
        <f t="shared" si="42"/>
        <v>19.825000000000003</v>
      </c>
      <c r="T83" s="12">
        <f t="shared" si="42"/>
        <v>19.825000000000003</v>
      </c>
      <c r="U83" s="12">
        <f t="shared" si="42"/>
        <v>19.825000000000003</v>
      </c>
      <c r="V83" s="12">
        <f t="shared" si="42"/>
        <v>19.825000000000003</v>
      </c>
      <c r="W83" s="12">
        <f t="shared" si="42"/>
        <v>19.825000000000003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4.2869339789999996</v>
      </c>
      <c r="J84" s="12">
        <f t="shared" si="44"/>
        <v>13.3549901616</v>
      </c>
      <c r="K84" s="12">
        <f t="shared" si="44"/>
        <v>19.766092697294997</v>
      </c>
      <c r="L84" s="12">
        <f t="shared" si="44"/>
        <v>21.316308273492748</v>
      </c>
      <c r="M84" s="12">
        <f t="shared" si="44"/>
        <v>20.811041912530612</v>
      </c>
      <c r="N84" s="12">
        <f t="shared" si="44"/>
        <v>19.96555216091658</v>
      </c>
      <c r="O84" s="12">
        <f t="shared" si="44"/>
        <v>19.141717004165752</v>
      </c>
      <c r="P84" s="12">
        <f t="shared" si="44"/>
        <v>18.342777176342466</v>
      </c>
      <c r="Q84" s="12">
        <f t="shared" si="44"/>
        <v>17.556134702656589</v>
      </c>
      <c r="R84" s="12">
        <f t="shared" si="44"/>
        <v>16.774795492665014</v>
      </c>
      <c r="S84" s="12">
        <f t="shared" si="44"/>
        <v>15.996632668450511</v>
      </c>
      <c r="T84" s="12">
        <f t="shared" si="44"/>
        <v>15.221221780437988</v>
      </c>
      <c r="U84" s="12">
        <f t="shared" si="44"/>
        <v>14.448415414921087</v>
      </c>
      <c r="V84" s="12">
        <f t="shared" si="44"/>
        <v>13.678083345775034</v>
      </c>
      <c r="W84" s="12">
        <f t="shared" si="44"/>
        <v>12.910101858181282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7.8593789615</v>
      </c>
      <c r="J85" s="12">
        <f t="shared" si="45"/>
        <v>24.4841486296</v>
      </c>
      <c r="K85" s="12">
        <f t="shared" si="45"/>
        <v>36.2378366117075</v>
      </c>
      <c r="L85" s="12">
        <f t="shared" si="45"/>
        <v>39.07989850140337</v>
      </c>
      <c r="M85" s="12">
        <f t="shared" si="45"/>
        <v>38.153576839639456</v>
      </c>
      <c r="N85" s="12">
        <f t="shared" si="45"/>
        <v>36.603512295013729</v>
      </c>
      <c r="O85" s="12">
        <f t="shared" si="45"/>
        <v>35.093147840970552</v>
      </c>
      <c r="P85" s="12">
        <f t="shared" si="45"/>
        <v>33.628424823294523</v>
      </c>
      <c r="Q85" s="12">
        <f t="shared" si="45"/>
        <v>32.18624695487042</v>
      </c>
      <c r="R85" s="12">
        <f t="shared" si="45"/>
        <v>30.753791736552525</v>
      </c>
      <c r="S85" s="12">
        <f t="shared" si="45"/>
        <v>29.327159892159269</v>
      </c>
      <c r="T85" s="12">
        <f t="shared" si="45"/>
        <v>27.905573264136311</v>
      </c>
      <c r="U85" s="12">
        <f t="shared" si="45"/>
        <v>26.488761594021994</v>
      </c>
      <c r="V85" s="12">
        <f t="shared" si="45"/>
        <v>25.076486133920898</v>
      </c>
      <c r="W85" s="12">
        <f t="shared" si="45"/>
        <v>23.668520073332353</v>
      </c>
    </row>
    <row r="86" spans="1:24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2.0892020024240505</v>
      </c>
      <c r="J86" s="12">
        <f t="shared" ref="J86:W86" si="46">IF($F24="Y",J85*J25/(1-J25),J85*J25/(1-J25)+(J51+J59)*J25)</f>
        <v>6.5084445724253159</v>
      </c>
      <c r="K86" s="12">
        <f t="shared" si="46"/>
        <v>9.6328426436184493</v>
      </c>
      <c r="L86" s="12">
        <f t="shared" si="46"/>
        <v>10.388327449740137</v>
      </c>
      <c r="M86" s="12">
        <f t="shared" si="46"/>
        <v>10.142090045980108</v>
      </c>
      <c r="N86" s="12">
        <f t="shared" si="46"/>
        <v>9.730047572092257</v>
      </c>
      <c r="O86" s="12">
        <f t="shared" si="46"/>
        <v>9.3285582868402734</v>
      </c>
      <c r="P86" s="12">
        <f t="shared" si="46"/>
        <v>8.9392015353061378</v>
      </c>
      <c r="Q86" s="12">
        <f t="shared" si="46"/>
        <v>8.5558377981301117</v>
      </c>
      <c r="R86" s="12">
        <f t="shared" si="46"/>
        <v>8.1750585628810502</v>
      </c>
      <c r="S86" s="12">
        <f t="shared" si="46"/>
        <v>7.7958273131056277</v>
      </c>
      <c r="T86" s="12">
        <f t="shared" si="46"/>
        <v>7.4179371967957275</v>
      </c>
      <c r="U86" s="12">
        <f t="shared" si="46"/>
        <v>7.0413163730944532</v>
      </c>
      <c r="V86" s="12">
        <f t="shared" si="46"/>
        <v>6.6659013773713776</v>
      </c>
      <c r="W86" s="12">
        <f t="shared" si="46"/>
        <v>6.2916319182275871</v>
      </c>
    </row>
    <row r="87" spans="1:24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0.96473733787942761</v>
      </c>
      <c r="J87" s="12">
        <f t="shared" ref="J87:W87" si="47">IF($F28="Y",(J85+J86)*J29/(1-J29),(J85+J86)*J29/(1-J29)+(J51+J65)*J29)</f>
        <v>3.0054247905430431</v>
      </c>
      <c r="K87" s="12">
        <f t="shared" si="47"/>
        <v>4.4481878523155052</v>
      </c>
      <c r="L87" s="12">
        <f t="shared" si="47"/>
        <v>4.7970504322960581</v>
      </c>
      <c r="M87" s="12">
        <f t="shared" si="47"/>
        <v>4.6833446168152371</v>
      </c>
      <c r="N87" s="12">
        <f t="shared" si="47"/>
        <v>4.4930744759238372</v>
      </c>
      <c r="O87" s="12">
        <f t="shared" si="47"/>
        <v>4.3076775139298782</v>
      </c>
      <c r="P87" s="12">
        <f t="shared" si="47"/>
        <v>4.1278830299476734</v>
      </c>
      <c r="Q87" s="12">
        <f t="shared" si="47"/>
        <v>3.9508559589351115</v>
      </c>
      <c r="R87" s="12">
        <f t="shared" si="47"/>
        <v>3.7750223414545068</v>
      </c>
      <c r="S87" s="12">
        <f t="shared" si="47"/>
        <v>3.599903542063863</v>
      </c>
      <c r="T87" s="12">
        <f t="shared" si="47"/>
        <v>3.4254040420649332</v>
      </c>
      <c r="U87" s="12">
        <f t="shared" si="47"/>
        <v>3.2514906672807089</v>
      </c>
      <c r="V87" s="12">
        <f t="shared" si="47"/>
        <v>3.0781341114504581</v>
      </c>
      <c r="W87" s="12">
        <f t="shared" si="47"/>
        <v>2.9053065336264798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5.84</v>
      </c>
      <c r="K88" s="12">
        <f t="shared" ref="K88:W88" si="48">(K80&gt;0)*(J88*(1+K32)+J44*K31)</f>
        <v>12.716799999999999</v>
      </c>
      <c r="L88" s="12">
        <f t="shared" si="48"/>
        <v>15.711136</v>
      </c>
      <c r="M88" s="12">
        <f t="shared" si="48"/>
        <v>16.52535872</v>
      </c>
      <c r="N88" s="12">
        <f t="shared" si="48"/>
        <v>16.8758658944</v>
      </c>
      <c r="O88" s="12">
        <f t="shared" si="48"/>
        <v>17.213383212288001</v>
      </c>
      <c r="P88" s="12">
        <f t="shared" si="48"/>
        <v>17.55765087653376</v>
      </c>
      <c r="Q88" s="12">
        <f t="shared" si="48"/>
        <v>17.908803894064434</v>
      </c>
      <c r="R88" s="12">
        <f t="shared" si="48"/>
        <v>18.266979971945723</v>
      </c>
      <c r="S88" s="12">
        <f t="shared" si="48"/>
        <v>18.632319571384638</v>
      </c>
      <c r="T88" s="12">
        <f t="shared" si="48"/>
        <v>19.004965962812332</v>
      </c>
      <c r="U88" s="12">
        <f t="shared" si="48"/>
        <v>19.385065282068577</v>
      </c>
      <c r="V88" s="12">
        <f t="shared" si="48"/>
        <v>19.772766587709949</v>
      </c>
      <c r="W88" s="12">
        <f t="shared" si="48"/>
        <v>20.168221919464148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18.850252280803478</v>
      </c>
      <c r="J89" s="20">
        <f t="shared" ref="J89:W89" si="49">SUM(J83:J88)</f>
        <v>64.718008154168359</v>
      </c>
      <c r="K89" s="20">
        <f t="shared" si="49"/>
        <v>100.26425980493644</v>
      </c>
      <c r="L89" s="20">
        <f t="shared" si="49"/>
        <v>110.78022065693231</v>
      </c>
      <c r="M89" s="20">
        <f t="shared" si="49"/>
        <v>110.12791213496541</v>
      </c>
      <c r="N89" s="20">
        <f t="shared" si="49"/>
        <v>107.49305239834641</v>
      </c>
      <c r="O89" s="20">
        <f t="shared" si="49"/>
        <v>104.90948385819445</v>
      </c>
      <c r="P89" s="20">
        <f t="shared" si="49"/>
        <v>102.42093744142456</v>
      </c>
      <c r="Q89" s="20">
        <f t="shared" si="49"/>
        <v>99.982879308656678</v>
      </c>
      <c r="R89" s="20">
        <f t="shared" si="49"/>
        <v>97.570648105498805</v>
      </c>
      <c r="S89" s="20">
        <f t="shared" si="49"/>
        <v>95.176842987163909</v>
      </c>
      <c r="T89" s="20">
        <f t="shared" si="49"/>
        <v>92.800102246247306</v>
      </c>
      <c r="U89" s="20">
        <f t="shared" si="49"/>
        <v>90.440049331386831</v>
      </c>
      <c r="V89" s="20">
        <f t="shared" si="49"/>
        <v>88.096371556227723</v>
      </c>
      <c r="W89" s="20">
        <f t="shared" si="49"/>
        <v>85.768782302831852</v>
      </c>
      <c r="X89" s="50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2" spans="1:24" x14ac:dyDescent="0.2"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</row>
    <row r="93" spans="1:24" x14ac:dyDescent="0.2"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</row>
    <row r="94" spans="1:24" x14ac:dyDescent="0.2"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95"/>
  <sheetViews>
    <sheetView topLeftCell="A52" zoomScale="130" zoomScaleNormal="130" workbookViewId="0">
      <selection activeCell="M11" sqref="M11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67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f>Existing!H3</f>
        <v>2020</v>
      </c>
      <c r="I3" s="5">
        <f>Existing!I3</f>
        <v>2021</v>
      </c>
      <c r="J3" s="5">
        <f>Existing!J3</f>
        <v>2022</v>
      </c>
      <c r="K3" s="5">
        <f>Existing!K3</f>
        <v>2023</v>
      </c>
      <c r="L3" s="5">
        <f>Existing!L3</f>
        <v>2024</v>
      </c>
      <c r="M3" s="5">
        <f>Existing!M3</f>
        <v>2025</v>
      </c>
      <c r="N3" s="5">
        <f>Existing!N3</f>
        <v>2026</v>
      </c>
      <c r="O3" s="5">
        <f>Existing!O3</f>
        <v>2027</v>
      </c>
      <c r="P3" s="5">
        <f>Existing!P3</f>
        <v>2028</v>
      </c>
      <c r="Q3" s="5">
        <f>Existing!Q3</f>
        <v>2029</v>
      </c>
      <c r="R3" s="5">
        <f>Existing!R3</f>
        <v>2030</v>
      </c>
      <c r="S3" s="5">
        <f>Existing!S3</f>
        <v>2031</v>
      </c>
      <c r="T3" s="5">
        <f>Existing!T3</f>
        <v>2032</v>
      </c>
      <c r="U3" s="5">
        <f>Existing!U3</f>
        <v>2033</v>
      </c>
      <c r="V3" s="5">
        <f>Existing!V3</f>
        <v>2034</v>
      </c>
      <c r="W3" s="5">
        <f>Existing!W3</f>
        <v>2035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2022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H8" s="48">
        <v>0</v>
      </c>
      <c r="I8" s="48">
        <v>0</v>
      </c>
      <c r="J8" s="48">
        <v>93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51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36">
        <f>$F13</f>
        <v>2.5000000000000001E-2</v>
      </c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15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15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15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15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15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42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40">
        <f t="shared" ref="H25:W25" si="6">$F25</f>
        <v>0.21</v>
      </c>
      <c r="I25" s="40">
        <f t="shared" si="6"/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40">
        <f t="shared" ref="H29:W29" si="7">$F29</f>
        <v>8.8400000000000006E-2</v>
      </c>
      <c r="I29" s="40">
        <f t="shared" si="7"/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15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15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H35" s="12">
        <v>0</v>
      </c>
      <c r="I35" s="12">
        <f>H39</f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H36" s="12">
        <f>H8</f>
        <v>0</v>
      </c>
      <c r="I36" s="12">
        <f t="shared" ref="I36:W36" si="10">I8</f>
        <v>0</v>
      </c>
      <c r="J36" s="12">
        <f t="shared" si="10"/>
        <v>93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H37" s="12">
        <f>($F11="N")*((H3&lt;$F7)*(H16*($F10="IDC")+H21*($F10="AFUDC"))*(H35+0.5*H36)+(H3&gt;=$F7)*0.5*H35*(H16*($F10="IDC")+H21*($F10="AFUDC"))/(1+0.5*(H16*($F10="IDC")+H21*($F10="AFUDC"))))</f>
        <v>0</v>
      </c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H38" s="12">
        <f>IF(H3&gt;=$F7,-SUM(H35:H37),0)</f>
        <v>0</v>
      </c>
      <c r="I38" s="12">
        <f t="shared" ref="I38:W38" si="12">IF(I3&gt;=$F7,-SUM(I35:I37),0)</f>
        <v>0</v>
      </c>
      <c r="J38" s="12">
        <f t="shared" si="12"/>
        <v>-93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H39" s="20">
        <f>SUM(H35:H38)</f>
        <v>0</v>
      </c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H40" s="20">
        <f>(H35+H39)/2</f>
        <v>0</v>
      </c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H41" s="12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H43" s="12">
        <v>0</v>
      </c>
      <c r="I43" s="12">
        <f>H46</f>
        <v>0</v>
      </c>
      <c r="J43" s="12">
        <f>I46</f>
        <v>0</v>
      </c>
      <c r="K43" s="12">
        <f t="shared" ref="K43:W43" si="15">J46</f>
        <v>93</v>
      </c>
      <c r="L43" s="12">
        <f t="shared" si="15"/>
        <v>93</v>
      </c>
      <c r="M43" s="12">
        <f t="shared" si="15"/>
        <v>93</v>
      </c>
      <c r="N43" s="12">
        <f t="shared" si="15"/>
        <v>93</v>
      </c>
      <c r="O43" s="12">
        <f t="shared" si="15"/>
        <v>93</v>
      </c>
      <c r="P43" s="12">
        <f t="shared" si="15"/>
        <v>93</v>
      </c>
      <c r="Q43" s="12">
        <f t="shared" si="15"/>
        <v>93</v>
      </c>
      <c r="R43" s="12">
        <f t="shared" si="15"/>
        <v>93</v>
      </c>
      <c r="S43" s="12">
        <f t="shared" si="15"/>
        <v>93</v>
      </c>
      <c r="T43" s="12">
        <f t="shared" si="15"/>
        <v>93</v>
      </c>
      <c r="U43" s="12">
        <f t="shared" si="15"/>
        <v>93</v>
      </c>
      <c r="V43" s="12">
        <f t="shared" si="15"/>
        <v>93</v>
      </c>
      <c r="W43" s="12">
        <f t="shared" si="15"/>
        <v>93</v>
      </c>
    </row>
    <row r="44" spans="1:23" s="8" customFormat="1" x14ac:dyDescent="0.2">
      <c r="A44" s="10">
        <f>A43+1</f>
        <v>26</v>
      </c>
      <c r="D44" s="13" t="s">
        <v>11</v>
      </c>
      <c r="E44" s="19"/>
      <c r="H44" s="12">
        <f>-H38</f>
        <v>0</v>
      </c>
      <c r="I44" s="12">
        <f>-I38</f>
        <v>0</v>
      </c>
      <c r="J44" s="12">
        <f t="shared" ref="J44:W44" si="16">-J38</f>
        <v>93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H45" s="12">
        <f>IF((H43+H44)&gt;(H50+H51),0,-(H43+H44))</f>
        <v>0</v>
      </c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H46" s="20">
        <f>SUM(H43:H45)</f>
        <v>0</v>
      </c>
      <c r="I46" s="20">
        <f>SUM(I43:I45)</f>
        <v>0</v>
      </c>
      <c r="J46" s="20">
        <f>SUM(J43:J45)</f>
        <v>93</v>
      </c>
      <c r="K46" s="20">
        <f t="shared" ref="K46:W46" si="18">SUM(K43:K45)</f>
        <v>93</v>
      </c>
      <c r="L46" s="20">
        <f t="shared" si="18"/>
        <v>93</v>
      </c>
      <c r="M46" s="20">
        <f t="shared" si="18"/>
        <v>93</v>
      </c>
      <c r="N46" s="20">
        <f t="shared" si="18"/>
        <v>93</v>
      </c>
      <c r="O46" s="20">
        <f t="shared" si="18"/>
        <v>93</v>
      </c>
      <c r="P46" s="20">
        <f t="shared" si="18"/>
        <v>93</v>
      </c>
      <c r="Q46" s="20">
        <f t="shared" si="18"/>
        <v>93</v>
      </c>
      <c r="R46" s="20">
        <f t="shared" si="18"/>
        <v>93</v>
      </c>
      <c r="S46" s="20">
        <f t="shared" si="18"/>
        <v>93</v>
      </c>
      <c r="T46" s="20">
        <f t="shared" si="18"/>
        <v>93</v>
      </c>
      <c r="U46" s="20">
        <f t="shared" si="18"/>
        <v>93</v>
      </c>
      <c r="V46" s="20">
        <f t="shared" si="18"/>
        <v>93</v>
      </c>
      <c r="W46" s="20">
        <f t="shared" si="18"/>
        <v>93</v>
      </c>
    </row>
    <row r="47" spans="1:23" s="8" customFormat="1" x14ac:dyDescent="0.2">
      <c r="A47" s="10">
        <f>A46+1</f>
        <v>29</v>
      </c>
      <c r="D47" s="13" t="s">
        <v>16</v>
      </c>
      <c r="E47" s="19"/>
      <c r="H47" s="20">
        <f>(H43+H46)/2</f>
        <v>0</v>
      </c>
      <c r="I47" s="20">
        <f>(I43+I46)/2</f>
        <v>0</v>
      </c>
      <c r="J47" s="20">
        <f>(J43+J46)/2</f>
        <v>46.5</v>
      </c>
      <c r="K47" s="20">
        <f t="shared" ref="K47:W47" si="19">(K43+K46)/2</f>
        <v>93</v>
      </c>
      <c r="L47" s="20">
        <f t="shared" si="19"/>
        <v>93</v>
      </c>
      <c r="M47" s="20">
        <f t="shared" si="19"/>
        <v>93</v>
      </c>
      <c r="N47" s="20">
        <f t="shared" si="19"/>
        <v>93</v>
      </c>
      <c r="O47" s="20">
        <f t="shared" si="19"/>
        <v>93</v>
      </c>
      <c r="P47" s="20">
        <f t="shared" si="19"/>
        <v>93</v>
      </c>
      <c r="Q47" s="20">
        <f t="shared" si="19"/>
        <v>93</v>
      </c>
      <c r="R47" s="20">
        <f t="shared" si="19"/>
        <v>93</v>
      </c>
      <c r="S47" s="20">
        <f t="shared" si="19"/>
        <v>93</v>
      </c>
      <c r="T47" s="20">
        <f t="shared" si="19"/>
        <v>93</v>
      </c>
      <c r="U47" s="20">
        <f t="shared" si="19"/>
        <v>93</v>
      </c>
      <c r="V47" s="20">
        <f t="shared" si="19"/>
        <v>93</v>
      </c>
      <c r="W47" s="20">
        <f t="shared" si="19"/>
        <v>93</v>
      </c>
    </row>
    <row r="48" spans="1:23" s="8" customFormat="1" x14ac:dyDescent="0.2">
      <c r="A48" s="10"/>
      <c r="D48" s="13"/>
      <c r="E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H50" s="12">
        <v>0</v>
      </c>
      <c r="I50" s="12">
        <f>H53</f>
        <v>0</v>
      </c>
      <c r="J50" s="12">
        <f>I53</f>
        <v>0</v>
      </c>
      <c r="K50" s="12">
        <f t="shared" ref="K50:W50" si="20">J53</f>
        <v>1.1625000000000001</v>
      </c>
      <c r="L50" s="12">
        <f t="shared" si="20"/>
        <v>3.4875000000000003</v>
      </c>
      <c r="M50" s="12">
        <f t="shared" si="20"/>
        <v>5.8125</v>
      </c>
      <c r="N50" s="12">
        <f t="shared" si="20"/>
        <v>8.1374999999999993</v>
      </c>
      <c r="O50" s="12">
        <f t="shared" si="20"/>
        <v>10.462499999999999</v>
      </c>
      <c r="P50" s="12">
        <f t="shared" si="20"/>
        <v>12.787499999999998</v>
      </c>
      <c r="Q50" s="12">
        <f t="shared" si="20"/>
        <v>15.112499999999997</v>
      </c>
      <c r="R50" s="12">
        <f t="shared" si="20"/>
        <v>17.437499999999996</v>
      </c>
      <c r="S50" s="12">
        <f t="shared" si="20"/>
        <v>19.762499999999996</v>
      </c>
      <c r="T50" s="12">
        <f t="shared" si="20"/>
        <v>22.087499999999995</v>
      </c>
      <c r="U50" s="12">
        <f t="shared" si="20"/>
        <v>24.412499999999994</v>
      </c>
      <c r="V50" s="12">
        <f t="shared" si="20"/>
        <v>26.737499999999994</v>
      </c>
      <c r="W50" s="12">
        <f t="shared" si="20"/>
        <v>29.062499999999993</v>
      </c>
    </row>
    <row r="51" spans="1:23" s="8" customFormat="1" x14ac:dyDescent="0.2">
      <c r="A51" s="10">
        <f>A50+1</f>
        <v>31</v>
      </c>
      <c r="D51" s="13" t="s">
        <v>69</v>
      </c>
      <c r="E51" s="19"/>
      <c r="H51" s="12">
        <f>MAX(H13*(H43+0.5*H44),0)</f>
        <v>0</v>
      </c>
      <c r="I51" s="12">
        <f>MAX(I13*(I43+0.5*I44),0)</f>
        <v>0</v>
      </c>
      <c r="J51" s="12">
        <f t="shared" ref="J51:W51" si="21">MIN(J13*(J43+0.5*J44),J43+J44-I53)</f>
        <v>1.1625000000000001</v>
      </c>
      <c r="K51" s="12">
        <f t="shared" si="21"/>
        <v>2.3250000000000002</v>
      </c>
      <c r="L51" s="12">
        <f t="shared" si="21"/>
        <v>2.3250000000000002</v>
      </c>
      <c r="M51" s="12">
        <f t="shared" si="21"/>
        <v>2.3250000000000002</v>
      </c>
      <c r="N51" s="12">
        <f t="shared" si="21"/>
        <v>2.3250000000000002</v>
      </c>
      <c r="O51" s="12">
        <f t="shared" si="21"/>
        <v>2.3250000000000002</v>
      </c>
      <c r="P51" s="12">
        <f t="shared" si="21"/>
        <v>2.3250000000000002</v>
      </c>
      <c r="Q51" s="12">
        <f t="shared" si="21"/>
        <v>2.3250000000000002</v>
      </c>
      <c r="R51" s="12">
        <f t="shared" si="21"/>
        <v>2.3250000000000002</v>
      </c>
      <c r="S51" s="12">
        <f t="shared" si="21"/>
        <v>2.3250000000000002</v>
      </c>
      <c r="T51" s="12">
        <f t="shared" si="21"/>
        <v>2.3250000000000002</v>
      </c>
      <c r="U51" s="12">
        <f t="shared" si="21"/>
        <v>2.3250000000000002</v>
      </c>
      <c r="V51" s="12">
        <f t="shared" si="21"/>
        <v>2.3250000000000002</v>
      </c>
      <c r="W51" s="12">
        <f t="shared" si="21"/>
        <v>2.3250000000000002</v>
      </c>
    </row>
    <row r="52" spans="1:23" s="8" customFormat="1" x14ac:dyDescent="0.2">
      <c r="A52" s="10">
        <f>A51+1</f>
        <v>32</v>
      </c>
      <c r="D52" s="13" t="s">
        <v>14</v>
      </c>
      <c r="E52" s="19"/>
      <c r="H52" s="12">
        <f>H45</f>
        <v>0</v>
      </c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H53" s="20">
        <f>SUM(H50:H52)</f>
        <v>0</v>
      </c>
      <c r="I53" s="20">
        <f>SUM(I50:I52)</f>
        <v>0</v>
      </c>
      <c r="J53" s="20">
        <f>SUM(J50:J52)</f>
        <v>1.1625000000000001</v>
      </c>
      <c r="K53" s="20">
        <f t="shared" ref="K53:W53" si="23">SUM(K50:K52)</f>
        <v>3.4875000000000003</v>
      </c>
      <c r="L53" s="20">
        <f t="shared" si="23"/>
        <v>5.8125</v>
      </c>
      <c r="M53" s="20">
        <f t="shared" si="23"/>
        <v>8.1374999999999993</v>
      </c>
      <c r="N53" s="20">
        <f t="shared" si="23"/>
        <v>10.462499999999999</v>
      </c>
      <c r="O53" s="20">
        <f t="shared" si="23"/>
        <v>12.787499999999998</v>
      </c>
      <c r="P53" s="20">
        <f t="shared" si="23"/>
        <v>15.112499999999997</v>
      </c>
      <c r="Q53" s="20">
        <f t="shared" si="23"/>
        <v>17.437499999999996</v>
      </c>
      <c r="R53" s="20">
        <f t="shared" si="23"/>
        <v>19.762499999999996</v>
      </c>
      <c r="S53" s="20">
        <f t="shared" si="23"/>
        <v>22.087499999999995</v>
      </c>
      <c r="T53" s="20">
        <f t="shared" si="23"/>
        <v>24.412499999999994</v>
      </c>
      <c r="U53" s="20">
        <f t="shared" si="23"/>
        <v>26.737499999999994</v>
      </c>
      <c r="V53" s="20">
        <f t="shared" si="23"/>
        <v>29.062499999999993</v>
      </c>
      <c r="W53" s="20">
        <f t="shared" si="23"/>
        <v>31.387499999999992</v>
      </c>
    </row>
    <row r="54" spans="1:23" s="8" customFormat="1" x14ac:dyDescent="0.2">
      <c r="A54" s="10">
        <f>A53+1</f>
        <v>34</v>
      </c>
      <c r="D54" s="13" t="s">
        <v>16</v>
      </c>
      <c r="E54" s="19"/>
      <c r="H54" s="20">
        <f>(H50+H53)/2</f>
        <v>0</v>
      </c>
      <c r="I54" s="20">
        <f>(I50+I53)/2</f>
        <v>0</v>
      </c>
      <c r="J54" s="20">
        <f>(J50+J53)/2</f>
        <v>0.58125000000000004</v>
      </c>
      <c r="K54" s="20">
        <f t="shared" ref="K54:W54" si="24">(K50+K53)/2</f>
        <v>2.3250000000000002</v>
      </c>
      <c r="L54" s="20">
        <f t="shared" si="24"/>
        <v>4.6500000000000004</v>
      </c>
      <c r="M54" s="20">
        <f t="shared" si="24"/>
        <v>6.9749999999999996</v>
      </c>
      <c r="N54" s="20">
        <f t="shared" si="24"/>
        <v>9.2999999999999989</v>
      </c>
      <c r="O54" s="20">
        <f t="shared" si="24"/>
        <v>11.624999999999998</v>
      </c>
      <c r="P54" s="20">
        <f t="shared" si="24"/>
        <v>13.949999999999998</v>
      </c>
      <c r="Q54" s="20">
        <f t="shared" si="24"/>
        <v>16.274999999999999</v>
      </c>
      <c r="R54" s="20">
        <f t="shared" si="24"/>
        <v>18.599999999999994</v>
      </c>
      <c r="S54" s="20">
        <f t="shared" si="24"/>
        <v>20.924999999999997</v>
      </c>
      <c r="T54" s="20">
        <f t="shared" si="24"/>
        <v>23.249999999999993</v>
      </c>
      <c r="U54" s="20">
        <f t="shared" si="24"/>
        <v>25.574999999999996</v>
      </c>
      <c r="V54" s="20">
        <f t="shared" si="24"/>
        <v>27.899999999999991</v>
      </c>
      <c r="W54" s="20">
        <f t="shared" si="24"/>
        <v>30.224999999999994</v>
      </c>
    </row>
    <row r="55" spans="1:23" s="8" customFormat="1" x14ac:dyDescent="0.2">
      <c r="A55" s="10"/>
      <c r="D55" s="13"/>
      <c r="E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H57" s="12">
        <v>0</v>
      </c>
      <c r="I57" s="12">
        <f>H60</f>
        <v>0</v>
      </c>
      <c r="J57" s="12">
        <f>I60</f>
        <v>0</v>
      </c>
      <c r="K57" s="12">
        <f t="shared" ref="K57:W57" si="25">J60</f>
        <v>88.35</v>
      </c>
      <c r="L57" s="12">
        <f t="shared" si="25"/>
        <v>79.514999999999986</v>
      </c>
      <c r="M57" s="12">
        <f t="shared" si="25"/>
        <v>71.563499999999991</v>
      </c>
      <c r="N57" s="12">
        <f t="shared" si="25"/>
        <v>64.407149999999987</v>
      </c>
      <c r="O57" s="12">
        <f t="shared" si="25"/>
        <v>57.96643499999999</v>
      </c>
      <c r="P57" s="12">
        <f t="shared" si="25"/>
        <v>52.169791499999988</v>
      </c>
      <c r="Q57" s="12">
        <f t="shared" si="25"/>
        <v>46.678234499999988</v>
      </c>
      <c r="R57" s="12">
        <f t="shared" si="25"/>
        <v>41.186677499999988</v>
      </c>
      <c r="S57" s="12">
        <f t="shared" si="25"/>
        <v>35.695120499999987</v>
      </c>
      <c r="T57" s="12">
        <f t="shared" si="25"/>
        <v>30.203563499999987</v>
      </c>
      <c r="U57" s="12">
        <f t="shared" si="25"/>
        <v>24.712006499999987</v>
      </c>
      <c r="V57" s="12">
        <f t="shared" si="25"/>
        <v>19.220449499999987</v>
      </c>
      <c r="W57" s="12">
        <f t="shared" si="25"/>
        <v>13.72889249999999</v>
      </c>
    </row>
    <row r="58" spans="1:23" s="8" customFormat="1" x14ac:dyDescent="0.2">
      <c r="A58" s="10">
        <f>A57+1</f>
        <v>36</v>
      </c>
      <c r="D58" s="13" t="s">
        <v>11</v>
      </c>
      <c r="E58" s="19"/>
      <c r="H58" s="12">
        <f>-H38</f>
        <v>0</v>
      </c>
      <c r="I58" s="12">
        <f>-I38</f>
        <v>0</v>
      </c>
      <c r="J58" s="12">
        <f t="shared" ref="J58:W58" si="26">-J38</f>
        <v>93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H59" s="12">
        <f>-I23*H58</f>
        <v>0</v>
      </c>
      <c r="I59" s="12">
        <f>-I23*I58-H58*J23</f>
        <v>0</v>
      </c>
      <c r="J59" s="12">
        <f>-I23*J58-J23*I58-H58*K23</f>
        <v>-4.6500000000000004</v>
      </c>
      <c r="K59" s="12">
        <f>-I23*K58-J23*J58-K23*I58-H58*L23</f>
        <v>-8.8350000000000009</v>
      </c>
      <c r="L59" s="12">
        <f>-I23*L58-J23*K58-K23*J58-L23*I58-H58*M23</f>
        <v>-7.9515000000000002</v>
      </c>
      <c r="M59" s="12">
        <f>-I23*M58-J23*L58-K23*K58-L23*J58-M23*I58-H58*N23</f>
        <v>-7.1563500000000007</v>
      </c>
      <c r="N59" s="12">
        <f>-I23*N58-J23*M58-K23*L58-L23*K58-M23*J58-N23*I58-H58*O23</f>
        <v>-6.440715</v>
      </c>
      <c r="O59" s="12">
        <f>-I23*O58-J23*N58-K23*M58-L23*L58-M23*K58-N23*J58-O23*I58-H58*P23</f>
        <v>-5.7966435000000001</v>
      </c>
      <c r="P59" s="12">
        <f>-I23*P58-J23*O58-K23*N58-L23*M58-M23*L58-N23*K58-O23*J58-P23*I58-H58*Q23</f>
        <v>-5.4915569999999994</v>
      </c>
      <c r="Q59" s="12">
        <f>-I23*Q58-J23*P58-K23*O58-L23*N58-M23*M58-N23*L58-O23*K58-P23*J58-Q23*I58-H58*R23</f>
        <v>-5.4915569999999985</v>
      </c>
      <c r="R59" s="12">
        <f>-I23*R58-J23*Q58-K23*P58-L23*O58-M23*N58-N23*M58-O23*L58-P23*K58-Q23*J58-R23*I58-H58*S23</f>
        <v>-5.4915569999999994</v>
      </c>
      <c r="S59" s="12">
        <f>-I23*S58-J23*R58-K23*Q58-L23*P58-M23*O58-N23*N58-O23*M58-P23*L58-Q23*K58-R23*J58-S23*I58-H58*T23</f>
        <v>-5.4915569999999994</v>
      </c>
      <c r="T59" s="12">
        <f>-I23*T58-J23*S58-K23*R58-L23*Q58-M23*P58-N23*O58-O23*N58-P23*M58-Q23*L58-R23*K58-S23*J58-T23*I58-H58*U23</f>
        <v>-5.4915569999999994</v>
      </c>
      <c r="U59" s="12">
        <f>-I23*U58-J23*T58-K23*S58-L23*R58-M23*Q58-N23*P58-O23*O58-P23*N58-Q23*M58-R23*L58-S23*K58-T23*J58-U23*I58-H58*V23</f>
        <v>-5.4915569999999985</v>
      </c>
      <c r="V59" s="12">
        <f>-I23*V58-J23*U58-K23*T58-L23*S58-M23*R58-N23*Q58-O23*P58-P23*O58-Q23*N58-R23*M58-S23*L58-T23*K58-U23*J58-V23*I58-H58*W23</f>
        <v>-5.4915569999999976</v>
      </c>
      <c r="W59" s="12">
        <f>-I23*W58-J23*V58-K23*U58-L23*T58-M23*S58-N23*R58-O23*Q58-P23*P58-Q23*O58-R23*N58-S23*M58-T23*L58-U23*K58-V23*J58-W23*I58-H58*X23</f>
        <v>-5.4915569999999949</v>
      </c>
    </row>
    <row r="60" spans="1:23" s="8" customFormat="1" x14ac:dyDescent="0.2">
      <c r="A60" s="10">
        <f>A59+1</f>
        <v>38</v>
      </c>
      <c r="D60" s="13" t="s">
        <v>12</v>
      </c>
      <c r="E60" s="19"/>
      <c r="H60" s="20">
        <f>SUM(H57:H59)</f>
        <v>0</v>
      </c>
      <c r="I60" s="20">
        <f t="shared" ref="I60:W60" si="27">SUM(I57:I59)</f>
        <v>0</v>
      </c>
      <c r="J60" s="20">
        <f t="shared" si="27"/>
        <v>88.35</v>
      </c>
      <c r="K60" s="20">
        <f t="shared" si="27"/>
        <v>79.514999999999986</v>
      </c>
      <c r="L60" s="20">
        <f t="shared" si="27"/>
        <v>71.563499999999991</v>
      </c>
      <c r="M60" s="20">
        <f t="shared" si="27"/>
        <v>64.407149999999987</v>
      </c>
      <c r="N60" s="20">
        <f t="shared" si="27"/>
        <v>57.96643499999999</v>
      </c>
      <c r="O60" s="20">
        <f t="shared" si="27"/>
        <v>52.169791499999988</v>
      </c>
      <c r="P60" s="20">
        <f t="shared" si="27"/>
        <v>46.678234499999988</v>
      </c>
      <c r="Q60" s="20">
        <f t="shared" si="27"/>
        <v>41.186677499999988</v>
      </c>
      <c r="R60" s="20">
        <f t="shared" si="27"/>
        <v>35.695120499999987</v>
      </c>
      <c r="S60" s="20">
        <f t="shared" si="27"/>
        <v>30.203563499999987</v>
      </c>
      <c r="T60" s="20">
        <f t="shared" si="27"/>
        <v>24.712006499999987</v>
      </c>
      <c r="U60" s="20">
        <f t="shared" si="27"/>
        <v>19.220449499999987</v>
      </c>
      <c r="V60" s="20">
        <f t="shared" si="27"/>
        <v>13.72889249999999</v>
      </c>
      <c r="W60" s="20">
        <f t="shared" si="27"/>
        <v>8.237335499999995</v>
      </c>
    </row>
    <row r="61" spans="1:23" s="8" customFormat="1" x14ac:dyDescent="0.2">
      <c r="A61" s="10"/>
      <c r="D61" s="13"/>
      <c r="E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H63" s="12">
        <v>0</v>
      </c>
      <c r="I63" s="12">
        <f t="shared" ref="I63:W63" si="28">H66</f>
        <v>0</v>
      </c>
      <c r="J63" s="12">
        <f t="shared" si="28"/>
        <v>0</v>
      </c>
      <c r="K63" s="12">
        <f t="shared" si="28"/>
        <v>90.674999999999997</v>
      </c>
      <c r="L63" s="12">
        <f t="shared" si="28"/>
        <v>86.141249999999999</v>
      </c>
      <c r="M63" s="12">
        <f t="shared" si="28"/>
        <v>81.834187499999999</v>
      </c>
      <c r="N63" s="12">
        <f t="shared" si="28"/>
        <v>77.742478125000005</v>
      </c>
      <c r="O63" s="12">
        <f t="shared" si="28"/>
        <v>73.855354218750008</v>
      </c>
      <c r="P63" s="12">
        <f t="shared" si="28"/>
        <v>70.162586507812506</v>
      </c>
      <c r="Q63" s="12">
        <f t="shared" si="28"/>
        <v>66.654457182421879</v>
      </c>
      <c r="R63" s="12">
        <f t="shared" si="28"/>
        <v>63.321734323300788</v>
      </c>
      <c r="S63" s="12">
        <f t="shared" si="28"/>
        <v>60.155647607135748</v>
      </c>
      <c r="T63" s="12">
        <f t="shared" si="28"/>
        <v>57.147865226778961</v>
      </c>
      <c r="U63" s="12">
        <f t="shared" si="28"/>
        <v>54.290471965440013</v>
      </c>
      <c r="V63" s="12">
        <f t="shared" si="28"/>
        <v>51.57594836716801</v>
      </c>
      <c r="W63" s="12">
        <f t="shared" si="28"/>
        <v>48.997150948809612</v>
      </c>
    </row>
    <row r="64" spans="1:23" s="8" customFormat="1" x14ac:dyDescent="0.2">
      <c r="A64" s="10">
        <f>A63+1</f>
        <v>40</v>
      </c>
      <c r="D64" s="13" t="s">
        <v>11</v>
      </c>
      <c r="E64" s="19"/>
      <c r="H64" s="12">
        <f>-H38</f>
        <v>0</v>
      </c>
      <c r="I64" s="12">
        <f>-I38</f>
        <v>0</v>
      </c>
      <c r="J64" s="12">
        <f t="shared" ref="J64:W64" si="29">-J38</f>
        <v>93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H65" s="12">
        <f>-H13*$F27*(H63+0.5*H64)</f>
        <v>0</v>
      </c>
      <c r="I65" s="12">
        <f t="shared" ref="I65:W65" si="30">-I13*$F27*(I63+0.5*I64)</f>
        <v>0</v>
      </c>
      <c r="J65" s="12">
        <f t="shared" si="30"/>
        <v>-2.3250000000000002</v>
      </c>
      <c r="K65" s="12">
        <f t="shared" si="30"/>
        <v>-4.5337500000000004</v>
      </c>
      <c r="L65" s="12">
        <f t="shared" si="30"/>
        <v>-4.3070624999999998</v>
      </c>
      <c r="M65" s="12">
        <f t="shared" si="30"/>
        <v>-4.0917093749999998</v>
      </c>
      <c r="N65" s="12">
        <f t="shared" si="30"/>
        <v>-3.8871239062500003</v>
      </c>
      <c r="O65" s="12">
        <f t="shared" si="30"/>
        <v>-3.6927677109375008</v>
      </c>
      <c r="P65" s="12">
        <f t="shared" si="30"/>
        <v>-3.5081293253906254</v>
      </c>
      <c r="Q65" s="12">
        <f t="shared" si="30"/>
        <v>-3.3327228591210942</v>
      </c>
      <c r="R65" s="12">
        <f t="shared" si="30"/>
        <v>-3.1660867161650397</v>
      </c>
      <c r="S65" s="12">
        <f t="shared" si="30"/>
        <v>-3.0077823803567876</v>
      </c>
      <c r="T65" s="12">
        <f t="shared" si="30"/>
        <v>-2.8573932613389483</v>
      </c>
      <c r="U65" s="12">
        <f t="shared" si="30"/>
        <v>-2.7145235982720006</v>
      </c>
      <c r="V65" s="12">
        <f t="shared" si="30"/>
        <v>-2.5787974183584006</v>
      </c>
      <c r="W65" s="12">
        <f t="shared" si="30"/>
        <v>-2.4498575474404807</v>
      </c>
    </row>
    <row r="66" spans="1:23" s="8" customFormat="1" x14ac:dyDescent="0.2">
      <c r="A66" s="10">
        <f>A65+1</f>
        <v>42</v>
      </c>
      <c r="D66" s="13" t="s">
        <v>12</v>
      </c>
      <c r="E66" s="19"/>
      <c r="H66" s="20">
        <f>SUM(H63:H65)</f>
        <v>0</v>
      </c>
      <c r="I66" s="20">
        <f t="shared" ref="I66:W66" si="31">SUM(I63:I65)</f>
        <v>0</v>
      </c>
      <c r="J66" s="20">
        <f t="shared" si="31"/>
        <v>90.674999999999997</v>
      </c>
      <c r="K66" s="20">
        <f t="shared" si="31"/>
        <v>86.141249999999999</v>
      </c>
      <c r="L66" s="20">
        <f t="shared" si="31"/>
        <v>81.834187499999999</v>
      </c>
      <c r="M66" s="20">
        <f t="shared" si="31"/>
        <v>77.742478125000005</v>
      </c>
      <c r="N66" s="20">
        <f t="shared" si="31"/>
        <v>73.855354218750008</v>
      </c>
      <c r="O66" s="20">
        <f t="shared" si="31"/>
        <v>70.162586507812506</v>
      </c>
      <c r="P66" s="20">
        <f t="shared" si="31"/>
        <v>66.654457182421879</v>
      </c>
      <c r="Q66" s="20">
        <f t="shared" si="31"/>
        <v>63.321734323300788</v>
      </c>
      <c r="R66" s="20">
        <f t="shared" si="31"/>
        <v>60.155647607135748</v>
      </c>
      <c r="S66" s="20">
        <f t="shared" si="31"/>
        <v>57.147865226778961</v>
      </c>
      <c r="T66" s="20">
        <f t="shared" si="31"/>
        <v>54.290471965440013</v>
      </c>
      <c r="U66" s="20">
        <f t="shared" si="31"/>
        <v>51.57594836716801</v>
      </c>
      <c r="V66" s="20">
        <f t="shared" si="31"/>
        <v>48.997150948809612</v>
      </c>
      <c r="W66" s="20">
        <f t="shared" si="31"/>
        <v>46.547293401369132</v>
      </c>
    </row>
    <row r="67" spans="1:23" s="8" customFormat="1" x14ac:dyDescent="0.2">
      <c r="A67" s="10"/>
      <c r="D67" s="13"/>
      <c r="E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H69" s="12">
        <v>0</v>
      </c>
      <c r="I69" s="12">
        <f>H72</f>
        <v>0</v>
      </c>
      <c r="J69" s="12">
        <f>I72</f>
        <v>0</v>
      </c>
      <c r="K69" s="12">
        <f t="shared" ref="K69:W69" si="32">J72</f>
        <v>0.81355935000000001</v>
      </c>
      <c r="L69" s="12">
        <f t="shared" si="32"/>
        <v>2.3349096150000004</v>
      </c>
      <c r="M69" s="12">
        <f t="shared" si="32"/>
        <v>3.6548939317500002</v>
      </c>
      <c r="N69" s="12">
        <f t="shared" si="32"/>
        <v>4.7928573476625003</v>
      </c>
      <c r="O69" s="12">
        <f t="shared" si="32"/>
        <v>5.7662499827793745</v>
      </c>
      <c r="P69" s="12">
        <f t="shared" si="32"/>
        <v>6.5908145436404055</v>
      </c>
      <c r="Q69" s="12">
        <f t="shared" si="32"/>
        <v>7.3384165332083846</v>
      </c>
      <c r="R69" s="12">
        <f t="shared" si="32"/>
        <v>8.0737688367979654</v>
      </c>
      <c r="S69" s="12">
        <f t="shared" si="32"/>
        <v>8.7974839387080674</v>
      </c>
      <c r="T69" s="12">
        <f t="shared" si="32"/>
        <v>9.5101436990226631</v>
      </c>
      <c r="U69" s="12">
        <f t="shared" si="32"/>
        <v>10.212300884821529</v>
      </c>
      <c r="V69" s="12">
        <f t="shared" si="32"/>
        <v>10.904480624830452</v>
      </c>
      <c r="W69" s="12">
        <f t="shared" si="32"/>
        <v>11.58718179133893</v>
      </c>
    </row>
    <row r="70" spans="1:23" s="8" customFormat="1" x14ac:dyDescent="0.2">
      <c r="A70" s="10">
        <f>A69+1</f>
        <v>44</v>
      </c>
      <c r="D70" s="13" t="s">
        <v>74</v>
      </c>
      <c r="E70" s="19"/>
      <c r="H70" s="12">
        <f>($F24="Y")*H25*(-H59-H51-H71)</f>
        <v>0</v>
      </c>
      <c r="I70" s="12">
        <f>($F24="Y")*I25*(-I59-I51-I71)</f>
        <v>0</v>
      </c>
      <c r="J70" s="12">
        <f>($F24="Y")*J25*(-J59-J51-J71)</f>
        <v>0.71079435000000002</v>
      </c>
      <c r="K70" s="12">
        <f t="shared" ref="K70:W70" si="33">($F24="Y")*K25*(-K59-K51-K71)</f>
        <v>1.3260967650000002</v>
      </c>
      <c r="L70" s="12">
        <f t="shared" si="33"/>
        <v>1.14476999175</v>
      </c>
      <c r="M70" s="12">
        <f t="shared" si="33"/>
        <v>0.98178630716250015</v>
      </c>
      <c r="N70" s="12">
        <f t="shared" si="33"/>
        <v>0.8353008818043749</v>
      </c>
      <c r="O70" s="12">
        <f t="shared" si="33"/>
        <v>0.70365389521415611</v>
      </c>
      <c r="P70" s="12">
        <f t="shared" si="33"/>
        <v>0.64301335720344832</v>
      </c>
      <c r="Q70" s="12">
        <f t="shared" si="33"/>
        <v>0.64626960284327561</v>
      </c>
      <c r="R70" s="12">
        <f t="shared" si="33"/>
        <v>0.64936303620111202</v>
      </c>
      <c r="S70" s="12">
        <f t="shared" si="33"/>
        <v>0.65230179789105636</v>
      </c>
      <c r="T70" s="12">
        <f t="shared" si="33"/>
        <v>0.65509362149650352</v>
      </c>
      <c r="U70" s="12">
        <f t="shared" si="33"/>
        <v>0.65774585392167817</v>
      </c>
      <c r="V70" s="12">
        <f t="shared" si="33"/>
        <v>0.66026547472559405</v>
      </c>
      <c r="W70" s="12">
        <f t="shared" si="33"/>
        <v>0.66265911448931369</v>
      </c>
    </row>
    <row r="71" spans="1:23" s="8" customFormat="1" x14ac:dyDescent="0.2">
      <c r="A71" s="10">
        <f>A70+1</f>
        <v>45</v>
      </c>
      <c r="D71" s="13" t="s">
        <v>75</v>
      </c>
      <c r="E71" s="19"/>
      <c r="H71" s="12">
        <f>($F28="Y")*H29*(-H65-H51)</f>
        <v>0</v>
      </c>
      <c r="I71" s="12">
        <f>($F28="Y")*I29*(-I65-I51)</f>
        <v>0</v>
      </c>
      <c r="J71" s="12">
        <f t="shared" ref="J71:W71" si="34">($F28="Y")*J29*(-J65-J51)</f>
        <v>0.10276500000000001</v>
      </c>
      <c r="K71" s="12">
        <f t="shared" si="34"/>
        <v>0.19525350000000002</v>
      </c>
      <c r="L71" s="12">
        <f t="shared" si="34"/>
        <v>0.17521432499999998</v>
      </c>
      <c r="M71" s="12">
        <f t="shared" si="34"/>
        <v>0.15617710874999999</v>
      </c>
      <c r="N71" s="12">
        <f t="shared" si="34"/>
        <v>0.13809175331250001</v>
      </c>
      <c r="O71" s="12">
        <f t="shared" si="34"/>
        <v>0.12091066564687507</v>
      </c>
      <c r="P71" s="12">
        <f t="shared" si="34"/>
        <v>0.10458863236453128</v>
      </c>
      <c r="Q71" s="12">
        <f t="shared" si="34"/>
        <v>8.9082700746304727E-2</v>
      </c>
      <c r="R71" s="12">
        <f t="shared" si="34"/>
        <v>7.4352065708989501E-2</v>
      </c>
      <c r="S71" s="12">
        <f t="shared" si="34"/>
        <v>6.035796242354001E-2</v>
      </c>
      <c r="T71" s="12">
        <f t="shared" si="34"/>
        <v>4.7063564302363019E-2</v>
      </c>
      <c r="U71" s="12">
        <f t="shared" si="34"/>
        <v>3.443388608724484E-2</v>
      </c>
      <c r="V71" s="12">
        <f t="shared" si="34"/>
        <v>2.24356917828826E-2</v>
      </c>
      <c r="W71" s="12">
        <f t="shared" si="34"/>
        <v>1.1037407193738477E-2</v>
      </c>
    </row>
    <row r="72" spans="1:23" s="8" customFormat="1" x14ac:dyDescent="0.2">
      <c r="A72" s="10">
        <f>A71+1</f>
        <v>46</v>
      </c>
      <c r="D72" s="13" t="s">
        <v>12</v>
      </c>
      <c r="E72" s="19"/>
      <c r="H72" s="20">
        <f>SUM(H69:H71)</f>
        <v>0</v>
      </c>
      <c r="I72" s="20">
        <f>SUM(I69:I71)</f>
        <v>0</v>
      </c>
      <c r="J72" s="20">
        <f>SUM(J69:J71)</f>
        <v>0.81355935000000001</v>
      </c>
      <c r="K72" s="20">
        <f t="shared" ref="K72:W72" si="35">SUM(K69:K71)</f>
        <v>2.3349096150000004</v>
      </c>
      <c r="L72" s="20">
        <f t="shared" si="35"/>
        <v>3.6548939317500002</v>
      </c>
      <c r="M72" s="20">
        <f t="shared" si="35"/>
        <v>4.7928573476625003</v>
      </c>
      <c r="N72" s="20">
        <f t="shared" si="35"/>
        <v>5.7662499827793745</v>
      </c>
      <c r="O72" s="20">
        <f t="shared" si="35"/>
        <v>6.5908145436404055</v>
      </c>
      <c r="P72" s="20">
        <f t="shared" si="35"/>
        <v>7.3384165332083846</v>
      </c>
      <c r="Q72" s="20">
        <f t="shared" si="35"/>
        <v>8.0737688367979654</v>
      </c>
      <c r="R72" s="20">
        <f t="shared" si="35"/>
        <v>8.7974839387080674</v>
      </c>
      <c r="S72" s="20">
        <f t="shared" si="35"/>
        <v>9.5101436990226631</v>
      </c>
      <c r="T72" s="20">
        <f t="shared" si="35"/>
        <v>10.212300884821529</v>
      </c>
      <c r="U72" s="20">
        <f t="shared" si="35"/>
        <v>10.904480624830452</v>
      </c>
      <c r="V72" s="20">
        <f t="shared" si="35"/>
        <v>11.58718179133893</v>
      </c>
      <c r="W72" s="20">
        <f t="shared" si="35"/>
        <v>12.260878313021982</v>
      </c>
    </row>
    <row r="73" spans="1:23" s="8" customFormat="1" x14ac:dyDescent="0.2">
      <c r="A73" s="10">
        <f>A72+1</f>
        <v>47</v>
      </c>
      <c r="D73" s="13" t="s">
        <v>16</v>
      </c>
      <c r="E73" s="19"/>
      <c r="H73" s="20">
        <f>(H69+H72)/2</f>
        <v>0</v>
      </c>
      <c r="I73" s="20">
        <f>(I69+I72)/2</f>
        <v>0</v>
      </c>
      <c r="J73" s="20">
        <f>(J69+J72)/2</f>
        <v>0.40677967500000001</v>
      </c>
      <c r="K73" s="20">
        <f t="shared" ref="K73:W73" si="36">(K69+K72)/2</f>
        <v>1.5742344825000001</v>
      </c>
      <c r="L73" s="20">
        <f t="shared" si="36"/>
        <v>2.9949017733750001</v>
      </c>
      <c r="M73" s="20">
        <f t="shared" si="36"/>
        <v>4.2238756397062502</v>
      </c>
      <c r="N73" s="20">
        <f t="shared" si="36"/>
        <v>5.2795536652209378</v>
      </c>
      <c r="O73" s="20">
        <f t="shared" si="36"/>
        <v>6.17853226320989</v>
      </c>
      <c r="P73" s="20">
        <f t="shared" si="36"/>
        <v>6.9646155384243951</v>
      </c>
      <c r="Q73" s="20">
        <f t="shared" si="36"/>
        <v>7.706092685003175</v>
      </c>
      <c r="R73" s="20">
        <f t="shared" si="36"/>
        <v>8.4356263877530164</v>
      </c>
      <c r="S73" s="20">
        <f t="shared" si="36"/>
        <v>9.1538138188653662</v>
      </c>
      <c r="T73" s="20">
        <f t="shared" si="36"/>
        <v>9.8612222919220969</v>
      </c>
      <c r="U73" s="20">
        <f t="shared" si="36"/>
        <v>10.558390754825989</v>
      </c>
      <c r="V73" s="20">
        <f t="shared" si="36"/>
        <v>11.245831208084692</v>
      </c>
      <c r="W73" s="20">
        <f t="shared" si="36"/>
        <v>11.924030052180456</v>
      </c>
    </row>
    <row r="74" spans="1:23" s="8" customFormat="1" x14ac:dyDescent="0.2">
      <c r="A74" s="10"/>
      <c r="D74" s="13"/>
      <c r="E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H76" s="12">
        <f>H47</f>
        <v>0</v>
      </c>
      <c r="I76" s="12">
        <f t="shared" ref="I76:W76" si="37">I47</f>
        <v>0</v>
      </c>
      <c r="J76" s="12">
        <f t="shared" si="37"/>
        <v>46.5</v>
      </c>
      <c r="K76" s="12">
        <f t="shared" si="37"/>
        <v>93</v>
      </c>
      <c r="L76" s="12">
        <f t="shared" si="37"/>
        <v>93</v>
      </c>
      <c r="M76" s="12">
        <f t="shared" si="37"/>
        <v>93</v>
      </c>
      <c r="N76" s="12">
        <f t="shared" si="37"/>
        <v>93</v>
      </c>
      <c r="O76" s="12">
        <f t="shared" si="37"/>
        <v>93</v>
      </c>
      <c r="P76" s="12">
        <f t="shared" si="37"/>
        <v>93</v>
      </c>
      <c r="Q76" s="12">
        <f t="shared" si="37"/>
        <v>93</v>
      </c>
      <c r="R76" s="12">
        <f t="shared" si="37"/>
        <v>93</v>
      </c>
      <c r="S76" s="12">
        <f t="shared" si="37"/>
        <v>93</v>
      </c>
      <c r="T76" s="12">
        <f t="shared" si="37"/>
        <v>93</v>
      </c>
      <c r="U76" s="12">
        <f t="shared" si="37"/>
        <v>93</v>
      </c>
      <c r="V76" s="12">
        <f t="shared" si="37"/>
        <v>93</v>
      </c>
      <c r="W76" s="12">
        <f t="shared" si="37"/>
        <v>93</v>
      </c>
    </row>
    <row r="77" spans="1:23" s="8" customFormat="1" x14ac:dyDescent="0.2">
      <c r="A77" s="10">
        <f>A76+1</f>
        <v>49</v>
      </c>
      <c r="D77" s="13" t="s">
        <v>15</v>
      </c>
      <c r="E77" s="19"/>
      <c r="H77" s="12">
        <f>-H54</f>
        <v>0</v>
      </c>
      <c r="I77" s="12">
        <f t="shared" ref="I77:W77" si="38">-I54</f>
        <v>0</v>
      </c>
      <c r="J77" s="12">
        <f t="shared" si="38"/>
        <v>-0.58125000000000004</v>
      </c>
      <c r="K77" s="12">
        <f t="shared" si="38"/>
        <v>-2.3250000000000002</v>
      </c>
      <c r="L77" s="12">
        <f t="shared" si="38"/>
        <v>-4.6500000000000004</v>
      </c>
      <c r="M77" s="12">
        <f t="shared" si="38"/>
        <v>-6.9749999999999996</v>
      </c>
      <c r="N77" s="12">
        <f t="shared" si="38"/>
        <v>-9.2999999999999989</v>
      </c>
      <c r="O77" s="12">
        <f t="shared" si="38"/>
        <v>-11.624999999999998</v>
      </c>
      <c r="P77" s="12">
        <f t="shared" si="38"/>
        <v>-13.949999999999998</v>
      </c>
      <c r="Q77" s="12">
        <f t="shared" si="38"/>
        <v>-16.274999999999999</v>
      </c>
      <c r="R77" s="12">
        <f t="shared" si="38"/>
        <v>-18.599999999999994</v>
      </c>
      <c r="S77" s="12">
        <f t="shared" si="38"/>
        <v>-20.924999999999997</v>
      </c>
      <c r="T77" s="12">
        <f t="shared" si="38"/>
        <v>-23.249999999999993</v>
      </c>
      <c r="U77" s="12">
        <f t="shared" si="38"/>
        <v>-25.574999999999996</v>
      </c>
      <c r="V77" s="12">
        <f t="shared" si="38"/>
        <v>-27.899999999999991</v>
      </c>
      <c r="W77" s="12">
        <f t="shared" si="38"/>
        <v>-30.224999999999994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H78" s="12">
        <f>($F11="Y")*H40</f>
        <v>0</v>
      </c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H79" s="12">
        <f>-H73</f>
        <v>0</v>
      </c>
      <c r="I79" s="12">
        <f>-I73</f>
        <v>0</v>
      </c>
      <c r="J79" s="12">
        <f>-J73</f>
        <v>-0.40677967500000001</v>
      </c>
      <c r="K79" s="12">
        <f t="shared" ref="K79:W79" si="40">-K73</f>
        <v>-1.5742344825000001</v>
      </c>
      <c r="L79" s="12">
        <f t="shared" si="40"/>
        <v>-2.9949017733750001</v>
      </c>
      <c r="M79" s="12">
        <f t="shared" si="40"/>
        <v>-4.2238756397062502</v>
      </c>
      <c r="N79" s="12">
        <f t="shared" si="40"/>
        <v>-5.2795536652209378</v>
      </c>
      <c r="O79" s="12">
        <f t="shared" si="40"/>
        <v>-6.17853226320989</v>
      </c>
      <c r="P79" s="12">
        <f t="shared" si="40"/>
        <v>-6.9646155384243951</v>
      </c>
      <c r="Q79" s="12">
        <f t="shared" si="40"/>
        <v>-7.706092685003175</v>
      </c>
      <c r="R79" s="12">
        <f t="shared" si="40"/>
        <v>-8.4356263877530164</v>
      </c>
      <c r="S79" s="12">
        <f t="shared" si="40"/>
        <v>-9.1538138188653662</v>
      </c>
      <c r="T79" s="12">
        <f t="shared" si="40"/>
        <v>-9.8612222919220969</v>
      </c>
      <c r="U79" s="12">
        <f t="shared" si="40"/>
        <v>-10.558390754825989</v>
      </c>
      <c r="V79" s="12">
        <f t="shared" si="40"/>
        <v>-11.245831208084692</v>
      </c>
      <c r="W79" s="12">
        <f t="shared" si="40"/>
        <v>-11.924030052180456</v>
      </c>
    </row>
    <row r="80" spans="1:23" s="8" customFormat="1" x14ac:dyDescent="0.2">
      <c r="A80" s="10">
        <f>A79+1</f>
        <v>52</v>
      </c>
      <c r="D80" s="13" t="s">
        <v>5</v>
      </c>
      <c r="E80" s="19"/>
      <c r="H80" s="20">
        <f>SUM(H76:H79)</f>
        <v>0</v>
      </c>
      <c r="I80" s="20">
        <f>SUM(I76:I79)</f>
        <v>0</v>
      </c>
      <c r="J80" s="20">
        <f>SUM(J76:J79)</f>
        <v>45.511970325</v>
      </c>
      <c r="K80" s="20">
        <f t="shared" ref="K80:W80" si="41">SUM(K76:K79)</f>
        <v>89.100765517499994</v>
      </c>
      <c r="L80" s="20">
        <f t="shared" si="41"/>
        <v>85.355098226624989</v>
      </c>
      <c r="M80" s="20">
        <f t="shared" si="41"/>
        <v>81.801124360293755</v>
      </c>
      <c r="N80" s="20">
        <f t="shared" si="41"/>
        <v>78.420446334779058</v>
      </c>
      <c r="O80" s="20">
        <f t="shared" si="41"/>
        <v>75.196467736790112</v>
      </c>
      <c r="P80" s="20">
        <f t="shared" si="41"/>
        <v>72.0853844615756</v>
      </c>
      <c r="Q80" s="20">
        <f t="shared" si="41"/>
        <v>69.018907314996824</v>
      </c>
      <c r="R80" s="20">
        <f t="shared" si="41"/>
        <v>65.964373612246987</v>
      </c>
      <c r="S80" s="20">
        <f t="shared" si="41"/>
        <v>62.921186181134637</v>
      </c>
      <c r="T80" s="20">
        <f t="shared" si="41"/>
        <v>59.888777708077903</v>
      </c>
      <c r="U80" s="20">
        <f t="shared" si="41"/>
        <v>56.866609245174018</v>
      </c>
      <c r="V80" s="20">
        <f t="shared" si="41"/>
        <v>53.854168791915313</v>
      </c>
      <c r="W80" s="20">
        <f t="shared" si="41"/>
        <v>50.85096994781955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1.1625000000000001</v>
      </c>
      <c r="K83" s="12">
        <f t="shared" si="42"/>
        <v>2.3250000000000002</v>
      </c>
      <c r="L83" s="12">
        <f t="shared" si="42"/>
        <v>2.3250000000000002</v>
      </c>
      <c r="M83" s="12">
        <f t="shared" si="42"/>
        <v>2.3250000000000002</v>
      </c>
      <c r="N83" s="12">
        <f t="shared" si="42"/>
        <v>2.3250000000000002</v>
      </c>
      <c r="O83" s="12">
        <f t="shared" si="42"/>
        <v>2.3250000000000002</v>
      </c>
      <c r="P83" s="12">
        <f t="shared" si="42"/>
        <v>2.3250000000000002</v>
      </c>
      <c r="Q83" s="12">
        <f t="shared" si="42"/>
        <v>2.3250000000000002</v>
      </c>
      <c r="R83" s="12">
        <f t="shared" si="42"/>
        <v>2.3250000000000002</v>
      </c>
      <c r="S83" s="12">
        <f t="shared" si="42"/>
        <v>2.3250000000000002</v>
      </c>
      <c r="T83" s="12">
        <f t="shared" si="42"/>
        <v>2.3250000000000002</v>
      </c>
      <c r="U83" s="12">
        <f t="shared" si="42"/>
        <v>2.3250000000000002</v>
      </c>
      <c r="V83" s="12">
        <f t="shared" si="42"/>
        <v>2.3250000000000002</v>
      </c>
      <c r="W83" s="12">
        <f t="shared" si="42"/>
        <v>2.3250000000000002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1.36535910975</v>
      </c>
      <c r="K84" s="12">
        <f t="shared" si="44"/>
        <v>2.6730229655249995</v>
      </c>
      <c r="L84" s="12">
        <f t="shared" si="44"/>
        <v>2.5606529467987498</v>
      </c>
      <c r="M84" s="12">
        <f t="shared" si="44"/>
        <v>2.4540337308088125</v>
      </c>
      <c r="N84" s="12">
        <f t="shared" si="44"/>
        <v>2.3526133900433717</v>
      </c>
      <c r="O84" s="12">
        <f t="shared" si="44"/>
        <v>2.2558940321037033</v>
      </c>
      <c r="P84" s="12">
        <f t="shared" si="44"/>
        <v>2.1625615338472679</v>
      </c>
      <c r="Q84" s="12">
        <f t="shared" si="44"/>
        <v>2.0705672194499045</v>
      </c>
      <c r="R84" s="12">
        <f t="shared" si="44"/>
        <v>1.9789312083674095</v>
      </c>
      <c r="S84" s="12">
        <f t="shared" si="44"/>
        <v>1.887635585434039</v>
      </c>
      <c r="T84" s="12">
        <f t="shared" si="44"/>
        <v>1.796663331242337</v>
      </c>
      <c r="U84" s="12">
        <f t="shared" si="44"/>
        <v>1.7059982773552205</v>
      </c>
      <c r="V84" s="12">
        <f t="shared" si="44"/>
        <v>1.6156250637574594</v>
      </c>
      <c r="W84" s="12">
        <f t="shared" si="44"/>
        <v>1.5255290984345864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2.5031583678750002</v>
      </c>
      <c r="K85" s="12">
        <f t="shared" si="45"/>
        <v>4.9005421034624996</v>
      </c>
      <c r="L85" s="12">
        <f t="shared" si="45"/>
        <v>4.6945304024643741</v>
      </c>
      <c r="M85" s="12">
        <f t="shared" si="45"/>
        <v>4.4990618398161564</v>
      </c>
      <c r="N85" s="12">
        <f t="shared" si="45"/>
        <v>4.3131245484128486</v>
      </c>
      <c r="O85" s="12">
        <f t="shared" si="45"/>
        <v>4.1358057255234559</v>
      </c>
      <c r="P85" s="12">
        <f t="shared" si="45"/>
        <v>3.9646961453866578</v>
      </c>
      <c r="Q85" s="12">
        <f t="shared" si="45"/>
        <v>3.7960399023248255</v>
      </c>
      <c r="R85" s="12">
        <f t="shared" si="45"/>
        <v>3.6280405486735843</v>
      </c>
      <c r="S85" s="12">
        <f t="shared" si="45"/>
        <v>3.4606652399624052</v>
      </c>
      <c r="T85" s="12">
        <f t="shared" si="45"/>
        <v>3.2938827739442846</v>
      </c>
      <c r="U85" s="12">
        <f t="shared" si="45"/>
        <v>3.127663508484571</v>
      </c>
      <c r="V85" s="12">
        <f t="shared" si="45"/>
        <v>2.9619792835553422</v>
      </c>
      <c r="W85" s="12">
        <f t="shared" si="45"/>
        <v>2.7968033471300751</v>
      </c>
    </row>
    <row r="86" spans="1:24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0.66539652816930384</v>
      </c>
      <c r="K86" s="12">
        <f t="shared" si="46"/>
        <v>1.3026757490216769</v>
      </c>
      <c r="L86" s="12">
        <f t="shared" si="46"/>
        <v>1.2479131449588841</v>
      </c>
      <c r="M86" s="12">
        <f t="shared" si="46"/>
        <v>1.1959531472929021</v>
      </c>
      <c r="N86" s="12">
        <f t="shared" si="46"/>
        <v>1.146526778692023</v>
      </c>
      <c r="O86" s="12">
        <f t="shared" si="46"/>
        <v>1.0993913953923111</v>
      </c>
      <c r="P86" s="12">
        <f t="shared" si="46"/>
        <v>1.0539065702926558</v>
      </c>
      <c r="Q86" s="12">
        <f t="shared" si="46"/>
        <v>1.0090738980863458</v>
      </c>
      <c r="R86" s="12">
        <f t="shared" si="46"/>
        <v>0.96441584205247166</v>
      </c>
      <c r="S86" s="12">
        <f t="shared" si="46"/>
        <v>0.91992367138241138</v>
      </c>
      <c r="T86" s="12">
        <f t="shared" si="46"/>
        <v>0.8755890918079744</v>
      </c>
      <c r="U86" s="12">
        <f t="shared" si="46"/>
        <v>0.83140422377437961</v>
      </c>
      <c r="V86" s="12">
        <f t="shared" si="46"/>
        <v>0.78736158170458448</v>
      </c>
      <c r="W86" s="12">
        <f t="shared" si="46"/>
        <v>0.74345405430039968</v>
      </c>
    </row>
    <row r="87" spans="1:24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0.30726223432461219</v>
      </c>
      <c r="K87" s="12">
        <f t="shared" si="47"/>
        <v>0.60154065177665783</v>
      </c>
      <c r="L87" s="12">
        <f t="shared" si="47"/>
        <v>0.5762527529532866</v>
      </c>
      <c r="M87" s="12">
        <f t="shared" si="47"/>
        <v>0.55225902244453795</v>
      </c>
      <c r="N87" s="12">
        <f t="shared" si="47"/>
        <v>0.52943525374733524</v>
      </c>
      <c r="O87" s="12">
        <f t="shared" si="47"/>
        <v>0.50766940049248999</v>
      </c>
      <c r="P87" s="12">
        <f t="shared" si="47"/>
        <v>0.48666573065604579</v>
      </c>
      <c r="Q87" s="12">
        <f t="shared" si="47"/>
        <v>0.46596320749928433</v>
      </c>
      <c r="R87" s="12">
        <f t="shared" si="47"/>
        <v>0.44534131739818278</v>
      </c>
      <c r="S87" s="12">
        <f t="shared" si="47"/>
        <v>0.42479602869995814</v>
      </c>
      <c r="T87" s="12">
        <f t="shared" si="47"/>
        <v>0.40432351133446659</v>
      </c>
      <c r="U87" s="12">
        <f t="shared" si="47"/>
        <v>0.38392012673507159</v>
      </c>
      <c r="V87" s="12">
        <f t="shared" si="47"/>
        <v>0.36358241826346815</v>
      </c>
      <c r="W87" s="12">
        <f t="shared" si="47"/>
        <v>0.34330710211326676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f>(I80&gt;0)*(H88*(1+I32)+(H44+H45)*I31)</f>
        <v>0</v>
      </c>
      <c r="J88" s="12">
        <f>(J80&gt;0)*(I88*(1+J32)+(I44+I45)*J31)</f>
        <v>0</v>
      </c>
      <c r="K88" s="12">
        <f t="shared" ref="K88:W88" si="48">(K80&gt;0)*(J88*(1+K32)+J44*K31)</f>
        <v>1.86</v>
      </c>
      <c r="L88" s="12">
        <f t="shared" si="48"/>
        <v>1.8972000000000002</v>
      </c>
      <c r="M88" s="12">
        <f t="shared" si="48"/>
        <v>1.9351440000000002</v>
      </c>
      <c r="N88" s="12">
        <f t="shared" si="48"/>
        <v>1.9738468800000002</v>
      </c>
      <c r="O88" s="12">
        <f t="shared" si="48"/>
        <v>2.0133238176000003</v>
      </c>
      <c r="P88" s="12">
        <f t="shared" si="48"/>
        <v>2.0535902939520003</v>
      </c>
      <c r="Q88" s="12">
        <f t="shared" si="48"/>
        <v>2.0946620998310403</v>
      </c>
      <c r="R88" s="12">
        <f t="shared" si="48"/>
        <v>2.1365553418276613</v>
      </c>
      <c r="S88" s="12">
        <f t="shared" si="48"/>
        <v>2.1792864486642145</v>
      </c>
      <c r="T88" s="12">
        <f t="shared" si="48"/>
        <v>2.2228721776374987</v>
      </c>
      <c r="U88" s="12">
        <f t="shared" si="48"/>
        <v>2.2673296211902487</v>
      </c>
      <c r="V88" s="12">
        <f t="shared" si="48"/>
        <v>2.3126762136140537</v>
      </c>
      <c r="W88" s="12">
        <f t="shared" si="48"/>
        <v>2.358929737886335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6.0036762401189163</v>
      </c>
      <c r="K89" s="20">
        <f t="shared" si="49"/>
        <v>13.662781469785832</v>
      </c>
      <c r="L89" s="20">
        <f t="shared" si="49"/>
        <v>13.301549247175293</v>
      </c>
      <c r="M89" s="20">
        <f t="shared" si="49"/>
        <v>12.96145174036241</v>
      </c>
      <c r="N89" s="20">
        <f t="shared" si="49"/>
        <v>12.640546850895579</v>
      </c>
      <c r="O89" s="20">
        <f t="shared" si="49"/>
        <v>12.337084371111962</v>
      </c>
      <c r="P89" s="20">
        <f t="shared" si="49"/>
        <v>12.046420274134627</v>
      </c>
      <c r="Q89" s="20">
        <f t="shared" si="49"/>
        <v>11.7613063271914</v>
      </c>
      <c r="R89" s="20">
        <f t="shared" si="49"/>
        <v>11.478284258319309</v>
      </c>
      <c r="S89" s="20">
        <f t="shared" si="49"/>
        <v>11.197306974143029</v>
      </c>
      <c r="T89" s="20">
        <f t="shared" si="49"/>
        <v>10.918330885966562</v>
      </c>
      <c r="U89" s="20">
        <f t="shared" si="49"/>
        <v>10.641315757539491</v>
      </c>
      <c r="V89" s="20">
        <f t="shared" si="49"/>
        <v>10.366224560894908</v>
      </c>
      <c r="W89" s="20">
        <f t="shared" si="49"/>
        <v>10.093023339864661</v>
      </c>
      <c r="X89" s="44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2" spans="1:24" x14ac:dyDescent="0.2"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</row>
    <row r="93" spans="1:24" x14ac:dyDescent="0.2"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</row>
    <row r="94" spans="1:24" x14ac:dyDescent="0.2"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</row>
    <row r="95" spans="1:24" x14ac:dyDescent="0.2"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90"/>
  <sheetViews>
    <sheetView topLeftCell="A49" zoomScale="130" zoomScaleNormal="130" workbookViewId="0">
      <selection activeCell="J9" sqref="J9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103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f>Existing!H3</f>
        <v>2020</v>
      </c>
      <c r="I3" s="5">
        <f>Existing!I3</f>
        <v>2021</v>
      </c>
      <c r="J3" s="5">
        <f>Existing!J3</f>
        <v>2022</v>
      </c>
      <c r="K3" s="5">
        <f>Existing!K3</f>
        <v>2023</v>
      </c>
      <c r="L3" s="5">
        <f>Existing!L3</f>
        <v>2024</v>
      </c>
      <c r="M3" s="5">
        <f>Existing!M3</f>
        <v>2025</v>
      </c>
      <c r="N3" s="5">
        <f>Existing!N3</f>
        <v>2026</v>
      </c>
      <c r="O3" s="5">
        <f>Existing!O3</f>
        <v>2027</v>
      </c>
      <c r="P3" s="5">
        <f>Existing!P3</f>
        <v>2028</v>
      </c>
      <c r="Q3" s="5">
        <f>Existing!Q3</f>
        <v>2029</v>
      </c>
      <c r="R3" s="5">
        <f>Existing!R3</f>
        <v>2030</v>
      </c>
      <c r="S3" s="5">
        <f>Existing!S3</f>
        <v>2031</v>
      </c>
      <c r="T3" s="5">
        <f>Existing!T3</f>
        <v>2032</v>
      </c>
      <c r="U3" s="5">
        <f>Existing!U3</f>
        <v>2033</v>
      </c>
      <c r="V3" s="5">
        <f>Existing!V3</f>
        <v>2034</v>
      </c>
      <c r="W3" s="5">
        <f>Existing!W3</f>
        <v>2035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2022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48">
        <v>0</v>
      </c>
      <c r="J8" s="48">
        <v>0</v>
      </c>
      <c r="K8" s="48">
        <v>5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23"/>
      <c r="I25" s="40">
        <f t="shared" ref="I25:W25" si="6">$F25</f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0</v>
      </c>
      <c r="J36" s="12">
        <f t="shared" si="10"/>
        <v>0</v>
      </c>
      <c r="K36" s="12">
        <f t="shared" si="10"/>
        <v>5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>IF(K3&gt;=$F7,-SUM(K35:K37),0)</f>
        <v>-5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5</v>
      </c>
      <c r="M43" s="12">
        <f t="shared" si="15"/>
        <v>5</v>
      </c>
      <c r="N43" s="12">
        <f t="shared" si="15"/>
        <v>5</v>
      </c>
      <c r="O43" s="12">
        <f t="shared" si="15"/>
        <v>5</v>
      </c>
      <c r="P43" s="12">
        <f t="shared" si="15"/>
        <v>5</v>
      </c>
      <c r="Q43" s="12">
        <f t="shared" si="15"/>
        <v>5</v>
      </c>
      <c r="R43" s="12">
        <f t="shared" si="15"/>
        <v>5</v>
      </c>
      <c r="S43" s="12">
        <f t="shared" si="15"/>
        <v>5</v>
      </c>
      <c r="T43" s="12">
        <f t="shared" si="15"/>
        <v>5</v>
      </c>
      <c r="U43" s="12">
        <f t="shared" si="15"/>
        <v>5</v>
      </c>
      <c r="V43" s="12">
        <f t="shared" si="15"/>
        <v>5</v>
      </c>
      <c r="W43" s="12">
        <f t="shared" si="15"/>
        <v>5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5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5</v>
      </c>
      <c r="L46" s="20">
        <f t="shared" si="18"/>
        <v>5</v>
      </c>
      <c r="M46" s="20">
        <f t="shared" si="18"/>
        <v>5</v>
      </c>
      <c r="N46" s="20">
        <f t="shared" si="18"/>
        <v>5</v>
      </c>
      <c r="O46" s="20">
        <f t="shared" si="18"/>
        <v>5</v>
      </c>
      <c r="P46" s="20">
        <f t="shared" si="18"/>
        <v>5</v>
      </c>
      <c r="Q46" s="20">
        <f t="shared" si="18"/>
        <v>5</v>
      </c>
      <c r="R46" s="20">
        <f t="shared" si="18"/>
        <v>5</v>
      </c>
      <c r="S46" s="20">
        <f t="shared" si="18"/>
        <v>5</v>
      </c>
      <c r="T46" s="20">
        <f t="shared" si="18"/>
        <v>5</v>
      </c>
      <c r="U46" s="20">
        <f t="shared" si="18"/>
        <v>5</v>
      </c>
      <c r="V46" s="20">
        <f t="shared" si="18"/>
        <v>5</v>
      </c>
      <c r="W46" s="20">
        <f t="shared" si="18"/>
        <v>5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2.5</v>
      </c>
      <c r="L47" s="20">
        <f t="shared" si="19"/>
        <v>5</v>
      </c>
      <c r="M47" s="20">
        <f t="shared" si="19"/>
        <v>5</v>
      </c>
      <c r="N47" s="20">
        <f t="shared" si="19"/>
        <v>5</v>
      </c>
      <c r="O47" s="20">
        <f t="shared" si="19"/>
        <v>5</v>
      </c>
      <c r="P47" s="20">
        <f t="shared" si="19"/>
        <v>5</v>
      </c>
      <c r="Q47" s="20">
        <f t="shared" si="19"/>
        <v>5</v>
      </c>
      <c r="R47" s="20">
        <f t="shared" si="19"/>
        <v>5</v>
      </c>
      <c r="S47" s="20">
        <f t="shared" si="19"/>
        <v>5</v>
      </c>
      <c r="T47" s="20">
        <f t="shared" si="19"/>
        <v>5</v>
      </c>
      <c r="U47" s="20">
        <f t="shared" si="19"/>
        <v>5</v>
      </c>
      <c r="V47" s="20">
        <f t="shared" si="19"/>
        <v>5</v>
      </c>
      <c r="W47" s="20">
        <f t="shared" si="19"/>
        <v>5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6.25E-2</v>
      </c>
      <c r="M50" s="12">
        <f t="shared" si="20"/>
        <v>0.1875</v>
      </c>
      <c r="N50" s="12">
        <f t="shared" si="20"/>
        <v>0.3125</v>
      </c>
      <c r="O50" s="12">
        <f t="shared" si="20"/>
        <v>0.4375</v>
      </c>
      <c r="P50" s="12">
        <f t="shared" si="20"/>
        <v>0.5625</v>
      </c>
      <c r="Q50" s="12">
        <f t="shared" si="20"/>
        <v>0.6875</v>
      </c>
      <c r="R50" s="12">
        <f t="shared" si="20"/>
        <v>0.8125</v>
      </c>
      <c r="S50" s="12">
        <f t="shared" si="20"/>
        <v>0.9375</v>
      </c>
      <c r="T50" s="12">
        <f t="shared" si="20"/>
        <v>1.0625</v>
      </c>
      <c r="U50" s="12">
        <f t="shared" si="20"/>
        <v>1.1875</v>
      </c>
      <c r="V50" s="12">
        <f t="shared" si="20"/>
        <v>1.3125</v>
      </c>
      <c r="W50" s="12">
        <f t="shared" si="20"/>
        <v>1.4375</v>
      </c>
    </row>
    <row r="51" spans="1:23" s="8" customFormat="1" x14ac:dyDescent="0.2">
      <c r="A51" s="10">
        <f>A50+1</f>
        <v>31</v>
      </c>
      <c r="D51" s="13" t="s">
        <v>69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6.25E-2</v>
      </c>
      <c r="L51" s="12">
        <f t="shared" si="21"/>
        <v>0.125</v>
      </c>
      <c r="M51" s="12">
        <f t="shared" si="21"/>
        <v>0.125</v>
      </c>
      <c r="N51" s="12">
        <f t="shared" si="21"/>
        <v>0.125</v>
      </c>
      <c r="O51" s="12">
        <f t="shared" si="21"/>
        <v>0.125</v>
      </c>
      <c r="P51" s="12">
        <f t="shared" si="21"/>
        <v>0.125</v>
      </c>
      <c r="Q51" s="12">
        <f t="shared" si="21"/>
        <v>0.125</v>
      </c>
      <c r="R51" s="12">
        <f t="shared" si="21"/>
        <v>0.125</v>
      </c>
      <c r="S51" s="12">
        <f t="shared" si="21"/>
        <v>0.125</v>
      </c>
      <c r="T51" s="12">
        <f t="shared" si="21"/>
        <v>0.125</v>
      </c>
      <c r="U51" s="12">
        <f t="shared" si="21"/>
        <v>0.125</v>
      </c>
      <c r="V51" s="12">
        <f t="shared" si="21"/>
        <v>0.125</v>
      </c>
      <c r="W51" s="12">
        <f t="shared" si="21"/>
        <v>0.125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6.25E-2</v>
      </c>
      <c r="L53" s="20">
        <f t="shared" si="23"/>
        <v>0.1875</v>
      </c>
      <c r="M53" s="20">
        <f t="shared" si="23"/>
        <v>0.3125</v>
      </c>
      <c r="N53" s="20">
        <f t="shared" si="23"/>
        <v>0.4375</v>
      </c>
      <c r="O53" s="20">
        <f t="shared" si="23"/>
        <v>0.5625</v>
      </c>
      <c r="P53" s="20">
        <f t="shared" si="23"/>
        <v>0.6875</v>
      </c>
      <c r="Q53" s="20">
        <f t="shared" si="23"/>
        <v>0.8125</v>
      </c>
      <c r="R53" s="20">
        <f t="shared" si="23"/>
        <v>0.9375</v>
      </c>
      <c r="S53" s="20">
        <f t="shared" si="23"/>
        <v>1.0625</v>
      </c>
      <c r="T53" s="20">
        <f t="shared" si="23"/>
        <v>1.1875</v>
      </c>
      <c r="U53" s="20">
        <f t="shared" si="23"/>
        <v>1.3125</v>
      </c>
      <c r="V53" s="20">
        <f t="shared" si="23"/>
        <v>1.4375</v>
      </c>
      <c r="W53" s="20">
        <f t="shared" si="23"/>
        <v>1.5625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3.125E-2</v>
      </c>
      <c r="L54" s="20">
        <f t="shared" si="24"/>
        <v>0.125</v>
      </c>
      <c r="M54" s="20">
        <f t="shared" si="24"/>
        <v>0.25</v>
      </c>
      <c r="N54" s="20">
        <f t="shared" si="24"/>
        <v>0.375</v>
      </c>
      <c r="O54" s="20">
        <f t="shared" si="24"/>
        <v>0.5</v>
      </c>
      <c r="P54" s="20">
        <f t="shared" si="24"/>
        <v>0.625</v>
      </c>
      <c r="Q54" s="20">
        <f t="shared" si="24"/>
        <v>0.75</v>
      </c>
      <c r="R54" s="20">
        <f t="shared" si="24"/>
        <v>0.875</v>
      </c>
      <c r="S54" s="20">
        <f t="shared" si="24"/>
        <v>1</v>
      </c>
      <c r="T54" s="20">
        <f t="shared" si="24"/>
        <v>1.125</v>
      </c>
      <c r="U54" s="20">
        <f t="shared" si="24"/>
        <v>1.25</v>
      </c>
      <c r="V54" s="20">
        <f t="shared" si="24"/>
        <v>1.375</v>
      </c>
      <c r="W54" s="20">
        <f t="shared" si="24"/>
        <v>1.5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4.75</v>
      </c>
      <c r="M57" s="12">
        <f t="shared" si="25"/>
        <v>4.2750000000000004</v>
      </c>
      <c r="N57" s="12">
        <f t="shared" si="25"/>
        <v>3.8475000000000001</v>
      </c>
      <c r="O57" s="12">
        <f t="shared" si="25"/>
        <v>3.4627500000000002</v>
      </c>
      <c r="P57" s="12">
        <f t="shared" si="25"/>
        <v>3.1164750000000003</v>
      </c>
      <c r="Q57" s="12">
        <f t="shared" si="25"/>
        <v>2.8048275000000005</v>
      </c>
      <c r="R57" s="12">
        <f t="shared" si="25"/>
        <v>2.5095825000000005</v>
      </c>
      <c r="S57" s="12">
        <f t="shared" si="25"/>
        <v>2.2143375000000005</v>
      </c>
      <c r="T57" s="12">
        <f t="shared" si="25"/>
        <v>1.9190925000000005</v>
      </c>
      <c r="U57" s="12">
        <f t="shared" si="25"/>
        <v>1.6238475000000006</v>
      </c>
      <c r="V57" s="12">
        <f t="shared" si="25"/>
        <v>1.3286025000000006</v>
      </c>
      <c r="W57" s="12">
        <f t="shared" si="25"/>
        <v>1.0333575000000006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5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-0.25</v>
      </c>
      <c r="L59" s="12">
        <f>-I23*L58-J23*K58-K23*J58-L23*I58</f>
        <v>-0.47499999999999998</v>
      </c>
      <c r="M59" s="12">
        <f>-I23*M58-J23*L58-K23*K58-L23*J58-M23*I58</f>
        <v>-0.42750000000000005</v>
      </c>
      <c r="N59" s="12">
        <f>-I23*N58-J23*M58-K23*L58-L23*K58-M23*J58-N23*I58</f>
        <v>-0.38475000000000004</v>
      </c>
      <c r="O59" s="12">
        <f>-I23*O58-J23*N58-K23*M58-L23*L58-M23*K58-N23*J58-O23*I58</f>
        <v>-0.346275</v>
      </c>
      <c r="P59" s="12">
        <f>-I23*P58-J23*O58-K23*N58-L23*M58-M23*L58-N23*K58-O23*J58-P23*I58</f>
        <v>-0.31164749999999997</v>
      </c>
      <c r="Q59" s="12">
        <f>-I23*Q58-J23*P58-K23*O58-L23*N58-M23*M58-N23*L58-O23*K58-P23*J58-Q23*I58</f>
        <v>-0.29524499999999998</v>
      </c>
      <c r="R59" s="12">
        <f>-I23*R58-J23*Q58-K23*P58-L23*O58-M23*N58-N23*M58-O23*L58-P23*K58-Q23*J58-R23*I58</f>
        <v>-0.29524499999999992</v>
      </c>
      <c r="S59" s="12">
        <f>-I23*S58-J23*R58-K23*Q58-L23*P58-M23*O58-N23*N58-O23*M58-P23*L58-Q23*K58-R23*J58-S23*I58</f>
        <v>-0.29524499999999998</v>
      </c>
      <c r="T59" s="12">
        <f>-I23*T58-J23*S58-K23*R58-L23*Q58-M23*P58-N23*O58-O23*N58-P23*M58-Q23*L58-R23*K58-S23*J58-T23*I58</f>
        <v>-0.29524499999999998</v>
      </c>
      <c r="U59" s="12">
        <f>-I23*U58-J23*T58-K23*S58-L23*R58-M23*Q58-N23*P58-O23*O58-P23*N58-Q23*M58-R23*L58-S23*K58-T23*J58-U23*I58</f>
        <v>-0.29524499999999998</v>
      </c>
      <c r="V59" s="12">
        <f>-I23*V58-J23*U58-K23*T58-L23*S58-M23*R58-N23*Q58-O23*P58-P23*O58-Q23*N58-R23*M58-S23*L58-T23*K58-U23*J58-V23*I58</f>
        <v>-0.29524499999999992</v>
      </c>
      <c r="W59" s="12">
        <f>-I23*W58-J23*V58-K23*U58-L23*T58-M23*S58-N23*R58-O23*Q58-P23*P58-Q23*O58-R23*N58-S23*M58-T23*L58-U23*K58-V23*J58-W23*I58</f>
        <v>-0.29524499999999987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4.75</v>
      </c>
      <c r="L60" s="20">
        <f t="shared" si="27"/>
        <v>4.2750000000000004</v>
      </c>
      <c r="M60" s="20">
        <f t="shared" si="27"/>
        <v>3.8475000000000001</v>
      </c>
      <c r="N60" s="20">
        <f t="shared" si="27"/>
        <v>3.4627500000000002</v>
      </c>
      <c r="O60" s="20">
        <f t="shared" si="27"/>
        <v>3.1164750000000003</v>
      </c>
      <c r="P60" s="20">
        <f t="shared" si="27"/>
        <v>2.8048275000000005</v>
      </c>
      <c r="Q60" s="20">
        <f t="shared" si="27"/>
        <v>2.5095825000000005</v>
      </c>
      <c r="R60" s="20">
        <f t="shared" si="27"/>
        <v>2.2143375000000005</v>
      </c>
      <c r="S60" s="20">
        <f t="shared" si="27"/>
        <v>1.9190925000000005</v>
      </c>
      <c r="T60" s="20">
        <f t="shared" si="27"/>
        <v>1.6238475000000006</v>
      </c>
      <c r="U60" s="20">
        <f t="shared" si="27"/>
        <v>1.3286025000000006</v>
      </c>
      <c r="V60" s="20">
        <f t="shared" si="27"/>
        <v>1.0333575000000006</v>
      </c>
      <c r="W60" s="20">
        <f t="shared" si="27"/>
        <v>0.73811250000000073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4.875</v>
      </c>
      <c r="M63" s="12">
        <f t="shared" si="28"/>
        <v>4.6312499999999996</v>
      </c>
      <c r="N63" s="12">
        <f t="shared" si="28"/>
        <v>4.3996874999999998</v>
      </c>
      <c r="O63" s="12">
        <f t="shared" si="28"/>
        <v>4.1797031249999996</v>
      </c>
      <c r="P63" s="12">
        <f t="shared" si="28"/>
        <v>3.9707179687499998</v>
      </c>
      <c r="Q63" s="12">
        <f t="shared" si="28"/>
        <v>3.7721820703124997</v>
      </c>
      <c r="R63" s="12">
        <f t="shared" si="28"/>
        <v>3.5835729667968748</v>
      </c>
      <c r="S63" s="12">
        <f t="shared" si="28"/>
        <v>3.4043943184570309</v>
      </c>
      <c r="T63" s="12">
        <f t="shared" si="28"/>
        <v>3.2341746025341793</v>
      </c>
      <c r="U63" s="12">
        <f t="shared" si="28"/>
        <v>3.0724658724074705</v>
      </c>
      <c r="V63" s="12">
        <f t="shared" si="28"/>
        <v>2.9188425787870971</v>
      </c>
      <c r="W63" s="12">
        <f t="shared" si="28"/>
        <v>2.7729004498477421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5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-0.125</v>
      </c>
      <c r="L65" s="12">
        <f t="shared" si="30"/>
        <v>-0.24375000000000002</v>
      </c>
      <c r="M65" s="12">
        <f t="shared" si="30"/>
        <v>-0.2315625</v>
      </c>
      <c r="N65" s="12">
        <f t="shared" si="30"/>
        <v>-0.21998437500000001</v>
      </c>
      <c r="O65" s="12">
        <f t="shared" si="30"/>
        <v>-0.20898515625</v>
      </c>
      <c r="P65" s="12">
        <f t="shared" si="30"/>
        <v>-0.1985358984375</v>
      </c>
      <c r="Q65" s="12">
        <f t="shared" si="30"/>
        <v>-0.18860910351562499</v>
      </c>
      <c r="R65" s="12">
        <f t="shared" si="30"/>
        <v>-0.17917864833984376</v>
      </c>
      <c r="S65" s="12">
        <f t="shared" si="30"/>
        <v>-0.17021971592285157</v>
      </c>
      <c r="T65" s="12">
        <f t="shared" si="30"/>
        <v>-0.16170873012670897</v>
      </c>
      <c r="U65" s="12">
        <f t="shared" si="30"/>
        <v>-0.15362329362037352</v>
      </c>
      <c r="V65" s="12">
        <f t="shared" si="30"/>
        <v>-0.14594212893935485</v>
      </c>
      <c r="W65" s="12">
        <f t="shared" si="30"/>
        <v>-0.13864502249238711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4.875</v>
      </c>
      <c r="L66" s="20">
        <f t="shared" si="31"/>
        <v>4.6312499999999996</v>
      </c>
      <c r="M66" s="20">
        <f t="shared" si="31"/>
        <v>4.3996874999999998</v>
      </c>
      <c r="N66" s="20">
        <f t="shared" si="31"/>
        <v>4.1797031249999996</v>
      </c>
      <c r="O66" s="20">
        <f t="shared" si="31"/>
        <v>3.9707179687499998</v>
      </c>
      <c r="P66" s="20">
        <f t="shared" si="31"/>
        <v>3.7721820703124997</v>
      </c>
      <c r="Q66" s="20">
        <f t="shared" si="31"/>
        <v>3.5835729667968748</v>
      </c>
      <c r="R66" s="20">
        <f t="shared" si="31"/>
        <v>3.4043943184570309</v>
      </c>
      <c r="S66" s="20">
        <f t="shared" si="31"/>
        <v>3.2341746025341793</v>
      </c>
      <c r="T66" s="20">
        <f t="shared" si="31"/>
        <v>3.0724658724074705</v>
      </c>
      <c r="U66" s="20">
        <f t="shared" si="31"/>
        <v>2.9188425787870971</v>
      </c>
      <c r="V66" s="20">
        <f t="shared" si="31"/>
        <v>2.7729004498477421</v>
      </c>
      <c r="W66" s="20">
        <f t="shared" si="31"/>
        <v>2.6342554273553551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4.3739750000000001E-2</v>
      </c>
      <c r="M69" s="12">
        <f t="shared" si="32"/>
        <v>0.12553277499999999</v>
      </c>
      <c r="N69" s="12">
        <f t="shared" si="32"/>
        <v>0.19649967374999999</v>
      </c>
      <c r="O69" s="12">
        <f t="shared" si="32"/>
        <v>0.25768050256249997</v>
      </c>
      <c r="P69" s="12">
        <f t="shared" si="32"/>
        <v>0.31001343993437497</v>
      </c>
      <c r="Q69" s="12">
        <f t="shared" si="32"/>
        <v>0.35434486793765618</v>
      </c>
      <c r="R69" s="12">
        <f t="shared" si="32"/>
        <v>0.39453852329077332</v>
      </c>
      <c r="S69" s="12">
        <f t="shared" si="32"/>
        <v>0.43407359337623463</v>
      </c>
      <c r="T69" s="12">
        <f t="shared" si="32"/>
        <v>0.47298300745742289</v>
      </c>
      <c r="U69" s="12">
        <f t="shared" si="32"/>
        <v>0.51129804833455172</v>
      </c>
      <c r="V69" s="12">
        <f t="shared" si="32"/>
        <v>0.54904843466782405</v>
      </c>
      <c r="W69" s="12">
        <f t="shared" si="32"/>
        <v>0.58626239918443279</v>
      </c>
    </row>
    <row r="70" spans="1:23" s="8" customFormat="1" x14ac:dyDescent="0.2">
      <c r="A70" s="10">
        <f>A69+1</f>
        <v>44</v>
      </c>
      <c r="D70" s="13" t="s">
        <v>74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3.8214749999999999E-2</v>
      </c>
      <c r="L70" s="12">
        <f t="shared" si="33"/>
        <v>7.1295524999999998E-2</v>
      </c>
      <c r="M70" s="12">
        <f t="shared" si="33"/>
        <v>6.1546773750000006E-2</v>
      </c>
      <c r="N70" s="12">
        <f t="shared" si="33"/>
        <v>5.278421006250001E-2</v>
      </c>
      <c r="O70" s="12">
        <f t="shared" si="33"/>
        <v>4.4908649559374993E-2</v>
      </c>
      <c r="P70" s="12">
        <f t="shared" si="33"/>
        <v>3.7830854581406247E-2</v>
      </c>
      <c r="Q70" s="12">
        <f t="shared" si="33"/>
        <v>3.4570610602335933E-2</v>
      </c>
      <c r="R70" s="12">
        <f t="shared" si="33"/>
        <v>3.4745677572219122E-2</v>
      </c>
      <c r="S70" s="12">
        <f t="shared" si="33"/>
        <v>3.4911991193608181E-2</v>
      </c>
      <c r="T70" s="12">
        <f t="shared" si="33"/>
        <v>3.5069989133927768E-2</v>
      </c>
      <c r="U70" s="12">
        <f t="shared" si="33"/>
        <v>3.5220087177231379E-2</v>
      </c>
      <c r="V70" s="12">
        <f t="shared" si="33"/>
        <v>3.5362680318369803E-2</v>
      </c>
      <c r="W70" s="12">
        <f t="shared" si="33"/>
        <v>3.5498143802451296E-2</v>
      </c>
    </row>
    <row r="71" spans="1:23" s="8" customFormat="1" x14ac:dyDescent="0.2">
      <c r="A71" s="10">
        <f>A70+1</f>
        <v>45</v>
      </c>
      <c r="D71" s="13" t="s">
        <v>75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5.5250000000000004E-3</v>
      </c>
      <c r="L71" s="12">
        <f t="shared" si="34"/>
        <v>1.0497500000000003E-2</v>
      </c>
      <c r="M71" s="12">
        <f t="shared" si="34"/>
        <v>9.4201250000000014E-3</v>
      </c>
      <c r="N71" s="12">
        <f t="shared" si="34"/>
        <v>8.3966187500000011E-3</v>
      </c>
      <c r="O71" s="12">
        <f t="shared" si="34"/>
        <v>7.4242878125000003E-3</v>
      </c>
      <c r="P71" s="12">
        <f t="shared" si="34"/>
        <v>6.5005734218750002E-3</v>
      </c>
      <c r="Q71" s="12">
        <f t="shared" si="34"/>
        <v>5.6230447507812495E-3</v>
      </c>
      <c r="R71" s="12">
        <f t="shared" si="34"/>
        <v>4.7893925132421892E-3</v>
      </c>
      <c r="S71" s="12">
        <f t="shared" si="34"/>
        <v>3.9974228875800785E-3</v>
      </c>
      <c r="T71" s="12">
        <f t="shared" si="34"/>
        <v>3.2450517432010733E-3</v>
      </c>
      <c r="U71" s="12">
        <f t="shared" si="34"/>
        <v>2.5302991560410197E-3</v>
      </c>
      <c r="V71" s="12">
        <f t="shared" si="34"/>
        <v>1.8512841982389688E-3</v>
      </c>
      <c r="W71" s="12">
        <f t="shared" si="34"/>
        <v>1.2062199883270206E-3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4.3739750000000001E-2</v>
      </c>
      <c r="L72" s="20">
        <f t="shared" si="35"/>
        <v>0.12553277499999999</v>
      </c>
      <c r="M72" s="20">
        <f t="shared" si="35"/>
        <v>0.19649967374999999</v>
      </c>
      <c r="N72" s="20">
        <f t="shared" si="35"/>
        <v>0.25768050256249997</v>
      </c>
      <c r="O72" s="20">
        <f t="shared" si="35"/>
        <v>0.31001343993437497</v>
      </c>
      <c r="P72" s="20">
        <f t="shared" si="35"/>
        <v>0.35434486793765618</v>
      </c>
      <c r="Q72" s="20">
        <f t="shared" si="35"/>
        <v>0.39453852329077332</v>
      </c>
      <c r="R72" s="20">
        <f t="shared" si="35"/>
        <v>0.43407359337623463</v>
      </c>
      <c r="S72" s="20">
        <f t="shared" si="35"/>
        <v>0.47298300745742289</v>
      </c>
      <c r="T72" s="20">
        <f t="shared" si="35"/>
        <v>0.51129804833455172</v>
      </c>
      <c r="U72" s="20">
        <f t="shared" si="35"/>
        <v>0.54904843466782405</v>
      </c>
      <c r="V72" s="20">
        <f t="shared" si="35"/>
        <v>0.58626239918443279</v>
      </c>
      <c r="W72" s="20">
        <f t="shared" si="35"/>
        <v>0.62296676297521114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2.1869875E-2</v>
      </c>
      <c r="L73" s="20">
        <f t="shared" si="36"/>
        <v>8.463626249999999E-2</v>
      </c>
      <c r="M73" s="20">
        <f t="shared" si="36"/>
        <v>0.16101622437499999</v>
      </c>
      <c r="N73" s="20">
        <f t="shared" si="36"/>
        <v>0.22709008815624998</v>
      </c>
      <c r="O73" s="20">
        <f t="shared" si="36"/>
        <v>0.2838469712484375</v>
      </c>
      <c r="P73" s="20">
        <f t="shared" si="36"/>
        <v>0.3321791539360156</v>
      </c>
      <c r="Q73" s="20">
        <f t="shared" si="36"/>
        <v>0.37444169561421475</v>
      </c>
      <c r="R73" s="20">
        <f t="shared" si="36"/>
        <v>0.41430605833350398</v>
      </c>
      <c r="S73" s="20">
        <f t="shared" si="36"/>
        <v>0.45352830041682879</v>
      </c>
      <c r="T73" s="20">
        <f t="shared" si="36"/>
        <v>0.49214052789598728</v>
      </c>
      <c r="U73" s="20">
        <f t="shared" si="36"/>
        <v>0.53017324150118794</v>
      </c>
      <c r="V73" s="20">
        <f t="shared" si="36"/>
        <v>0.56765541692612842</v>
      </c>
      <c r="W73" s="20">
        <f t="shared" si="36"/>
        <v>0.60461458107982202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2.5</v>
      </c>
      <c r="L76" s="12">
        <f t="shared" si="37"/>
        <v>5</v>
      </c>
      <c r="M76" s="12">
        <f t="shared" si="37"/>
        <v>5</v>
      </c>
      <c r="N76" s="12">
        <f t="shared" si="37"/>
        <v>5</v>
      </c>
      <c r="O76" s="12">
        <f t="shared" si="37"/>
        <v>5</v>
      </c>
      <c r="P76" s="12">
        <f t="shared" si="37"/>
        <v>5</v>
      </c>
      <c r="Q76" s="12">
        <f t="shared" si="37"/>
        <v>5</v>
      </c>
      <c r="R76" s="12">
        <f t="shared" si="37"/>
        <v>5</v>
      </c>
      <c r="S76" s="12">
        <f t="shared" si="37"/>
        <v>5</v>
      </c>
      <c r="T76" s="12">
        <f t="shared" si="37"/>
        <v>5</v>
      </c>
      <c r="U76" s="12">
        <f t="shared" si="37"/>
        <v>5</v>
      </c>
      <c r="V76" s="12">
        <f t="shared" si="37"/>
        <v>5</v>
      </c>
      <c r="W76" s="12">
        <f t="shared" si="37"/>
        <v>5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-3.125E-2</v>
      </c>
      <c r="L77" s="12">
        <f t="shared" si="38"/>
        <v>-0.125</v>
      </c>
      <c r="M77" s="12">
        <f t="shared" si="38"/>
        <v>-0.25</v>
      </c>
      <c r="N77" s="12">
        <f t="shared" si="38"/>
        <v>-0.375</v>
      </c>
      <c r="O77" s="12">
        <f t="shared" si="38"/>
        <v>-0.5</v>
      </c>
      <c r="P77" s="12">
        <f t="shared" si="38"/>
        <v>-0.625</v>
      </c>
      <c r="Q77" s="12">
        <f t="shared" si="38"/>
        <v>-0.75</v>
      </c>
      <c r="R77" s="12">
        <f t="shared" si="38"/>
        <v>-0.875</v>
      </c>
      <c r="S77" s="12">
        <f t="shared" si="38"/>
        <v>-1</v>
      </c>
      <c r="T77" s="12">
        <f t="shared" si="38"/>
        <v>-1.125</v>
      </c>
      <c r="U77" s="12">
        <f t="shared" si="38"/>
        <v>-1.25</v>
      </c>
      <c r="V77" s="12">
        <f t="shared" si="38"/>
        <v>-1.375</v>
      </c>
      <c r="W77" s="12">
        <f t="shared" si="38"/>
        <v>-1.5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-2.1869875E-2</v>
      </c>
      <c r="L79" s="12">
        <f t="shared" si="40"/>
        <v>-8.463626249999999E-2</v>
      </c>
      <c r="M79" s="12">
        <f t="shared" si="40"/>
        <v>-0.16101622437499999</v>
      </c>
      <c r="N79" s="12">
        <f t="shared" si="40"/>
        <v>-0.22709008815624998</v>
      </c>
      <c r="O79" s="12">
        <f t="shared" si="40"/>
        <v>-0.2838469712484375</v>
      </c>
      <c r="P79" s="12">
        <f t="shared" si="40"/>
        <v>-0.3321791539360156</v>
      </c>
      <c r="Q79" s="12">
        <f t="shared" si="40"/>
        <v>-0.37444169561421475</v>
      </c>
      <c r="R79" s="12">
        <f t="shared" si="40"/>
        <v>-0.41430605833350398</v>
      </c>
      <c r="S79" s="12">
        <f t="shared" si="40"/>
        <v>-0.45352830041682879</v>
      </c>
      <c r="T79" s="12">
        <f t="shared" si="40"/>
        <v>-0.49214052789598728</v>
      </c>
      <c r="U79" s="12">
        <f t="shared" si="40"/>
        <v>-0.53017324150118794</v>
      </c>
      <c r="V79" s="12">
        <f t="shared" si="40"/>
        <v>-0.56765541692612842</v>
      </c>
      <c r="W79" s="12">
        <f t="shared" si="40"/>
        <v>-0.60461458107982202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0</v>
      </c>
      <c r="J80" s="20">
        <f>SUM(J76:J79)</f>
        <v>0</v>
      </c>
      <c r="K80" s="20">
        <f t="shared" ref="K80:W80" si="41">SUM(K76:K79)</f>
        <v>2.4468801249999999</v>
      </c>
      <c r="L80" s="20">
        <f t="shared" si="41"/>
        <v>4.7903637374999999</v>
      </c>
      <c r="M80" s="20">
        <f t="shared" si="41"/>
        <v>4.5889837756249996</v>
      </c>
      <c r="N80" s="20">
        <f t="shared" si="41"/>
        <v>4.3979099118437501</v>
      </c>
      <c r="O80" s="20">
        <f t="shared" si="41"/>
        <v>4.2161530287515623</v>
      </c>
      <c r="P80" s="20">
        <f t="shared" si="41"/>
        <v>4.0428208460639841</v>
      </c>
      <c r="Q80" s="20">
        <f t="shared" si="41"/>
        <v>3.8755583043857853</v>
      </c>
      <c r="R80" s="20">
        <f t="shared" si="41"/>
        <v>3.7106939416664959</v>
      </c>
      <c r="S80" s="20">
        <f t="shared" si="41"/>
        <v>3.5464716995831713</v>
      </c>
      <c r="T80" s="20">
        <f t="shared" si="41"/>
        <v>3.3828594721040126</v>
      </c>
      <c r="U80" s="20">
        <f t="shared" si="41"/>
        <v>3.2198267584988121</v>
      </c>
      <c r="V80" s="20">
        <f t="shared" si="41"/>
        <v>3.0573445830738715</v>
      </c>
      <c r="W80" s="20">
        <f t="shared" si="41"/>
        <v>2.8953854189201778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6.25E-2</v>
      </c>
      <c r="L83" s="12">
        <f t="shared" si="42"/>
        <v>0.125</v>
      </c>
      <c r="M83" s="12">
        <f t="shared" si="42"/>
        <v>0.125</v>
      </c>
      <c r="N83" s="12">
        <f t="shared" si="42"/>
        <v>0.125</v>
      </c>
      <c r="O83" s="12">
        <f t="shared" si="42"/>
        <v>0.125</v>
      </c>
      <c r="P83" s="12">
        <f t="shared" si="42"/>
        <v>0.125</v>
      </c>
      <c r="Q83" s="12">
        <f t="shared" si="42"/>
        <v>0.125</v>
      </c>
      <c r="R83" s="12">
        <f t="shared" si="42"/>
        <v>0.125</v>
      </c>
      <c r="S83" s="12">
        <f t="shared" si="42"/>
        <v>0.125</v>
      </c>
      <c r="T83" s="12">
        <f t="shared" si="42"/>
        <v>0.125</v>
      </c>
      <c r="U83" s="12">
        <f t="shared" si="42"/>
        <v>0.125</v>
      </c>
      <c r="V83" s="12">
        <f t="shared" si="42"/>
        <v>0.125</v>
      </c>
      <c r="W83" s="12">
        <f t="shared" si="42"/>
        <v>0.125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7.3406403749999988E-2</v>
      </c>
      <c r="L84" s="12">
        <f t="shared" si="44"/>
        <v>0.14371091212499998</v>
      </c>
      <c r="M84" s="12">
        <f t="shared" si="44"/>
        <v>0.13766951326874999</v>
      </c>
      <c r="N84" s="12">
        <f t="shared" si="44"/>
        <v>0.13193729735531251</v>
      </c>
      <c r="O84" s="12">
        <f t="shared" si="44"/>
        <v>0.12648459086254688</v>
      </c>
      <c r="P84" s="12">
        <f t="shared" si="44"/>
        <v>0.12128462538191952</v>
      </c>
      <c r="Q84" s="12">
        <f t="shared" si="44"/>
        <v>0.11626674913157356</v>
      </c>
      <c r="R84" s="12">
        <f t="shared" si="44"/>
        <v>0.11132081824999487</v>
      </c>
      <c r="S84" s="12">
        <f t="shared" si="44"/>
        <v>0.10639415098749513</v>
      </c>
      <c r="T84" s="12">
        <f t="shared" si="44"/>
        <v>0.10148578416312037</v>
      </c>
      <c r="U84" s="12">
        <f t="shared" si="44"/>
        <v>9.6594802754964362E-2</v>
      </c>
      <c r="V84" s="12">
        <f t="shared" si="44"/>
        <v>9.1720337492216142E-2</v>
      </c>
      <c r="W84" s="12">
        <f t="shared" si="44"/>
        <v>8.6861562567605327E-2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0.134578406875</v>
      </c>
      <c r="L85" s="12">
        <f t="shared" si="45"/>
        <v>0.2634700055625</v>
      </c>
      <c r="M85" s="12">
        <f t="shared" si="45"/>
        <v>0.25239410765937498</v>
      </c>
      <c r="N85" s="12">
        <f t="shared" si="45"/>
        <v>0.24188504515140627</v>
      </c>
      <c r="O85" s="12">
        <f t="shared" si="45"/>
        <v>0.23188841658133594</v>
      </c>
      <c r="P85" s="12">
        <f t="shared" si="45"/>
        <v>0.22235514653351912</v>
      </c>
      <c r="Q85" s="12">
        <f t="shared" si="45"/>
        <v>0.2131557067412182</v>
      </c>
      <c r="R85" s="12">
        <f t="shared" si="45"/>
        <v>0.20408816679165728</v>
      </c>
      <c r="S85" s="12">
        <f t="shared" si="45"/>
        <v>0.19505594347707442</v>
      </c>
      <c r="T85" s="12">
        <f t="shared" si="45"/>
        <v>0.18605727096572069</v>
      </c>
      <c r="U85" s="12">
        <f t="shared" si="45"/>
        <v>0.17709047171743467</v>
      </c>
      <c r="V85" s="12">
        <f t="shared" si="45"/>
        <v>0.16815395206906295</v>
      </c>
      <c r="W85" s="12">
        <f t="shared" si="45"/>
        <v>0.15924619804060977</v>
      </c>
    </row>
    <row r="86" spans="1:24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3.5774006890822781E-2</v>
      </c>
      <c r="L86" s="12">
        <f t="shared" si="46"/>
        <v>7.0036330592563284E-2</v>
      </c>
      <c r="M86" s="12">
        <f t="shared" si="46"/>
        <v>6.7092104567681943E-2</v>
      </c>
      <c r="N86" s="12">
        <f t="shared" si="46"/>
        <v>6.4298556306070023E-2</v>
      </c>
      <c r="O86" s="12">
        <f t="shared" si="46"/>
        <v>6.164122466086145E-2</v>
      </c>
      <c r="P86" s="12">
        <f t="shared" si="46"/>
        <v>5.9107064268403814E-2</v>
      </c>
      <c r="Q86" s="12">
        <f t="shared" si="46"/>
        <v>5.6661643564121289E-2</v>
      </c>
      <c r="R86" s="12">
        <f t="shared" si="46"/>
        <v>5.4251284843351927E-2</v>
      </c>
      <c r="S86" s="12">
        <f t="shared" si="46"/>
        <v>5.185031408884256E-2</v>
      </c>
      <c r="T86" s="12">
        <f t="shared" si="46"/>
        <v>4.9458261902280178E-2</v>
      </c>
      <c r="U86" s="12">
        <f t="shared" si="46"/>
        <v>4.707468235526744E-2</v>
      </c>
      <c r="V86" s="12">
        <f t="shared" si="46"/>
        <v>4.469915181582685E-2</v>
      </c>
      <c r="W86" s="12">
        <f t="shared" si="46"/>
        <v>4.2331267833579808E-2</v>
      </c>
    </row>
    <row r="87" spans="1:24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1.6519474963688829E-2</v>
      </c>
      <c r="L87" s="12">
        <f t="shared" si="47"/>
        <v>3.2340895256809561E-2</v>
      </c>
      <c r="M87" s="12">
        <f t="shared" si="47"/>
        <v>3.0981330803940142E-2</v>
      </c>
      <c r="N87" s="12">
        <f t="shared" si="47"/>
        <v>2.9691345292717098E-2</v>
      </c>
      <c r="O87" s="12">
        <f t="shared" si="47"/>
        <v>2.84642609541578E-2</v>
      </c>
      <c r="P87" s="12">
        <f t="shared" si="47"/>
        <v>2.7294053789918813E-2</v>
      </c>
      <c r="Q87" s="12">
        <f t="shared" si="47"/>
        <v>2.6164824228819671E-2</v>
      </c>
      <c r="R87" s="12">
        <f t="shared" si="47"/>
        <v>2.5051785349423889E-2</v>
      </c>
      <c r="S87" s="12">
        <f t="shared" si="47"/>
        <v>2.3943081580547459E-2</v>
      </c>
      <c r="T87" s="12">
        <f t="shared" si="47"/>
        <v>2.2838496166664415E-2</v>
      </c>
      <c r="U87" s="12">
        <f t="shared" si="47"/>
        <v>2.1737823190025086E-2</v>
      </c>
      <c r="V87" s="12">
        <f t="shared" si="47"/>
        <v>2.0640867028767287E-2</v>
      </c>
      <c r="W87" s="12">
        <f t="shared" si="47"/>
        <v>1.954744184212194E-2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0.1</v>
      </c>
      <c r="M88" s="12">
        <f t="shared" si="48"/>
        <v>0.10200000000000001</v>
      </c>
      <c r="N88" s="12">
        <f t="shared" si="48"/>
        <v>0.10404000000000001</v>
      </c>
      <c r="O88" s="12">
        <f t="shared" si="48"/>
        <v>0.10612080000000002</v>
      </c>
      <c r="P88" s="12">
        <f t="shared" si="48"/>
        <v>0.10824321600000002</v>
      </c>
      <c r="Q88" s="12">
        <f t="shared" si="48"/>
        <v>0.11040808032000002</v>
      </c>
      <c r="R88" s="12">
        <f t="shared" si="48"/>
        <v>0.11261624192640002</v>
      </c>
      <c r="S88" s="12">
        <f t="shared" si="48"/>
        <v>0.11486856676492802</v>
      </c>
      <c r="T88" s="12">
        <f t="shared" si="48"/>
        <v>0.11716593810022657</v>
      </c>
      <c r="U88" s="12">
        <f t="shared" si="48"/>
        <v>0.11950925686223111</v>
      </c>
      <c r="V88" s="12">
        <f t="shared" si="48"/>
        <v>0.12189944199947574</v>
      </c>
      <c r="W88" s="12">
        <f t="shared" si="48"/>
        <v>0.12433743083946525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0.32277829247951156</v>
      </c>
      <c r="L89" s="20">
        <f t="shared" si="49"/>
        <v>0.73455814353687288</v>
      </c>
      <c r="M89" s="20">
        <f t="shared" si="49"/>
        <v>0.71513705629974711</v>
      </c>
      <c r="N89" s="20">
        <f t="shared" si="49"/>
        <v>0.69685224410550595</v>
      </c>
      <c r="O89" s="20">
        <f t="shared" si="49"/>
        <v>0.67959929305890199</v>
      </c>
      <c r="P89" s="20">
        <f t="shared" si="49"/>
        <v>0.6632841059737612</v>
      </c>
      <c r="Q89" s="20">
        <f t="shared" si="49"/>
        <v>0.64765700398573278</v>
      </c>
      <c r="R89" s="20">
        <f t="shared" si="49"/>
        <v>0.63232829716082795</v>
      </c>
      <c r="S89" s="20">
        <f t="shared" si="49"/>
        <v>0.61711205689888748</v>
      </c>
      <c r="T89" s="20">
        <f t="shared" si="49"/>
        <v>0.60200575129801215</v>
      </c>
      <c r="U89" s="20">
        <f t="shared" si="49"/>
        <v>0.58700703687992262</v>
      </c>
      <c r="V89" s="20">
        <f t="shared" si="49"/>
        <v>0.57211375040534895</v>
      </c>
      <c r="W89" s="20">
        <f t="shared" si="49"/>
        <v>0.55732390112338215</v>
      </c>
      <c r="X89" s="44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zoomScale="145" zoomScaleNormal="145" workbookViewId="0">
      <selection activeCell="M10" sqref="M10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112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f>Summary!H3</f>
        <v>2020</v>
      </c>
      <c r="I3" s="5">
        <f>Summary!I3</f>
        <v>2021</v>
      </c>
      <c r="J3" s="5">
        <f>Summary!J3</f>
        <v>2022</v>
      </c>
      <c r="K3" s="5">
        <f>Summary!K3</f>
        <v>2023</v>
      </c>
      <c r="L3" s="5">
        <f>Summary!L3</f>
        <v>2024</v>
      </c>
      <c r="M3" s="5">
        <f>Summary!M3</f>
        <v>2025</v>
      </c>
      <c r="N3" s="5">
        <f>Summary!N3</f>
        <v>2026</v>
      </c>
      <c r="O3" s="5">
        <f>Summary!O3</f>
        <v>2027</v>
      </c>
      <c r="P3" s="5">
        <f>Summary!P3</f>
        <v>2028</v>
      </c>
      <c r="Q3" s="5">
        <f>Summary!Q3</f>
        <v>2029</v>
      </c>
      <c r="R3" s="5">
        <f>Summary!R3</f>
        <v>2030</v>
      </c>
      <c r="S3" s="5">
        <f>Summary!S3</f>
        <v>2031</v>
      </c>
      <c r="T3" s="5">
        <f>Summary!T3</f>
        <v>2032</v>
      </c>
      <c r="U3" s="5">
        <f>Summary!U3</f>
        <v>2033</v>
      </c>
      <c r="V3" s="5">
        <f>Summary!V3</f>
        <v>2034</v>
      </c>
      <c r="W3" s="5">
        <f>Summary!W3</f>
        <v>2035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2022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46">
        <v>0</v>
      </c>
      <c r="J8" s="46">
        <v>5</v>
      </c>
      <c r="K8" s="46">
        <v>5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51" t="s">
        <v>111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23"/>
      <c r="I25" s="40">
        <f t="shared" ref="I25:W25" si="6">$F25</f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0</v>
      </c>
      <c r="J36" s="12">
        <f t="shared" si="10"/>
        <v>5</v>
      </c>
      <c r="K36" s="12">
        <f t="shared" si="10"/>
        <v>5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AFUDC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-5</v>
      </c>
      <c r="K38" s="12">
        <f t="shared" si="12"/>
        <v>-5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5</v>
      </c>
      <c r="L43" s="12">
        <f t="shared" si="15"/>
        <v>10</v>
      </c>
      <c r="M43" s="12">
        <f t="shared" si="15"/>
        <v>10</v>
      </c>
      <c r="N43" s="12">
        <f t="shared" si="15"/>
        <v>10</v>
      </c>
      <c r="O43" s="12">
        <f t="shared" si="15"/>
        <v>10</v>
      </c>
      <c r="P43" s="12">
        <f t="shared" si="15"/>
        <v>10</v>
      </c>
      <c r="Q43" s="12">
        <f t="shared" si="15"/>
        <v>10</v>
      </c>
      <c r="R43" s="12">
        <f t="shared" si="15"/>
        <v>10</v>
      </c>
      <c r="S43" s="12">
        <f t="shared" si="15"/>
        <v>10</v>
      </c>
      <c r="T43" s="12">
        <f t="shared" si="15"/>
        <v>10</v>
      </c>
      <c r="U43" s="12">
        <f t="shared" si="15"/>
        <v>10</v>
      </c>
      <c r="V43" s="12">
        <f t="shared" si="15"/>
        <v>10</v>
      </c>
      <c r="W43" s="12">
        <f t="shared" si="15"/>
        <v>10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5</v>
      </c>
      <c r="K44" s="12">
        <f t="shared" si="16"/>
        <v>5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5</v>
      </c>
      <c r="K46" s="20">
        <f t="shared" ref="K46:W46" si="18">SUM(K43:K45)</f>
        <v>10</v>
      </c>
      <c r="L46" s="20">
        <f t="shared" si="18"/>
        <v>10</v>
      </c>
      <c r="M46" s="20">
        <f t="shared" si="18"/>
        <v>10</v>
      </c>
      <c r="N46" s="20">
        <f t="shared" si="18"/>
        <v>10</v>
      </c>
      <c r="O46" s="20">
        <f t="shared" si="18"/>
        <v>10</v>
      </c>
      <c r="P46" s="20">
        <f t="shared" si="18"/>
        <v>10</v>
      </c>
      <c r="Q46" s="20">
        <f t="shared" si="18"/>
        <v>10</v>
      </c>
      <c r="R46" s="20">
        <f t="shared" si="18"/>
        <v>10</v>
      </c>
      <c r="S46" s="20">
        <f t="shared" si="18"/>
        <v>10</v>
      </c>
      <c r="T46" s="20">
        <f t="shared" si="18"/>
        <v>10</v>
      </c>
      <c r="U46" s="20">
        <f t="shared" si="18"/>
        <v>10</v>
      </c>
      <c r="V46" s="20">
        <f t="shared" si="18"/>
        <v>10</v>
      </c>
      <c r="W46" s="20">
        <f t="shared" si="18"/>
        <v>10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2.5</v>
      </c>
      <c r="K47" s="20">
        <f t="shared" ref="K47:W47" si="19">(K43+K46)/2</f>
        <v>7.5</v>
      </c>
      <c r="L47" s="20">
        <f t="shared" si="19"/>
        <v>10</v>
      </c>
      <c r="M47" s="20">
        <f t="shared" si="19"/>
        <v>10</v>
      </c>
      <c r="N47" s="20">
        <f t="shared" si="19"/>
        <v>10</v>
      </c>
      <c r="O47" s="20">
        <f t="shared" si="19"/>
        <v>10</v>
      </c>
      <c r="P47" s="20">
        <f t="shared" si="19"/>
        <v>10</v>
      </c>
      <c r="Q47" s="20">
        <f t="shared" si="19"/>
        <v>10</v>
      </c>
      <c r="R47" s="20">
        <f t="shared" si="19"/>
        <v>10</v>
      </c>
      <c r="S47" s="20">
        <f t="shared" si="19"/>
        <v>10</v>
      </c>
      <c r="T47" s="20">
        <f t="shared" si="19"/>
        <v>10</v>
      </c>
      <c r="U47" s="20">
        <f t="shared" si="19"/>
        <v>10</v>
      </c>
      <c r="V47" s="20">
        <f t="shared" si="19"/>
        <v>10</v>
      </c>
      <c r="W47" s="20">
        <f t="shared" si="19"/>
        <v>10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6.25E-2</v>
      </c>
      <c r="L50" s="12">
        <f t="shared" si="20"/>
        <v>0.25</v>
      </c>
      <c r="M50" s="12">
        <f t="shared" si="20"/>
        <v>0.5</v>
      </c>
      <c r="N50" s="12">
        <f t="shared" si="20"/>
        <v>0.75</v>
      </c>
      <c r="O50" s="12">
        <f t="shared" si="20"/>
        <v>1</v>
      </c>
      <c r="P50" s="12">
        <f t="shared" si="20"/>
        <v>1.25</v>
      </c>
      <c r="Q50" s="12">
        <f t="shared" si="20"/>
        <v>1.5</v>
      </c>
      <c r="R50" s="12">
        <f t="shared" si="20"/>
        <v>1.75</v>
      </c>
      <c r="S50" s="12">
        <f t="shared" si="20"/>
        <v>2</v>
      </c>
      <c r="T50" s="12">
        <f t="shared" si="20"/>
        <v>2.25</v>
      </c>
      <c r="U50" s="12">
        <f t="shared" si="20"/>
        <v>2.5</v>
      </c>
      <c r="V50" s="12">
        <f t="shared" si="20"/>
        <v>2.75</v>
      </c>
      <c r="W50" s="12">
        <f t="shared" si="20"/>
        <v>3</v>
      </c>
    </row>
    <row r="51" spans="1:23" s="8" customFormat="1" x14ac:dyDescent="0.2">
      <c r="A51" s="10">
        <f>A50+1</f>
        <v>31</v>
      </c>
      <c r="D51" s="13" t="s">
        <v>69</v>
      </c>
      <c r="E51" s="19"/>
      <c r="I51" s="12">
        <f>MAX(I13*(I43+0.5*I44),0)</f>
        <v>0</v>
      </c>
      <c r="J51" s="12">
        <f t="shared" ref="J51:W51" si="21">MIN(J13*(J43+0.5*J44),J43+J44-I53)</f>
        <v>6.25E-2</v>
      </c>
      <c r="K51" s="12">
        <f t="shared" si="21"/>
        <v>0.1875</v>
      </c>
      <c r="L51" s="12">
        <f t="shared" si="21"/>
        <v>0.25</v>
      </c>
      <c r="M51" s="12">
        <f t="shared" si="21"/>
        <v>0.25</v>
      </c>
      <c r="N51" s="12">
        <f t="shared" si="21"/>
        <v>0.25</v>
      </c>
      <c r="O51" s="12">
        <f t="shared" si="21"/>
        <v>0.25</v>
      </c>
      <c r="P51" s="12">
        <f t="shared" si="21"/>
        <v>0.25</v>
      </c>
      <c r="Q51" s="12">
        <f t="shared" si="21"/>
        <v>0.25</v>
      </c>
      <c r="R51" s="12">
        <f t="shared" si="21"/>
        <v>0.25</v>
      </c>
      <c r="S51" s="12">
        <f t="shared" si="21"/>
        <v>0.25</v>
      </c>
      <c r="T51" s="12">
        <f t="shared" si="21"/>
        <v>0.25</v>
      </c>
      <c r="U51" s="12">
        <f t="shared" si="21"/>
        <v>0.25</v>
      </c>
      <c r="V51" s="12">
        <f t="shared" si="21"/>
        <v>0.25</v>
      </c>
      <c r="W51" s="12">
        <f t="shared" si="21"/>
        <v>0.25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6.25E-2</v>
      </c>
      <c r="K53" s="20">
        <f t="shared" ref="K53:W53" si="23">SUM(K50:K52)</f>
        <v>0.25</v>
      </c>
      <c r="L53" s="20">
        <f t="shared" si="23"/>
        <v>0.5</v>
      </c>
      <c r="M53" s="20">
        <f t="shared" si="23"/>
        <v>0.75</v>
      </c>
      <c r="N53" s="20">
        <f t="shared" si="23"/>
        <v>1</v>
      </c>
      <c r="O53" s="20">
        <f t="shared" si="23"/>
        <v>1.25</v>
      </c>
      <c r="P53" s="20">
        <f t="shared" si="23"/>
        <v>1.5</v>
      </c>
      <c r="Q53" s="20">
        <f t="shared" si="23"/>
        <v>1.75</v>
      </c>
      <c r="R53" s="20">
        <f t="shared" si="23"/>
        <v>2</v>
      </c>
      <c r="S53" s="20">
        <f t="shared" si="23"/>
        <v>2.25</v>
      </c>
      <c r="T53" s="20">
        <f t="shared" si="23"/>
        <v>2.5</v>
      </c>
      <c r="U53" s="20">
        <f t="shared" si="23"/>
        <v>2.75</v>
      </c>
      <c r="V53" s="20">
        <f t="shared" si="23"/>
        <v>3</v>
      </c>
      <c r="W53" s="20">
        <f t="shared" si="23"/>
        <v>3.25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3.125E-2</v>
      </c>
      <c r="K54" s="20">
        <f t="shared" ref="K54:W54" si="24">(K50+K53)/2</f>
        <v>0.15625</v>
      </c>
      <c r="L54" s="20">
        <f t="shared" si="24"/>
        <v>0.375</v>
      </c>
      <c r="M54" s="20">
        <f t="shared" si="24"/>
        <v>0.625</v>
      </c>
      <c r="N54" s="20">
        <f t="shared" si="24"/>
        <v>0.875</v>
      </c>
      <c r="O54" s="20">
        <f t="shared" si="24"/>
        <v>1.125</v>
      </c>
      <c r="P54" s="20">
        <f t="shared" si="24"/>
        <v>1.375</v>
      </c>
      <c r="Q54" s="20">
        <f t="shared" si="24"/>
        <v>1.625</v>
      </c>
      <c r="R54" s="20">
        <f t="shared" si="24"/>
        <v>1.875</v>
      </c>
      <c r="S54" s="20">
        <f t="shared" si="24"/>
        <v>2.125</v>
      </c>
      <c r="T54" s="20">
        <f t="shared" si="24"/>
        <v>2.375</v>
      </c>
      <c r="U54" s="20">
        <f t="shared" si="24"/>
        <v>2.625</v>
      </c>
      <c r="V54" s="20">
        <f t="shared" si="24"/>
        <v>2.875</v>
      </c>
      <c r="W54" s="20">
        <f t="shared" si="24"/>
        <v>3.125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4.75</v>
      </c>
      <c r="L57" s="12">
        <f t="shared" si="25"/>
        <v>9.0250000000000004</v>
      </c>
      <c r="M57" s="12">
        <f t="shared" si="25"/>
        <v>8.1225000000000005</v>
      </c>
      <c r="N57" s="12">
        <f t="shared" si="25"/>
        <v>7.3102499999999999</v>
      </c>
      <c r="O57" s="12">
        <f t="shared" si="25"/>
        <v>6.5792250000000001</v>
      </c>
      <c r="P57" s="12">
        <f t="shared" si="25"/>
        <v>5.9213025000000004</v>
      </c>
      <c r="Q57" s="12">
        <f t="shared" si="25"/>
        <v>5.3144100000000005</v>
      </c>
      <c r="R57" s="12">
        <f t="shared" si="25"/>
        <v>4.7239200000000006</v>
      </c>
      <c r="S57" s="12">
        <f t="shared" si="25"/>
        <v>4.1334300000000006</v>
      </c>
      <c r="T57" s="12">
        <f t="shared" si="25"/>
        <v>3.5429400000000006</v>
      </c>
      <c r="U57" s="12">
        <f t="shared" si="25"/>
        <v>2.9524500000000007</v>
      </c>
      <c r="V57" s="12">
        <f t="shared" si="25"/>
        <v>2.3619600000000007</v>
      </c>
      <c r="W57" s="12">
        <f t="shared" si="25"/>
        <v>1.771470000000001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5</v>
      </c>
      <c r="K58" s="12">
        <f t="shared" si="26"/>
        <v>5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I59" s="12">
        <f>-I23*I58</f>
        <v>0</v>
      </c>
      <c r="J59" s="12">
        <f>-I23*J58-J23*I58</f>
        <v>-0.25</v>
      </c>
      <c r="K59" s="12">
        <f>-I23*K58-J23*J58-K23*I58</f>
        <v>-0.72499999999999998</v>
      </c>
      <c r="L59" s="12">
        <f>-I23*L58-J23*K58-K23*J58-L23*I58</f>
        <v>-0.90250000000000008</v>
      </c>
      <c r="M59" s="12">
        <f>-I23*M58-J23*L58-K23*K58-L23*J58-M23*I58</f>
        <v>-0.81225000000000014</v>
      </c>
      <c r="N59" s="12">
        <f>-I23*N58-J23*M58-K23*L58-L23*K58-M23*J58-N23*I58</f>
        <v>-0.73102500000000004</v>
      </c>
      <c r="O59" s="12">
        <f>-I23*O58-J23*N58-K23*M58-L23*L58-M23*K58-N23*J58-O23*I58</f>
        <v>-0.65792249999999997</v>
      </c>
      <c r="P59" s="12">
        <f>-I23*P58-J23*O58-K23*N58-L23*M58-M23*L58-N23*K58-O23*J58-P23*I58</f>
        <v>-0.60689249999999995</v>
      </c>
      <c r="Q59" s="12">
        <f>-I23*Q58-J23*P58-K23*O58-L23*N58-M23*M58-N23*L58-O23*K58-P23*J58-Q23*I58</f>
        <v>-0.59048999999999996</v>
      </c>
      <c r="R59" s="12">
        <f>-I23*R58-J23*Q58-K23*P58-L23*O58-M23*N58-N23*M58-O23*L58-P23*K58-Q23*J58-R23*I58</f>
        <v>-0.59048999999999996</v>
      </c>
      <c r="S59" s="12">
        <f>-I23*S58-J23*R58-K23*Q58-L23*P58-M23*O58-N23*N58-O23*M58-P23*L58-Q23*K58-R23*J58-S23*I58</f>
        <v>-0.59048999999999996</v>
      </c>
      <c r="T59" s="12">
        <f>-I23*T58-J23*S58-K23*R58-L23*Q58-M23*P58-N23*O58-O23*N58-P23*M58-Q23*L58-R23*K58-S23*J58-T23*I58</f>
        <v>-0.59048999999999996</v>
      </c>
      <c r="U59" s="12">
        <f>-I23*U58-J23*T58-K23*S58-L23*R58-M23*Q58-N23*P58-O23*O58-P23*N58-Q23*M58-R23*L58-S23*K58-T23*J58-U23*I58</f>
        <v>-0.59048999999999996</v>
      </c>
      <c r="V59" s="12">
        <f>-I23*V58-J23*U58-K23*T58-L23*S58-M23*R58-N23*Q58-O23*P58-P23*O58-Q23*N58-R23*M58-S23*L58-T23*K58-U23*J58-V23*I58</f>
        <v>-0.59048999999999974</v>
      </c>
      <c r="W59" s="12">
        <f>-I23*W58-J23*V58-K23*U58-L23*T58-M23*S58-N23*R58-O23*Q58-P23*P58-Q23*O58-R23*N58-S23*M58-T23*L58-U23*K58-V23*J58-W23*I58</f>
        <v>-0.59048999999999963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4.75</v>
      </c>
      <c r="K60" s="20">
        <f t="shared" si="27"/>
        <v>9.0250000000000004</v>
      </c>
      <c r="L60" s="20">
        <f t="shared" si="27"/>
        <v>8.1225000000000005</v>
      </c>
      <c r="M60" s="20">
        <f t="shared" si="27"/>
        <v>7.3102499999999999</v>
      </c>
      <c r="N60" s="20">
        <f t="shared" si="27"/>
        <v>6.5792250000000001</v>
      </c>
      <c r="O60" s="20">
        <f t="shared" si="27"/>
        <v>5.9213025000000004</v>
      </c>
      <c r="P60" s="20">
        <f t="shared" si="27"/>
        <v>5.3144100000000005</v>
      </c>
      <c r="Q60" s="20">
        <f t="shared" si="27"/>
        <v>4.7239200000000006</v>
      </c>
      <c r="R60" s="20">
        <f t="shared" si="27"/>
        <v>4.1334300000000006</v>
      </c>
      <c r="S60" s="20">
        <f t="shared" si="27"/>
        <v>3.5429400000000006</v>
      </c>
      <c r="T60" s="20">
        <f t="shared" si="27"/>
        <v>2.9524500000000007</v>
      </c>
      <c r="U60" s="20">
        <f t="shared" si="27"/>
        <v>2.3619600000000007</v>
      </c>
      <c r="V60" s="20">
        <f t="shared" si="27"/>
        <v>1.771470000000001</v>
      </c>
      <c r="W60" s="20">
        <f t="shared" si="27"/>
        <v>1.1809800000000013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4.875</v>
      </c>
      <c r="L63" s="12">
        <f t="shared" si="28"/>
        <v>9.5062499999999996</v>
      </c>
      <c r="M63" s="12">
        <f t="shared" si="28"/>
        <v>9.0309375000000003</v>
      </c>
      <c r="N63" s="12">
        <f t="shared" si="28"/>
        <v>8.5793906250000003</v>
      </c>
      <c r="O63" s="12">
        <f t="shared" si="28"/>
        <v>8.1504210937499995</v>
      </c>
      <c r="P63" s="12">
        <f t="shared" si="28"/>
        <v>7.7429000390624996</v>
      </c>
      <c r="Q63" s="12">
        <f t="shared" si="28"/>
        <v>7.3557550371093745</v>
      </c>
      <c r="R63" s="12">
        <f t="shared" si="28"/>
        <v>6.9879672852539061</v>
      </c>
      <c r="S63" s="12">
        <f t="shared" si="28"/>
        <v>6.6385689209912107</v>
      </c>
      <c r="T63" s="12">
        <f t="shared" si="28"/>
        <v>6.3066404749416503</v>
      </c>
      <c r="U63" s="12">
        <f t="shared" si="28"/>
        <v>5.991308451194568</v>
      </c>
      <c r="V63" s="12">
        <f t="shared" si="28"/>
        <v>5.6917430286348392</v>
      </c>
      <c r="W63" s="12">
        <f t="shared" si="28"/>
        <v>5.4071558772030972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5</v>
      </c>
      <c r="K64" s="12">
        <f t="shared" si="29"/>
        <v>5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I65" s="12">
        <f t="shared" ref="I65:W65" si="30">-I13*$F27*(I63+0.5*I64)</f>
        <v>0</v>
      </c>
      <c r="J65" s="12">
        <f t="shared" si="30"/>
        <v>-0.125</v>
      </c>
      <c r="K65" s="12">
        <f t="shared" si="30"/>
        <v>-0.36875000000000002</v>
      </c>
      <c r="L65" s="12">
        <f t="shared" si="30"/>
        <v>-0.47531250000000003</v>
      </c>
      <c r="M65" s="12">
        <f t="shared" si="30"/>
        <v>-0.45154687500000001</v>
      </c>
      <c r="N65" s="12">
        <f t="shared" si="30"/>
        <v>-0.42896953125000004</v>
      </c>
      <c r="O65" s="12">
        <f t="shared" si="30"/>
        <v>-0.4075210546875</v>
      </c>
      <c r="P65" s="12">
        <f t="shared" si="30"/>
        <v>-0.38714500195312501</v>
      </c>
      <c r="Q65" s="12">
        <f t="shared" si="30"/>
        <v>-0.36778775185546875</v>
      </c>
      <c r="R65" s="12">
        <f t="shared" si="30"/>
        <v>-0.34939836426269533</v>
      </c>
      <c r="S65" s="12">
        <f t="shared" si="30"/>
        <v>-0.33192844604956057</v>
      </c>
      <c r="T65" s="12">
        <f t="shared" si="30"/>
        <v>-0.31533202374708252</v>
      </c>
      <c r="U65" s="12">
        <f t="shared" si="30"/>
        <v>-0.2995654225597284</v>
      </c>
      <c r="V65" s="12">
        <f t="shared" si="30"/>
        <v>-0.28458715143174196</v>
      </c>
      <c r="W65" s="12">
        <f t="shared" si="30"/>
        <v>-0.27035779386015485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4.875</v>
      </c>
      <c r="K66" s="20">
        <f t="shared" si="31"/>
        <v>9.5062499999999996</v>
      </c>
      <c r="L66" s="20">
        <f t="shared" si="31"/>
        <v>9.0309375000000003</v>
      </c>
      <c r="M66" s="20">
        <f t="shared" si="31"/>
        <v>8.5793906250000003</v>
      </c>
      <c r="N66" s="20">
        <f t="shared" si="31"/>
        <v>8.1504210937499995</v>
      </c>
      <c r="O66" s="20">
        <f t="shared" si="31"/>
        <v>7.7429000390624996</v>
      </c>
      <c r="P66" s="20">
        <f t="shared" si="31"/>
        <v>7.3557550371093745</v>
      </c>
      <c r="Q66" s="20">
        <f t="shared" si="31"/>
        <v>6.9879672852539061</v>
      </c>
      <c r="R66" s="20">
        <f t="shared" si="31"/>
        <v>6.6385689209912107</v>
      </c>
      <c r="S66" s="20">
        <f t="shared" si="31"/>
        <v>6.3066404749416503</v>
      </c>
      <c r="T66" s="20">
        <f t="shared" si="31"/>
        <v>5.991308451194568</v>
      </c>
      <c r="U66" s="20">
        <f t="shared" si="31"/>
        <v>5.6917430286348392</v>
      </c>
      <c r="V66" s="20">
        <f t="shared" si="31"/>
        <v>5.4071558772030972</v>
      </c>
      <c r="W66" s="20">
        <f t="shared" si="31"/>
        <v>5.1367980833429421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4.3739750000000001E-2</v>
      </c>
      <c r="L69" s="12">
        <f t="shared" si="32"/>
        <v>0.16927252499999998</v>
      </c>
      <c r="M69" s="12">
        <f t="shared" si="32"/>
        <v>0.32203244874999998</v>
      </c>
      <c r="N69" s="12">
        <f t="shared" si="32"/>
        <v>0.45418017631249996</v>
      </c>
      <c r="O69" s="12">
        <f t="shared" si="32"/>
        <v>0.56769394249687499</v>
      </c>
      <c r="P69" s="12">
        <f t="shared" si="32"/>
        <v>0.66435830787203121</v>
      </c>
      <c r="Q69" s="12">
        <f t="shared" si="32"/>
        <v>0.74888339122842962</v>
      </c>
      <c r="R69" s="12">
        <f t="shared" si="32"/>
        <v>0.82861211666700807</v>
      </c>
      <c r="S69" s="12">
        <f t="shared" si="32"/>
        <v>0.90705660083365769</v>
      </c>
      <c r="T69" s="12">
        <f t="shared" si="32"/>
        <v>0.98428105579197489</v>
      </c>
      <c r="U69" s="12">
        <f t="shared" si="32"/>
        <v>1.0603464830023763</v>
      </c>
      <c r="V69" s="12">
        <f t="shared" si="32"/>
        <v>1.1353108338522575</v>
      </c>
      <c r="W69" s="12">
        <f t="shared" si="32"/>
        <v>1.2092291621596445</v>
      </c>
    </row>
    <row r="70" spans="1:23" s="8" customFormat="1" x14ac:dyDescent="0.2">
      <c r="A70" s="10">
        <f>A69+1</f>
        <v>44</v>
      </c>
      <c r="D70" s="13" t="s">
        <v>74</v>
      </c>
      <c r="E70" s="19"/>
      <c r="I70" s="12">
        <f>($F24="Y")*I25*(-I59-I51-I71)</f>
        <v>0</v>
      </c>
      <c r="J70" s="12">
        <f>($F24="Y")*J25*(-J59-J51-J71)</f>
        <v>3.8214749999999999E-2</v>
      </c>
      <c r="K70" s="12">
        <f t="shared" ref="K70:W70" si="33">($F24="Y")*K25*(-K59-K51-K71)</f>
        <v>0.10951027499999998</v>
      </c>
      <c r="L70" s="12">
        <f t="shared" si="33"/>
        <v>0.13284229875</v>
      </c>
      <c r="M70" s="12">
        <f t="shared" si="33"/>
        <v>0.11433098381250004</v>
      </c>
      <c r="N70" s="12">
        <f t="shared" si="33"/>
        <v>9.7692859621875003E-2</v>
      </c>
      <c r="O70" s="12">
        <f t="shared" si="33"/>
        <v>8.2739504140781239E-2</v>
      </c>
      <c r="P70" s="12">
        <f t="shared" si="33"/>
        <v>7.2401465183742172E-2</v>
      </c>
      <c r="Q70" s="12">
        <f t="shared" si="33"/>
        <v>6.9316288174555069E-2</v>
      </c>
      <c r="R70" s="12">
        <f t="shared" si="33"/>
        <v>6.965766876582731E-2</v>
      </c>
      <c r="S70" s="12">
        <f t="shared" si="33"/>
        <v>6.9981980327535942E-2</v>
      </c>
      <c r="T70" s="12">
        <f t="shared" si="33"/>
        <v>7.0290076311159147E-2</v>
      </c>
      <c r="U70" s="12">
        <f t="shared" si="33"/>
        <v>7.058276749560119E-2</v>
      </c>
      <c r="V70" s="12">
        <f t="shared" si="33"/>
        <v>7.0860824120821092E-2</v>
      </c>
      <c r="W70" s="12">
        <f t="shared" si="33"/>
        <v>7.1124977914780008E-2</v>
      </c>
    </row>
    <row r="71" spans="1:23" s="8" customFormat="1" x14ac:dyDescent="0.2">
      <c r="A71" s="10">
        <f>A70+1</f>
        <v>45</v>
      </c>
      <c r="D71" s="13" t="s">
        <v>75</v>
      </c>
      <c r="E71" s="19"/>
      <c r="I71" s="12">
        <f>($F28="Y")*I29*(-I65-I51)</f>
        <v>0</v>
      </c>
      <c r="J71" s="12">
        <f t="shared" ref="J71:W71" si="34">($F28="Y")*J29*(-J65-J51)</f>
        <v>5.5250000000000004E-3</v>
      </c>
      <c r="K71" s="12">
        <f t="shared" si="34"/>
        <v>1.6022500000000002E-2</v>
      </c>
      <c r="L71" s="12">
        <f t="shared" si="34"/>
        <v>1.9917625000000005E-2</v>
      </c>
      <c r="M71" s="12">
        <f t="shared" si="34"/>
        <v>1.7816743750000003E-2</v>
      </c>
      <c r="N71" s="12">
        <f t="shared" si="34"/>
        <v>1.5820906562500004E-2</v>
      </c>
      <c r="O71" s="12">
        <f t="shared" si="34"/>
        <v>1.3924861234375E-2</v>
      </c>
      <c r="P71" s="12">
        <f t="shared" si="34"/>
        <v>1.2123618172656251E-2</v>
      </c>
      <c r="Q71" s="12">
        <f t="shared" si="34"/>
        <v>1.0412437264023439E-2</v>
      </c>
      <c r="R71" s="12">
        <f t="shared" si="34"/>
        <v>8.7868154008222676E-3</v>
      </c>
      <c r="S71" s="12">
        <f t="shared" si="34"/>
        <v>7.2424746307811544E-3</v>
      </c>
      <c r="T71" s="12">
        <f t="shared" si="34"/>
        <v>5.7753508992420951E-3</v>
      </c>
      <c r="U71" s="12">
        <f t="shared" si="34"/>
        <v>4.3815833542799913E-3</v>
      </c>
      <c r="V71" s="12">
        <f t="shared" si="34"/>
        <v>3.0575041865659892E-3</v>
      </c>
      <c r="W71" s="12">
        <f t="shared" si="34"/>
        <v>1.7996289772376887E-3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4.3739750000000001E-2</v>
      </c>
      <c r="K72" s="20">
        <f t="shared" ref="K72:W72" si="35">SUM(K69:K71)</f>
        <v>0.16927252499999998</v>
      </c>
      <c r="L72" s="20">
        <f t="shared" si="35"/>
        <v>0.32203244874999998</v>
      </c>
      <c r="M72" s="20">
        <f t="shared" si="35"/>
        <v>0.45418017631249996</v>
      </c>
      <c r="N72" s="20">
        <f t="shared" si="35"/>
        <v>0.56769394249687499</v>
      </c>
      <c r="O72" s="20">
        <f t="shared" si="35"/>
        <v>0.66435830787203121</v>
      </c>
      <c r="P72" s="20">
        <f t="shared" si="35"/>
        <v>0.74888339122842962</v>
      </c>
      <c r="Q72" s="20">
        <f t="shared" si="35"/>
        <v>0.82861211666700807</v>
      </c>
      <c r="R72" s="20">
        <f t="shared" si="35"/>
        <v>0.90705660083365769</v>
      </c>
      <c r="S72" s="20">
        <f t="shared" si="35"/>
        <v>0.98428105579197489</v>
      </c>
      <c r="T72" s="20">
        <f t="shared" si="35"/>
        <v>1.0603464830023763</v>
      </c>
      <c r="U72" s="20">
        <f t="shared" si="35"/>
        <v>1.1353108338522575</v>
      </c>
      <c r="V72" s="20">
        <f t="shared" si="35"/>
        <v>1.2092291621596445</v>
      </c>
      <c r="W72" s="20">
        <f t="shared" si="35"/>
        <v>1.2821537690516622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2.1869875E-2</v>
      </c>
      <c r="K73" s="20">
        <f t="shared" ref="K73:W73" si="36">(K69+K72)/2</f>
        <v>0.10650613749999999</v>
      </c>
      <c r="L73" s="20">
        <f t="shared" si="36"/>
        <v>0.24565248687499996</v>
      </c>
      <c r="M73" s="20">
        <f t="shared" si="36"/>
        <v>0.38810631253124994</v>
      </c>
      <c r="N73" s="20">
        <f t="shared" si="36"/>
        <v>0.51093705940468748</v>
      </c>
      <c r="O73" s="20">
        <f t="shared" si="36"/>
        <v>0.6160261251844531</v>
      </c>
      <c r="P73" s="20">
        <f t="shared" si="36"/>
        <v>0.70662084955023041</v>
      </c>
      <c r="Q73" s="20">
        <f t="shared" si="36"/>
        <v>0.78874775394771879</v>
      </c>
      <c r="R73" s="20">
        <f t="shared" si="36"/>
        <v>0.86783435875033288</v>
      </c>
      <c r="S73" s="20">
        <f t="shared" si="36"/>
        <v>0.94566882831281629</v>
      </c>
      <c r="T73" s="20">
        <f t="shared" si="36"/>
        <v>1.0223137693971756</v>
      </c>
      <c r="U73" s="20">
        <f t="shared" si="36"/>
        <v>1.0978286584273169</v>
      </c>
      <c r="V73" s="20">
        <f t="shared" si="36"/>
        <v>1.172269998005951</v>
      </c>
      <c r="W73" s="20">
        <f t="shared" si="36"/>
        <v>1.2456914656056535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2.5</v>
      </c>
      <c r="K76" s="12">
        <f t="shared" si="37"/>
        <v>7.5</v>
      </c>
      <c r="L76" s="12">
        <f t="shared" si="37"/>
        <v>10</v>
      </c>
      <c r="M76" s="12">
        <f t="shared" si="37"/>
        <v>10</v>
      </c>
      <c r="N76" s="12">
        <f t="shared" si="37"/>
        <v>10</v>
      </c>
      <c r="O76" s="12">
        <f t="shared" si="37"/>
        <v>10</v>
      </c>
      <c r="P76" s="12">
        <f t="shared" si="37"/>
        <v>10</v>
      </c>
      <c r="Q76" s="12">
        <f t="shared" si="37"/>
        <v>10</v>
      </c>
      <c r="R76" s="12">
        <f t="shared" si="37"/>
        <v>10</v>
      </c>
      <c r="S76" s="12">
        <f t="shared" si="37"/>
        <v>10</v>
      </c>
      <c r="T76" s="12">
        <f t="shared" si="37"/>
        <v>10</v>
      </c>
      <c r="U76" s="12">
        <f t="shared" si="37"/>
        <v>10</v>
      </c>
      <c r="V76" s="12">
        <f t="shared" si="37"/>
        <v>10</v>
      </c>
      <c r="W76" s="12">
        <f t="shared" si="37"/>
        <v>10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-3.125E-2</v>
      </c>
      <c r="K77" s="12">
        <f t="shared" si="38"/>
        <v>-0.15625</v>
      </c>
      <c r="L77" s="12">
        <f t="shared" si="38"/>
        <v>-0.375</v>
      </c>
      <c r="M77" s="12">
        <f t="shared" si="38"/>
        <v>-0.625</v>
      </c>
      <c r="N77" s="12">
        <f t="shared" si="38"/>
        <v>-0.875</v>
      </c>
      <c r="O77" s="12">
        <f t="shared" si="38"/>
        <v>-1.125</v>
      </c>
      <c r="P77" s="12">
        <f t="shared" si="38"/>
        <v>-1.375</v>
      </c>
      <c r="Q77" s="12">
        <f t="shared" si="38"/>
        <v>-1.625</v>
      </c>
      <c r="R77" s="12">
        <f t="shared" si="38"/>
        <v>-1.875</v>
      </c>
      <c r="S77" s="12">
        <f t="shared" si="38"/>
        <v>-2.125</v>
      </c>
      <c r="T77" s="12">
        <f t="shared" si="38"/>
        <v>-2.375</v>
      </c>
      <c r="U77" s="12">
        <f t="shared" si="38"/>
        <v>-2.625</v>
      </c>
      <c r="V77" s="12">
        <f t="shared" si="38"/>
        <v>-2.875</v>
      </c>
      <c r="W77" s="12">
        <f t="shared" si="38"/>
        <v>-3.125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-2.1869875E-2</v>
      </c>
      <c r="K79" s="12">
        <f t="shared" ref="K79:W79" si="40">-K73</f>
        <v>-0.10650613749999999</v>
      </c>
      <c r="L79" s="12">
        <f t="shared" si="40"/>
        <v>-0.24565248687499996</v>
      </c>
      <c r="M79" s="12">
        <f t="shared" si="40"/>
        <v>-0.38810631253124994</v>
      </c>
      <c r="N79" s="12">
        <f t="shared" si="40"/>
        <v>-0.51093705940468748</v>
      </c>
      <c r="O79" s="12">
        <f t="shared" si="40"/>
        <v>-0.6160261251844531</v>
      </c>
      <c r="P79" s="12">
        <f t="shared" si="40"/>
        <v>-0.70662084955023041</v>
      </c>
      <c r="Q79" s="12">
        <f t="shared" si="40"/>
        <v>-0.78874775394771879</v>
      </c>
      <c r="R79" s="12">
        <f t="shared" si="40"/>
        <v>-0.86783435875033288</v>
      </c>
      <c r="S79" s="12">
        <f t="shared" si="40"/>
        <v>-0.94566882831281629</v>
      </c>
      <c r="T79" s="12">
        <f t="shared" si="40"/>
        <v>-1.0223137693971756</v>
      </c>
      <c r="U79" s="12">
        <f t="shared" si="40"/>
        <v>-1.0978286584273169</v>
      </c>
      <c r="V79" s="12">
        <f t="shared" si="40"/>
        <v>-1.172269998005951</v>
      </c>
      <c r="W79" s="12">
        <f t="shared" si="40"/>
        <v>-1.2456914656056535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0</v>
      </c>
      <c r="J80" s="20">
        <f>SUM(J76:J79)</f>
        <v>2.4468801249999999</v>
      </c>
      <c r="K80" s="20">
        <f t="shared" ref="K80:W80" si="41">SUM(K76:K79)</f>
        <v>7.2372438624999997</v>
      </c>
      <c r="L80" s="20">
        <f t="shared" si="41"/>
        <v>9.3793475131249995</v>
      </c>
      <c r="M80" s="20">
        <f t="shared" si="41"/>
        <v>8.9868936874687506</v>
      </c>
      <c r="N80" s="20">
        <f t="shared" si="41"/>
        <v>8.6140629405953124</v>
      </c>
      <c r="O80" s="20">
        <f t="shared" si="41"/>
        <v>8.2589738748155472</v>
      </c>
      <c r="P80" s="20">
        <f t="shared" si="41"/>
        <v>7.9183791504497698</v>
      </c>
      <c r="Q80" s="20">
        <f t="shared" si="41"/>
        <v>7.5862522460522808</v>
      </c>
      <c r="R80" s="20">
        <f t="shared" si="41"/>
        <v>7.2571656412496672</v>
      </c>
      <c r="S80" s="20">
        <f t="shared" si="41"/>
        <v>6.9293311716871839</v>
      </c>
      <c r="T80" s="20">
        <f t="shared" si="41"/>
        <v>6.6026862306028242</v>
      </c>
      <c r="U80" s="20">
        <f t="shared" si="41"/>
        <v>6.2771713415726831</v>
      </c>
      <c r="V80" s="20">
        <f t="shared" si="41"/>
        <v>5.9527300019940492</v>
      </c>
      <c r="W80" s="20">
        <f t="shared" si="41"/>
        <v>5.6293085343943465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6.25E-2</v>
      </c>
      <c r="K83" s="12">
        <f t="shared" si="42"/>
        <v>0.1875</v>
      </c>
      <c r="L83" s="12">
        <f t="shared" si="42"/>
        <v>0.25</v>
      </c>
      <c r="M83" s="12">
        <f t="shared" si="42"/>
        <v>0.25</v>
      </c>
      <c r="N83" s="12">
        <f t="shared" si="42"/>
        <v>0.25</v>
      </c>
      <c r="O83" s="12">
        <f t="shared" si="42"/>
        <v>0.25</v>
      </c>
      <c r="P83" s="12">
        <f t="shared" si="42"/>
        <v>0.25</v>
      </c>
      <c r="Q83" s="12">
        <f t="shared" si="42"/>
        <v>0.25</v>
      </c>
      <c r="R83" s="12">
        <f t="shared" si="42"/>
        <v>0.25</v>
      </c>
      <c r="S83" s="12">
        <f t="shared" si="42"/>
        <v>0.25</v>
      </c>
      <c r="T83" s="12">
        <f t="shared" si="42"/>
        <v>0.25</v>
      </c>
      <c r="U83" s="12">
        <f t="shared" si="42"/>
        <v>0.25</v>
      </c>
      <c r="V83" s="12">
        <f t="shared" si="42"/>
        <v>0.25</v>
      </c>
      <c r="W83" s="12">
        <f t="shared" si="42"/>
        <v>0.25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7.3406403749999988E-2</v>
      </c>
      <c r="K84" s="12">
        <f t="shared" si="44"/>
        <v>0.21711731587499999</v>
      </c>
      <c r="L84" s="12">
        <f t="shared" si="44"/>
        <v>0.28138042539374997</v>
      </c>
      <c r="M84" s="12">
        <f t="shared" si="44"/>
        <v>0.2696068106240625</v>
      </c>
      <c r="N84" s="12">
        <f t="shared" si="44"/>
        <v>0.25842188821785939</v>
      </c>
      <c r="O84" s="12">
        <f t="shared" si="44"/>
        <v>0.24776921624446641</v>
      </c>
      <c r="P84" s="12">
        <f t="shared" si="44"/>
        <v>0.23755137451349309</v>
      </c>
      <c r="Q84" s="12">
        <f t="shared" si="44"/>
        <v>0.22758756738156841</v>
      </c>
      <c r="R84" s="12">
        <f t="shared" si="44"/>
        <v>0.21771496923749001</v>
      </c>
      <c r="S84" s="12">
        <f t="shared" si="44"/>
        <v>0.20787993515061551</v>
      </c>
      <c r="T84" s="12">
        <f t="shared" si="44"/>
        <v>0.19808058691808472</v>
      </c>
      <c r="U84" s="12">
        <f t="shared" si="44"/>
        <v>0.18831514024718049</v>
      </c>
      <c r="V84" s="12">
        <f t="shared" si="44"/>
        <v>0.17858190005982147</v>
      </c>
      <c r="W84" s="12">
        <f t="shared" si="44"/>
        <v>0.16887925603183038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0.134578406875</v>
      </c>
      <c r="K85" s="12">
        <f t="shared" si="45"/>
        <v>0.3980484124375</v>
      </c>
      <c r="L85" s="12">
        <f t="shared" si="45"/>
        <v>0.51586411322187498</v>
      </c>
      <c r="M85" s="12">
        <f t="shared" si="45"/>
        <v>0.49427915281078127</v>
      </c>
      <c r="N85" s="12">
        <f t="shared" si="45"/>
        <v>0.47377346173274221</v>
      </c>
      <c r="O85" s="12">
        <f t="shared" si="45"/>
        <v>0.45424356311485509</v>
      </c>
      <c r="P85" s="12">
        <f t="shared" si="45"/>
        <v>0.43551085327473732</v>
      </c>
      <c r="Q85" s="12">
        <f t="shared" si="45"/>
        <v>0.41724387353287545</v>
      </c>
      <c r="R85" s="12">
        <f t="shared" si="45"/>
        <v>0.3991441102687317</v>
      </c>
      <c r="S85" s="12">
        <f t="shared" si="45"/>
        <v>0.38111321444279511</v>
      </c>
      <c r="T85" s="12">
        <f t="shared" si="45"/>
        <v>0.36314774268315536</v>
      </c>
      <c r="U85" s="12">
        <f t="shared" si="45"/>
        <v>0.34524442378649756</v>
      </c>
      <c r="V85" s="12">
        <f t="shared" si="45"/>
        <v>0.32740015010967272</v>
      </c>
      <c r="W85" s="12">
        <f t="shared" si="45"/>
        <v>0.30961196939168906</v>
      </c>
    </row>
    <row r="86" spans="1:24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3.5774006890822781E-2</v>
      </c>
      <c r="K86" s="12">
        <f t="shared" si="46"/>
        <v>0.10581033748338607</v>
      </c>
      <c r="L86" s="12">
        <f t="shared" si="46"/>
        <v>0.13712843516024523</v>
      </c>
      <c r="M86" s="12">
        <f t="shared" si="46"/>
        <v>0.13139066087375198</v>
      </c>
      <c r="N86" s="12">
        <f t="shared" si="46"/>
        <v>0.12593978096693145</v>
      </c>
      <c r="O86" s="12">
        <f t="shared" si="46"/>
        <v>0.12074828892926527</v>
      </c>
      <c r="P86" s="12">
        <f t="shared" si="46"/>
        <v>0.1157687078325251</v>
      </c>
      <c r="Q86" s="12">
        <f t="shared" si="46"/>
        <v>0.1109129284074732</v>
      </c>
      <c r="R86" s="12">
        <f t="shared" si="46"/>
        <v>0.10610159893219449</v>
      </c>
      <c r="S86" s="12">
        <f t="shared" si="46"/>
        <v>0.10130857599112275</v>
      </c>
      <c r="T86" s="12">
        <f t="shared" si="46"/>
        <v>9.6532944257547618E-2</v>
      </c>
      <c r="U86" s="12">
        <f t="shared" si="46"/>
        <v>9.1773834171094276E-2</v>
      </c>
      <c r="V86" s="12">
        <f t="shared" si="46"/>
        <v>8.7030419649406665E-2</v>
      </c>
      <c r="W86" s="12">
        <f t="shared" si="46"/>
        <v>8.230191591424646E-2</v>
      </c>
    </row>
    <row r="87" spans="1:24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1.6519474963688829E-2</v>
      </c>
      <c r="K87" s="12">
        <f t="shared" si="47"/>
        <v>4.8860370220498391E-2</v>
      </c>
      <c r="L87" s="12">
        <f t="shared" si="47"/>
        <v>6.3322226060749706E-2</v>
      </c>
      <c r="M87" s="12">
        <f t="shared" si="47"/>
        <v>6.0672676096657246E-2</v>
      </c>
      <c r="N87" s="12">
        <f t="shared" si="47"/>
        <v>5.8155606246874901E-2</v>
      </c>
      <c r="O87" s="12">
        <f t="shared" si="47"/>
        <v>5.5758314744076623E-2</v>
      </c>
      <c r="P87" s="12">
        <f t="shared" si="47"/>
        <v>5.3458878018738484E-2</v>
      </c>
      <c r="Q87" s="12">
        <f t="shared" si="47"/>
        <v>5.1216609578243553E-2</v>
      </c>
      <c r="R87" s="12">
        <f t="shared" si="47"/>
        <v>4.8994866929971341E-2</v>
      </c>
      <c r="S87" s="12">
        <f t="shared" si="47"/>
        <v>4.6781577747211874E-2</v>
      </c>
      <c r="T87" s="12">
        <f t="shared" si="47"/>
        <v>4.4576319356689494E-2</v>
      </c>
      <c r="U87" s="12">
        <f t="shared" si="47"/>
        <v>4.237869021879237E-2</v>
      </c>
      <c r="V87" s="12">
        <f t="shared" si="47"/>
        <v>4.0188308870889228E-2</v>
      </c>
      <c r="W87" s="12">
        <f t="shared" si="47"/>
        <v>3.8004812923480367E-2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0.1</v>
      </c>
      <c r="L88" s="12">
        <f t="shared" si="48"/>
        <v>0.20200000000000001</v>
      </c>
      <c r="M88" s="12">
        <f t="shared" si="48"/>
        <v>0.20604000000000003</v>
      </c>
      <c r="N88" s="12">
        <f t="shared" si="48"/>
        <v>0.21016080000000004</v>
      </c>
      <c r="O88" s="12">
        <f t="shared" si="48"/>
        <v>0.21436401600000005</v>
      </c>
      <c r="P88" s="12">
        <f t="shared" si="48"/>
        <v>0.21865129632000005</v>
      </c>
      <c r="Q88" s="12">
        <f t="shared" si="48"/>
        <v>0.22302432224640006</v>
      </c>
      <c r="R88" s="12">
        <f t="shared" si="48"/>
        <v>0.22748480869132806</v>
      </c>
      <c r="S88" s="12">
        <f t="shared" si="48"/>
        <v>0.23203450486515462</v>
      </c>
      <c r="T88" s="12">
        <f t="shared" si="48"/>
        <v>0.2366751949624577</v>
      </c>
      <c r="U88" s="12">
        <f t="shared" si="48"/>
        <v>0.24140869886170685</v>
      </c>
      <c r="V88" s="12">
        <f t="shared" si="48"/>
        <v>0.246236872838941</v>
      </c>
      <c r="W88" s="12">
        <f t="shared" si="48"/>
        <v>0.25116161029571982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0.32277829247951156</v>
      </c>
      <c r="K89" s="20">
        <f t="shared" si="49"/>
        <v>1.0573364360163846</v>
      </c>
      <c r="L89" s="20">
        <f t="shared" si="49"/>
        <v>1.4496951998366201</v>
      </c>
      <c r="M89" s="20">
        <f t="shared" si="49"/>
        <v>1.4119893004052531</v>
      </c>
      <c r="N89" s="20">
        <f t="shared" si="49"/>
        <v>1.3764515371644079</v>
      </c>
      <c r="O89" s="20">
        <f t="shared" si="49"/>
        <v>1.3428833990326634</v>
      </c>
      <c r="P89" s="20">
        <f t="shared" si="49"/>
        <v>1.3109411099594939</v>
      </c>
      <c r="Q89" s="20">
        <f t="shared" si="49"/>
        <v>1.2799853011465607</v>
      </c>
      <c r="R89" s="20">
        <f t="shared" si="49"/>
        <v>1.2494403540597157</v>
      </c>
      <c r="S89" s="20">
        <f t="shared" si="49"/>
        <v>1.2191178081968999</v>
      </c>
      <c r="T89" s="20">
        <f t="shared" si="49"/>
        <v>1.1890127881779349</v>
      </c>
      <c r="U89" s="20">
        <f t="shared" si="49"/>
        <v>1.1591207872852716</v>
      </c>
      <c r="V89" s="20">
        <f t="shared" si="49"/>
        <v>1.129437651528731</v>
      </c>
      <c r="W89" s="20">
        <f t="shared" si="49"/>
        <v>1.099959564556966</v>
      </c>
      <c r="X89" s="44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topLeftCell="F1" zoomScale="130" zoomScaleNormal="130" workbookViewId="0">
      <selection activeCell="P11" sqref="P11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113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f>Existing!H3</f>
        <v>2020</v>
      </c>
      <c r="I3" s="5">
        <f>Existing!I3</f>
        <v>2021</v>
      </c>
      <c r="J3" s="5">
        <f>Existing!J3</f>
        <v>2022</v>
      </c>
      <c r="K3" s="5">
        <f>Existing!K3</f>
        <v>2023</v>
      </c>
      <c r="L3" s="5">
        <f>Existing!L3</f>
        <v>2024</v>
      </c>
      <c r="M3" s="5">
        <f>Existing!M3</f>
        <v>2025</v>
      </c>
      <c r="N3" s="5">
        <f>Existing!N3</f>
        <v>2026</v>
      </c>
      <c r="O3" s="5">
        <f>Existing!O3</f>
        <v>2027</v>
      </c>
      <c r="P3" s="5">
        <f>Existing!P3</f>
        <v>2028</v>
      </c>
      <c r="Q3" s="5">
        <f>Existing!Q3</f>
        <v>2029</v>
      </c>
      <c r="R3" s="5">
        <f>Existing!R3</f>
        <v>2030</v>
      </c>
      <c r="S3" s="5">
        <f>Existing!S3</f>
        <v>2031</v>
      </c>
      <c r="T3" s="5">
        <f>Existing!T3</f>
        <v>2032</v>
      </c>
      <c r="U3" s="5">
        <f>Existing!U3</f>
        <v>2033</v>
      </c>
      <c r="V3" s="5">
        <f>Existing!V3</f>
        <v>2034</v>
      </c>
      <c r="W3" s="5">
        <f>Existing!W3</f>
        <v>2035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ref="K4:W4" si="0">J4+1</f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2023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101">
        <v>0</v>
      </c>
      <c r="J8" s="101">
        <v>18.029331324999998</v>
      </c>
      <c r="K8" s="101">
        <v>18</v>
      </c>
      <c r="L8" s="101">
        <v>18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23"/>
      <c r="I25" s="40">
        <f t="shared" ref="I25:W25" si="6">$F25</f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0</v>
      </c>
      <c r="K35" s="12">
        <f t="shared" ref="K35:W35" si="9">J39</f>
        <v>18.029331324999998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0</v>
      </c>
      <c r="J36" s="12">
        <f t="shared" si="10"/>
        <v>18.029331324999998</v>
      </c>
      <c r="K36" s="12">
        <f t="shared" si="10"/>
        <v>18</v>
      </c>
      <c r="L36" s="12">
        <f t="shared" si="10"/>
        <v>18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-36.029331325000001</v>
      </c>
      <c r="L38" s="12">
        <f t="shared" si="12"/>
        <v>-18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0</v>
      </c>
      <c r="J39" s="20">
        <f>SUM(J35:J38)</f>
        <v>18.029331324999998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0</v>
      </c>
      <c r="J40" s="20">
        <f>(J35+J39)/2</f>
        <v>9.0146656624999988</v>
      </c>
      <c r="K40" s="20">
        <f t="shared" ref="K40:W40" si="14">(K35+K39)/2</f>
        <v>9.0146656624999988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36.029331325000001</v>
      </c>
      <c r="M43" s="12">
        <f t="shared" si="15"/>
        <v>54.029331325000001</v>
      </c>
      <c r="N43" s="12">
        <f t="shared" si="15"/>
        <v>54.029331325000001</v>
      </c>
      <c r="O43" s="12">
        <f t="shared" si="15"/>
        <v>54.029331325000001</v>
      </c>
      <c r="P43" s="12">
        <f t="shared" si="15"/>
        <v>54.029331325000001</v>
      </c>
      <c r="Q43" s="12">
        <f t="shared" si="15"/>
        <v>54.029331325000001</v>
      </c>
      <c r="R43" s="12">
        <f t="shared" si="15"/>
        <v>54.029331325000001</v>
      </c>
      <c r="S43" s="12">
        <f t="shared" si="15"/>
        <v>54.029331325000001</v>
      </c>
      <c r="T43" s="12">
        <f t="shared" si="15"/>
        <v>54.029331325000001</v>
      </c>
      <c r="U43" s="12">
        <f t="shared" si="15"/>
        <v>54.029331325000001</v>
      </c>
      <c r="V43" s="12">
        <f t="shared" si="15"/>
        <v>54.029331325000001</v>
      </c>
      <c r="W43" s="12">
        <f t="shared" si="15"/>
        <v>54.029331325000001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36.029331325000001</v>
      </c>
      <c r="L44" s="12">
        <f t="shared" si="16"/>
        <v>18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36.029331325000001</v>
      </c>
      <c r="L46" s="20">
        <f t="shared" si="18"/>
        <v>54.029331325000001</v>
      </c>
      <c r="M46" s="20">
        <f t="shared" si="18"/>
        <v>54.029331325000001</v>
      </c>
      <c r="N46" s="20">
        <f t="shared" si="18"/>
        <v>54.029331325000001</v>
      </c>
      <c r="O46" s="20">
        <f t="shared" si="18"/>
        <v>54.029331325000001</v>
      </c>
      <c r="P46" s="20">
        <f t="shared" si="18"/>
        <v>54.029331325000001</v>
      </c>
      <c r="Q46" s="20">
        <f t="shared" si="18"/>
        <v>54.029331325000001</v>
      </c>
      <c r="R46" s="20">
        <f t="shared" si="18"/>
        <v>54.029331325000001</v>
      </c>
      <c r="S46" s="20">
        <f t="shared" si="18"/>
        <v>54.029331325000001</v>
      </c>
      <c r="T46" s="20">
        <f t="shared" si="18"/>
        <v>54.029331325000001</v>
      </c>
      <c r="U46" s="20">
        <f t="shared" si="18"/>
        <v>54.029331325000001</v>
      </c>
      <c r="V46" s="20">
        <f t="shared" si="18"/>
        <v>54.029331325000001</v>
      </c>
      <c r="W46" s="20">
        <f t="shared" si="18"/>
        <v>54.029331325000001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18.014665662500001</v>
      </c>
      <c r="L47" s="20">
        <f t="shared" si="19"/>
        <v>45.029331325000001</v>
      </c>
      <c r="M47" s="20">
        <f t="shared" si="19"/>
        <v>54.029331325000001</v>
      </c>
      <c r="N47" s="20">
        <f t="shared" si="19"/>
        <v>54.029331325000001</v>
      </c>
      <c r="O47" s="20">
        <f t="shared" si="19"/>
        <v>54.029331325000001</v>
      </c>
      <c r="P47" s="20">
        <f t="shared" si="19"/>
        <v>54.029331325000001</v>
      </c>
      <c r="Q47" s="20">
        <f t="shared" si="19"/>
        <v>54.029331325000001</v>
      </c>
      <c r="R47" s="20">
        <f t="shared" si="19"/>
        <v>54.029331325000001</v>
      </c>
      <c r="S47" s="20">
        <f t="shared" si="19"/>
        <v>54.029331325000001</v>
      </c>
      <c r="T47" s="20">
        <f t="shared" si="19"/>
        <v>54.029331325000001</v>
      </c>
      <c r="U47" s="20">
        <f t="shared" si="19"/>
        <v>54.029331325000001</v>
      </c>
      <c r="V47" s="20">
        <f t="shared" si="19"/>
        <v>54.029331325000001</v>
      </c>
      <c r="W47" s="20">
        <f t="shared" si="19"/>
        <v>54.029331325000001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0.45036664156250006</v>
      </c>
      <c r="M50" s="12">
        <f t="shared" si="20"/>
        <v>1.5760999246875</v>
      </c>
      <c r="N50" s="12">
        <f t="shared" si="20"/>
        <v>2.9268332078124999</v>
      </c>
      <c r="O50" s="12">
        <f t="shared" si="20"/>
        <v>4.2775664909374997</v>
      </c>
      <c r="P50" s="12">
        <f t="shared" si="20"/>
        <v>5.6282997740624996</v>
      </c>
      <c r="Q50" s="12">
        <f t="shared" si="20"/>
        <v>6.9790330571874994</v>
      </c>
      <c r="R50" s="12">
        <f t="shared" si="20"/>
        <v>8.3297663403124993</v>
      </c>
      <c r="S50" s="12">
        <f t="shared" si="20"/>
        <v>9.6804996234375</v>
      </c>
      <c r="T50" s="12">
        <f t="shared" si="20"/>
        <v>11.031232906562501</v>
      </c>
      <c r="U50" s="12">
        <f t="shared" si="20"/>
        <v>12.381966189687502</v>
      </c>
      <c r="V50" s="12">
        <f t="shared" si="20"/>
        <v>13.732699472812502</v>
      </c>
      <c r="W50" s="12">
        <f t="shared" si="20"/>
        <v>15.083432755937503</v>
      </c>
    </row>
    <row r="51" spans="1:23" s="8" customFormat="1" x14ac:dyDescent="0.2">
      <c r="A51" s="10">
        <f>A50+1</f>
        <v>31</v>
      </c>
      <c r="D51" s="13" t="s">
        <v>69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0.45036664156250006</v>
      </c>
      <c r="L51" s="12">
        <f t="shared" si="21"/>
        <v>1.125733283125</v>
      </c>
      <c r="M51" s="12">
        <f t="shared" si="21"/>
        <v>1.3507332831250001</v>
      </c>
      <c r="N51" s="12">
        <f t="shared" si="21"/>
        <v>1.3507332831250001</v>
      </c>
      <c r="O51" s="12">
        <f t="shared" si="21"/>
        <v>1.3507332831250001</v>
      </c>
      <c r="P51" s="12">
        <f t="shared" si="21"/>
        <v>1.3507332831250001</v>
      </c>
      <c r="Q51" s="12">
        <f t="shared" si="21"/>
        <v>1.3507332831250001</v>
      </c>
      <c r="R51" s="12">
        <f t="shared" si="21"/>
        <v>1.3507332831250001</v>
      </c>
      <c r="S51" s="12">
        <f t="shared" si="21"/>
        <v>1.3507332831250001</v>
      </c>
      <c r="T51" s="12">
        <f t="shared" si="21"/>
        <v>1.3507332831250001</v>
      </c>
      <c r="U51" s="12">
        <f t="shared" si="21"/>
        <v>1.3507332831250001</v>
      </c>
      <c r="V51" s="12">
        <f t="shared" si="21"/>
        <v>1.3507332831250001</v>
      </c>
      <c r="W51" s="12">
        <f t="shared" si="21"/>
        <v>1.3507332831250001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0.45036664156250006</v>
      </c>
      <c r="L53" s="20">
        <f t="shared" si="23"/>
        <v>1.5760999246875</v>
      </c>
      <c r="M53" s="20">
        <f t="shared" si="23"/>
        <v>2.9268332078124999</v>
      </c>
      <c r="N53" s="20">
        <f t="shared" si="23"/>
        <v>4.2775664909374997</v>
      </c>
      <c r="O53" s="20">
        <f t="shared" si="23"/>
        <v>5.6282997740624996</v>
      </c>
      <c r="P53" s="20">
        <f t="shared" si="23"/>
        <v>6.9790330571874994</v>
      </c>
      <c r="Q53" s="20">
        <f t="shared" si="23"/>
        <v>8.3297663403124993</v>
      </c>
      <c r="R53" s="20">
        <f t="shared" si="23"/>
        <v>9.6804996234375</v>
      </c>
      <c r="S53" s="20">
        <f t="shared" si="23"/>
        <v>11.031232906562501</v>
      </c>
      <c r="T53" s="20">
        <f t="shared" si="23"/>
        <v>12.381966189687502</v>
      </c>
      <c r="U53" s="20">
        <f t="shared" si="23"/>
        <v>13.732699472812502</v>
      </c>
      <c r="V53" s="20">
        <f t="shared" si="23"/>
        <v>15.083432755937503</v>
      </c>
      <c r="W53" s="20">
        <f t="shared" si="23"/>
        <v>16.434166039062504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0.22518332078125003</v>
      </c>
      <c r="L54" s="20">
        <f t="shared" si="24"/>
        <v>1.0132332831249999</v>
      </c>
      <c r="M54" s="20">
        <f t="shared" si="24"/>
        <v>2.25146656625</v>
      </c>
      <c r="N54" s="20">
        <f t="shared" si="24"/>
        <v>3.6021998493749998</v>
      </c>
      <c r="O54" s="20">
        <f t="shared" si="24"/>
        <v>4.9529331325000001</v>
      </c>
      <c r="P54" s="20">
        <f t="shared" si="24"/>
        <v>6.3036664156249991</v>
      </c>
      <c r="Q54" s="20">
        <f t="shared" si="24"/>
        <v>7.6543996987499998</v>
      </c>
      <c r="R54" s="20">
        <f t="shared" si="24"/>
        <v>9.0051329818750006</v>
      </c>
      <c r="S54" s="20">
        <f t="shared" si="24"/>
        <v>10.355866265</v>
      </c>
      <c r="T54" s="20">
        <f t="shared" si="24"/>
        <v>11.706599548125002</v>
      </c>
      <c r="U54" s="20">
        <f t="shared" si="24"/>
        <v>13.057332831250001</v>
      </c>
      <c r="V54" s="20">
        <f t="shared" si="24"/>
        <v>14.408066114375004</v>
      </c>
      <c r="W54" s="20">
        <f t="shared" si="24"/>
        <v>15.758799397500002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34.227864758750002</v>
      </c>
      <c r="M57" s="12">
        <f t="shared" si="25"/>
        <v>47.905078282875003</v>
      </c>
      <c r="N57" s="12">
        <f t="shared" si="25"/>
        <v>43.114570454587501</v>
      </c>
      <c r="O57" s="12">
        <f t="shared" si="25"/>
        <v>38.803113409128748</v>
      </c>
      <c r="P57" s="12">
        <f t="shared" si="25"/>
        <v>34.922802068215873</v>
      </c>
      <c r="Q57" s="12">
        <f t="shared" si="25"/>
        <v>31.430521861394286</v>
      </c>
      <c r="R57" s="12">
        <f t="shared" si="25"/>
        <v>28.18109487598436</v>
      </c>
      <c r="S57" s="12">
        <f t="shared" si="25"/>
        <v>24.990716890574436</v>
      </c>
      <c r="T57" s="12">
        <f t="shared" si="25"/>
        <v>21.800338905164512</v>
      </c>
      <c r="U57" s="12">
        <f t="shared" si="25"/>
        <v>18.609960919754588</v>
      </c>
      <c r="V57" s="12">
        <f t="shared" si="25"/>
        <v>15.419582934344664</v>
      </c>
      <c r="W57" s="12">
        <f t="shared" si="25"/>
        <v>12.22920494893474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36.029331325000001</v>
      </c>
      <c r="L58" s="12">
        <f t="shared" si="26"/>
        <v>18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-1.8014665662500002</v>
      </c>
      <c r="L59" s="12">
        <f>-I23*L58-J23*K58-K23*J58-L23*I58</f>
        <v>-4.3227864758750005</v>
      </c>
      <c r="M59" s="12">
        <f>-I23*M58-J23*L58-K23*K58-L23*J58-M23*I58</f>
        <v>-4.7905078282875007</v>
      </c>
      <c r="N59" s="12">
        <f>-I23*N58-J23*M58-K23*L58-L23*K58-M23*J58-N23*I58</f>
        <v>-4.3114570454587504</v>
      </c>
      <c r="O59" s="12">
        <f>-I23*O58-J23*N58-K23*M58-L23*L58-M23*K58-N23*J58-O23*I58</f>
        <v>-3.8803113409128751</v>
      </c>
      <c r="P59" s="12">
        <f>-I23*P58-J23*O58-K23*N58-L23*M58-M23*L58-N23*K58-O23*J58-P23*I58</f>
        <v>-3.4922802068215875</v>
      </c>
      <c r="Q59" s="12">
        <f>-I23*Q58-J23*P58-K23*O58-L23*N58-M23*M58-N23*L58-O23*K58-P23*J58-Q23*I58</f>
        <v>-3.2494269854099249</v>
      </c>
      <c r="R59" s="12">
        <f>-I23*R58-J23*Q58-K23*P58-L23*O58-M23*N58-N23*M58-O23*L58-P23*K58-Q23*J58-R23*I58</f>
        <v>-3.1903779854099241</v>
      </c>
      <c r="S59" s="12">
        <f>-I23*S58-J23*R58-K23*Q58-L23*P58-M23*O58-N23*N58-O23*M58-P23*L58-Q23*K58-R23*J58-S23*I58</f>
        <v>-3.1903779854099246</v>
      </c>
      <c r="T59" s="12">
        <f>-I23*T58-J23*S58-K23*R58-L23*Q58-M23*P58-N23*O58-O23*N58-P23*M58-Q23*L58-R23*K58-S23*J58-T23*I58</f>
        <v>-3.190377985409925</v>
      </c>
      <c r="U59" s="12">
        <f>-I23*U58-J23*T58-K23*S58-L23*R58-M23*Q58-N23*P58-O23*O58-P23*N58-Q23*M58-R23*L58-S23*K58-T23*J58-U23*I58</f>
        <v>-3.190377985409925</v>
      </c>
      <c r="V59" s="12">
        <f>-I23*V58-J23*U58-K23*T58-L23*S58-M23*R58-N23*Q58-O23*P58-P23*O58-Q23*N58-R23*M58-S23*L58-T23*K58-U23*J58-V23*I58</f>
        <v>-3.1903779854099241</v>
      </c>
      <c r="W59" s="12">
        <f>-I23*W58-J23*V58-K23*U58-L23*T58-M23*S58-N23*R58-O23*Q58-P23*P58-Q23*O58-R23*N58-S23*M58-T23*L58-U23*K58-V23*J58-W23*I58</f>
        <v>-3.1903779854099237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34.227864758750002</v>
      </c>
      <c r="L60" s="20">
        <f t="shared" si="27"/>
        <v>47.905078282875003</v>
      </c>
      <c r="M60" s="20">
        <f t="shared" si="27"/>
        <v>43.114570454587501</v>
      </c>
      <c r="N60" s="20">
        <f t="shared" si="27"/>
        <v>38.803113409128748</v>
      </c>
      <c r="O60" s="20">
        <f t="shared" si="27"/>
        <v>34.922802068215873</v>
      </c>
      <c r="P60" s="20">
        <f t="shared" si="27"/>
        <v>31.430521861394286</v>
      </c>
      <c r="Q60" s="20">
        <f t="shared" si="27"/>
        <v>28.18109487598436</v>
      </c>
      <c r="R60" s="20">
        <f t="shared" si="27"/>
        <v>24.990716890574436</v>
      </c>
      <c r="S60" s="20">
        <f t="shared" si="27"/>
        <v>21.800338905164512</v>
      </c>
      <c r="T60" s="20">
        <f t="shared" si="27"/>
        <v>18.609960919754588</v>
      </c>
      <c r="U60" s="20">
        <f t="shared" si="27"/>
        <v>15.419582934344664</v>
      </c>
      <c r="V60" s="20">
        <f t="shared" si="27"/>
        <v>12.22920494893474</v>
      </c>
      <c r="W60" s="20">
        <f t="shared" si="27"/>
        <v>9.0388269635248157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35.128598041875001</v>
      </c>
      <c r="M63" s="12">
        <f t="shared" si="28"/>
        <v>50.922168139781249</v>
      </c>
      <c r="N63" s="12">
        <f t="shared" si="28"/>
        <v>48.376059732792186</v>
      </c>
      <c r="O63" s="12">
        <f t="shared" si="28"/>
        <v>45.957256746152574</v>
      </c>
      <c r="P63" s="12">
        <f t="shared" si="28"/>
        <v>43.659393908844947</v>
      </c>
      <c r="Q63" s="12">
        <f t="shared" si="28"/>
        <v>41.476424213402701</v>
      </c>
      <c r="R63" s="12">
        <f t="shared" si="28"/>
        <v>39.402603002732569</v>
      </c>
      <c r="S63" s="12">
        <f t="shared" si="28"/>
        <v>37.432472852595943</v>
      </c>
      <c r="T63" s="12">
        <f t="shared" si="28"/>
        <v>35.560849209966143</v>
      </c>
      <c r="U63" s="12">
        <f t="shared" si="28"/>
        <v>33.782806749467838</v>
      </c>
      <c r="V63" s="12">
        <f t="shared" si="28"/>
        <v>32.093666411994448</v>
      </c>
      <c r="W63" s="12">
        <f t="shared" si="28"/>
        <v>30.488983091394726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36.029331325000001</v>
      </c>
      <c r="L64" s="12">
        <f t="shared" si="29"/>
        <v>18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-0.90073328312500012</v>
      </c>
      <c r="L65" s="12">
        <f t="shared" si="30"/>
        <v>-2.2064299020937503</v>
      </c>
      <c r="M65" s="12">
        <f t="shared" si="30"/>
        <v>-2.5461084069890627</v>
      </c>
      <c r="N65" s="12">
        <f t="shared" si="30"/>
        <v>-2.4188029866396095</v>
      </c>
      <c r="O65" s="12">
        <f t="shared" si="30"/>
        <v>-2.2978628373076289</v>
      </c>
      <c r="P65" s="12">
        <f t="shared" si="30"/>
        <v>-2.1829696954422473</v>
      </c>
      <c r="Q65" s="12">
        <f t="shared" si="30"/>
        <v>-2.0738212106701353</v>
      </c>
      <c r="R65" s="12">
        <f t="shared" si="30"/>
        <v>-1.9701301501366286</v>
      </c>
      <c r="S65" s="12">
        <f t="shared" si="30"/>
        <v>-1.8716236426297972</v>
      </c>
      <c r="T65" s="12">
        <f t="shared" si="30"/>
        <v>-1.7780424604983072</v>
      </c>
      <c r="U65" s="12">
        <f t="shared" si="30"/>
        <v>-1.689140337473392</v>
      </c>
      <c r="V65" s="12">
        <f t="shared" si="30"/>
        <v>-1.6046833205997224</v>
      </c>
      <c r="W65" s="12">
        <f t="shared" si="30"/>
        <v>-1.5244491545697363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35.128598041875001</v>
      </c>
      <c r="L66" s="20">
        <f t="shared" si="31"/>
        <v>50.922168139781249</v>
      </c>
      <c r="M66" s="20">
        <f t="shared" si="31"/>
        <v>48.376059732792186</v>
      </c>
      <c r="N66" s="20">
        <f t="shared" si="31"/>
        <v>45.957256746152574</v>
      </c>
      <c r="O66" s="20">
        <f t="shared" si="31"/>
        <v>43.659393908844947</v>
      </c>
      <c r="P66" s="20">
        <f t="shared" si="31"/>
        <v>41.476424213402701</v>
      </c>
      <c r="Q66" s="20">
        <f t="shared" si="31"/>
        <v>39.402603002732569</v>
      </c>
      <c r="R66" s="20">
        <f t="shared" si="31"/>
        <v>37.432472852595943</v>
      </c>
      <c r="S66" s="20">
        <f t="shared" si="31"/>
        <v>35.560849209966143</v>
      </c>
      <c r="T66" s="20">
        <f t="shared" si="31"/>
        <v>33.782806749467838</v>
      </c>
      <c r="U66" s="20">
        <f t="shared" si="31"/>
        <v>32.093666411994448</v>
      </c>
      <c r="V66" s="20">
        <f t="shared" si="31"/>
        <v>30.488983091394726</v>
      </c>
      <c r="W66" s="20">
        <f t="shared" si="31"/>
        <v>28.964533936824989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0.31518278896453378</v>
      </c>
      <c r="M69" s="12">
        <f t="shared" si="32"/>
        <v>1.0620354885243355</v>
      </c>
      <c r="N69" s="12">
        <f t="shared" si="32"/>
        <v>1.8678683601586312</v>
      </c>
      <c r="O69" s="12">
        <f t="shared" si="32"/>
        <v>2.5642100660633651</v>
      </c>
      <c r="P69" s="12">
        <f t="shared" si="32"/>
        <v>3.1615651977447166</v>
      </c>
      <c r="Q69" s="12">
        <f t="shared" si="32"/>
        <v>3.6694101138115873</v>
      </c>
      <c r="R69" s="12">
        <f t="shared" si="32"/>
        <v>4.1186333597994631</v>
      </c>
      <c r="S69" s="12">
        <f t="shared" si="32"/>
        <v>4.5482149468839213</v>
      </c>
      <c r="T69" s="12">
        <f t="shared" si="32"/>
        <v>4.9709172335101321</v>
      </c>
      <c r="U69" s="12">
        <f t="shared" si="32"/>
        <v>5.387084184701008</v>
      </c>
      <c r="V69" s="12">
        <f t="shared" si="32"/>
        <v>5.797042567228317</v>
      </c>
      <c r="W69" s="12">
        <f t="shared" si="32"/>
        <v>6.2011028095252358</v>
      </c>
    </row>
    <row r="70" spans="1:23" s="8" customFormat="1" x14ac:dyDescent="0.2">
      <c r="A70" s="10">
        <f>A69+1</f>
        <v>44</v>
      </c>
      <c r="D70" s="13" t="s">
        <v>74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0.2753703778504088</v>
      </c>
      <c r="L70" s="12">
        <f t="shared" si="33"/>
        <v>0.6513191184429642</v>
      </c>
      <c r="M70" s="12">
        <f t="shared" si="33"/>
        <v>0.70016171068471267</v>
      </c>
      <c r="N70" s="12">
        <f t="shared" si="33"/>
        <v>0.60192434411404239</v>
      </c>
      <c r="O70" s="12">
        <f t="shared" si="33"/>
        <v>0.51362887909160737</v>
      </c>
      <c r="P70" s="12">
        <f t="shared" si="33"/>
        <v>0.43427521721802603</v>
      </c>
      <c r="Q70" s="12">
        <f t="shared" si="33"/>
        <v>0.38530227319288635</v>
      </c>
      <c r="R70" s="12">
        <f t="shared" si="33"/>
        <v>0.37482690404063018</v>
      </c>
      <c r="S70" s="12">
        <f t="shared" si="33"/>
        <v>0.3766555788459871</v>
      </c>
      <c r="T70" s="12">
        <f t="shared" si="33"/>
        <v>0.37839281991107615</v>
      </c>
      <c r="U70" s="12">
        <f t="shared" si="33"/>
        <v>0.38004319892291066</v>
      </c>
      <c r="V70" s="12">
        <f t="shared" si="33"/>
        <v>0.38161105898415332</v>
      </c>
      <c r="W70" s="12">
        <f t="shared" si="33"/>
        <v>0.38310052604233386</v>
      </c>
    </row>
    <row r="71" spans="1:23" s="8" customFormat="1" x14ac:dyDescent="0.2">
      <c r="A71" s="10">
        <f>A70+1</f>
        <v>45</v>
      </c>
      <c r="D71" s="13" t="s">
        <v>75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3.9812411114125007E-2</v>
      </c>
      <c r="L71" s="12">
        <f t="shared" si="34"/>
        <v>9.5533581116837532E-2</v>
      </c>
      <c r="M71" s="12">
        <f t="shared" si="34"/>
        <v>0.10567116094958315</v>
      </c>
      <c r="N71" s="12">
        <f t="shared" si="34"/>
        <v>9.4417361790691476E-2</v>
      </c>
      <c r="O71" s="12">
        <f t="shared" si="34"/>
        <v>8.3726252589744393E-2</v>
      </c>
      <c r="P71" s="12">
        <f t="shared" si="34"/>
        <v>7.3569698848844664E-2</v>
      </c>
      <c r="Q71" s="12">
        <f t="shared" si="34"/>
        <v>6.3920972794989955E-2</v>
      </c>
      <c r="R71" s="12">
        <f t="shared" si="34"/>
        <v>5.4754683043827967E-2</v>
      </c>
      <c r="S71" s="12">
        <f t="shared" si="34"/>
        <v>4.6046707780224065E-2</v>
      </c>
      <c r="T71" s="12">
        <f t="shared" si="34"/>
        <v>3.7774131279800352E-2</v>
      </c>
      <c r="U71" s="12">
        <f t="shared" si="34"/>
        <v>2.9915183604397846E-2</v>
      </c>
      <c r="V71" s="12">
        <f t="shared" si="34"/>
        <v>2.2449183312765457E-2</v>
      </c>
      <c r="W71" s="12">
        <f t="shared" si="34"/>
        <v>1.5356483035714682E-2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0.31518278896453378</v>
      </c>
      <c r="L72" s="20">
        <f t="shared" si="35"/>
        <v>1.0620354885243355</v>
      </c>
      <c r="M72" s="20">
        <f t="shared" si="35"/>
        <v>1.8678683601586312</v>
      </c>
      <c r="N72" s="20">
        <f t="shared" si="35"/>
        <v>2.5642100660633651</v>
      </c>
      <c r="O72" s="20">
        <f t="shared" si="35"/>
        <v>3.1615651977447166</v>
      </c>
      <c r="P72" s="20">
        <f t="shared" si="35"/>
        <v>3.6694101138115873</v>
      </c>
      <c r="Q72" s="20">
        <f t="shared" si="35"/>
        <v>4.1186333597994631</v>
      </c>
      <c r="R72" s="20">
        <f t="shared" si="35"/>
        <v>4.5482149468839213</v>
      </c>
      <c r="S72" s="20">
        <f t="shared" si="35"/>
        <v>4.9709172335101321</v>
      </c>
      <c r="T72" s="20">
        <f t="shared" si="35"/>
        <v>5.387084184701008</v>
      </c>
      <c r="U72" s="20">
        <f t="shared" si="35"/>
        <v>5.797042567228317</v>
      </c>
      <c r="V72" s="20">
        <f t="shared" si="35"/>
        <v>6.2011028095252358</v>
      </c>
      <c r="W72" s="20">
        <f t="shared" si="35"/>
        <v>6.599559818603284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0.15759139448226689</v>
      </c>
      <c r="L73" s="20">
        <f t="shared" si="36"/>
        <v>0.68860913874443463</v>
      </c>
      <c r="M73" s="20">
        <f t="shared" si="36"/>
        <v>1.4649519243414835</v>
      </c>
      <c r="N73" s="20">
        <f t="shared" si="36"/>
        <v>2.2160392131109981</v>
      </c>
      <c r="O73" s="20">
        <f t="shared" si="36"/>
        <v>2.8628876319040408</v>
      </c>
      <c r="P73" s="20">
        <f t="shared" si="36"/>
        <v>3.4154876557781519</v>
      </c>
      <c r="Q73" s="20">
        <f t="shared" si="36"/>
        <v>3.8940217368055254</v>
      </c>
      <c r="R73" s="20">
        <f t="shared" si="36"/>
        <v>4.3334241533416922</v>
      </c>
      <c r="S73" s="20">
        <f t="shared" si="36"/>
        <v>4.7595660901970263</v>
      </c>
      <c r="T73" s="20">
        <f t="shared" si="36"/>
        <v>5.1790007091055701</v>
      </c>
      <c r="U73" s="20">
        <f t="shared" si="36"/>
        <v>5.5920633759646625</v>
      </c>
      <c r="V73" s="20">
        <f t="shared" si="36"/>
        <v>5.999072688376776</v>
      </c>
      <c r="W73" s="20">
        <f t="shared" si="36"/>
        <v>6.4003313140642604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18.014665662500001</v>
      </c>
      <c r="L76" s="12">
        <f t="shared" si="37"/>
        <v>45.029331325000001</v>
      </c>
      <c r="M76" s="12">
        <f t="shared" si="37"/>
        <v>54.029331325000001</v>
      </c>
      <c r="N76" s="12">
        <f t="shared" si="37"/>
        <v>54.029331325000001</v>
      </c>
      <c r="O76" s="12">
        <f t="shared" si="37"/>
        <v>54.029331325000001</v>
      </c>
      <c r="P76" s="12">
        <f t="shared" si="37"/>
        <v>54.029331325000001</v>
      </c>
      <c r="Q76" s="12">
        <f t="shared" si="37"/>
        <v>54.029331325000001</v>
      </c>
      <c r="R76" s="12">
        <f t="shared" si="37"/>
        <v>54.029331325000001</v>
      </c>
      <c r="S76" s="12">
        <f t="shared" si="37"/>
        <v>54.029331325000001</v>
      </c>
      <c r="T76" s="12">
        <f t="shared" si="37"/>
        <v>54.029331325000001</v>
      </c>
      <c r="U76" s="12">
        <f t="shared" si="37"/>
        <v>54.029331325000001</v>
      </c>
      <c r="V76" s="12">
        <f t="shared" si="37"/>
        <v>54.029331325000001</v>
      </c>
      <c r="W76" s="12">
        <f t="shared" si="37"/>
        <v>54.029331325000001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-0.22518332078125003</v>
      </c>
      <c r="L77" s="12">
        <f t="shared" si="38"/>
        <v>-1.0132332831249999</v>
      </c>
      <c r="M77" s="12">
        <f t="shared" si="38"/>
        <v>-2.25146656625</v>
      </c>
      <c r="N77" s="12">
        <f t="shared" si="38"/>
        <v>-3.6021998493749998</v>
      </c>
      <c r="O77" s="12">
        <f t="shared" si="38"/>
        <v>-4.9529331325000001</v>
      </c>
      <c r="P77" s="12">
        <f t="shared" si="38"/>
        <v>-6.3036664156249991</v>
      </c>
      <c r="Q77" s="12">
        <f t="shared" si="38"/>
        <v>-7.6543996987499998</v>
      </c>
      <c r="R77" s="12">
        <f t="shared" si="38"/>
        <v>-9.0051329818750006</v>
      </c>
      <c r="S77" s="12">
        <f t="shared" si="38"/>
        <v>-10.355866265</v>
      </c>
      <c r="T77" s="12">
        <f t="shared" si="38"/>
        <v>-11.706599548125002</v>
      </c>
      <c r="U77" s="12">
        <f t="shared" si="38"/>
        <v>-13.057332831250001</v>
      </c>
      <c r="V77" s="12">
        <f t="shared" si="38"/>
        <v>-14.408066114375004</v>
      </c>
      <c r="W77" s="12">
        <f t="shared" si="38"/>
        <v>-15.758799397500002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0</v>
      </c>
      <c r="J78" s="12">
        <f t="shared" si="39"/>
        <v>9.0146656624999988</v>
      </c>
      <c r="K78" s="12">
        <f t="shared" si="39"/>
        <v>9.0146656624999988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-0.15759139448226689</v>
      </c>
      <c r="L79" s="12">
        <f t="shared" si="40"/>
        <v>-0.68860913874443463</v>
      </c>
      <c r="M79" s="12">
        <f t="shared" si="40"/>
        <v>-1.4649519243414835</v>
      </c>
      <c r="N79" s="12">
        <f t="shared" si="40"/>
        <v>-2.2160392131109981</v>
      </c>
      <c r="O79" s="12">
        <f t="shared" si="40"/>
        <v>-2.8628876319040408</v>
      </c>
      <c r="P79" s="12">
        <f t="shared" si="40"/>
        <v>-3.4154876557781519</v>
      </c>
      <c r="Q79" s="12">
        <f t="shared" si="40"/>
        <v>-3.8940217368055254</v>
      </c>
      <c r="R79" s="12">
        <f t="shared" si="40"/>
        <v>-4.3334241533416922</v>
      </c>
      <c r="S79" s="12">
        <f t="shared" si="40"/>
        <v>-4.7595660901970263</v>
      </c>
      <c r="T79" s="12">
        <f t="shared" si="40"/>
        <v>-5.1790007091055701</v>
      </c>
      <c r="U79" s="12">
        <f t="shared" si="40"/>
        <v>-5.5920633759646625</v>
      </c>
      <c r="V79" s="12">
        <f t="shared" si="40"/>
        <v>-5.999072688376776</v>
      </c>
      <c r="W79" s="12">
        <f t="shared" si="40"/>
        <v>-6.4003313140642604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0</v>
      </c>
      <c r="J80" s="20">
        <f>SUM(J76:J79)</f>
        <v>9.0146656624999988</v>
      </c>
      <c r="K80" s="20">
        <f t="shared" ref="K80:W80" si="41">SUM(K76:K79)</f>
        <v>26.646556609736479</v>
      </c>
      <c r="L80" s="20">
        <f t="shared" si="41"/>
        <v>43.327488903130572</v>
      </c>
      <c r="M80" s="20">
        <f t="shared" si="41"/>
        <v>50.312912834408515</v>
      </c>
      <c r="N80" s="20">
        <f t="shared" si="41"/>
        <v>48.211092262514008</v>
      </c>
      <c r="O80" s="20">
        <f t="shared" si="41"/>
        <v>46.213510560595964</v>
      </c>
      <c r="P80" s="20">
        <f t="shared" si="41"/>
        <v>44.310177253596848</v>
      </c>
      <c r="Q80" s="20">
        <f t="shared" si="41"/>
        <v>42.480909889444476</v>
      </c>
      <c r="R80" s="20">
        <f t="shared" si="41"/>
        <v>40.690774189783312</v>
      </c>
      <c r="S80" s="20">
        <f t="shared" si="41"/>
        <v>38.913898969802972</v>
      </c>
      <c r="T80" s="20">
        <f t="shared" si="41"/>
        <v>37.14373106776943</v>
      </c>
      <c r="U80" s="20">
        <f t="shared" si="41"/>
        <v>35.379935117785337</v>
      </c>
      <c r="V80" s="20">
        <f t="shared" si="41"/>
        <v>33.62219252224822</v>
      </c>
      <c r="W80" s="20">
        <f t="shared" si="41"/>
        <v>31.870200613435742</v>
      </c>
    </row>
    <row r="81" spans="1:24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4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4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0.45036664156250006</v>
      </c>
      <c r="L83" s="12">
        <f t="shared" si="42"/>
        <v>1.125733283125</v>
      </c>
      <c r="M83" s="12">
        <f t="shared" si="42"/>
        <v>1.3507332831250001</v>
      </c>
      <c r="N83" s="12">
        <f t="shared" si="42"/>
        <v>1.3507332831250001</v>
      </c>
      <c r="O83" s="12">
        <f t="shared" si="42"/>
        <v>1.3507332831250001</v>
      </c>
      <c r="P83" s="12">
        <f t="shared" si="42"/>
        <v>1.3507332831250001</v>
      </c>
      <c r="Q83" s="12">
        <f t="shared" si="42"/>
        <v>1.3507332831250001</v>
      </c>
      <c r="R83" s="12">
        <f t="shared" si="42"/>
        <v>1.3507332831250001</v>
      </c>
      <c r="S83" s="12">
        <f t="shared" si="42"/>
        <v>1.3507332831250001</v>
      </c>
      <c r="T83" s="12">
        <f t="shared" si="42"/>
        <v>1.3507332831250001</v>
      </c>
      <c r="U83" s="12">
        <f t="shared" si="42"/>
        <v>1.3507332831250001</v>
      </c>
      <c r="V83" s="12">
        <f t="shared" si="42"/>
        <v>1.3507332831250001</v>
      </c>
      <c r="W83" s="12">
        <f t="shared" si="42"/>
        <v>1.3507332831250001</v>
      </c>
    </row>
    <row r="84" spans="1:24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0.27043996987499996</v>
      </c>
      <c r="K84" s="12">
        <f t="shared" si="44"/>
        <v>0.79939669829209437</v>
      </c>
      <c r="L84" s="12">
        <f t="shared" si="44"/>
        <v>1.2998246670939171</v>
      </c>
      <c r="M84" s="12">
        <f t="shared" si="44"/>
        <v>1.5093873850322554</v>
      </c>
      <c r="N84" s="12">
        <f t="shared" si="44"/>
        <v>1.4463327678754201</v>
      </c>
      <c r="O84" s="12">
        <f t="shared" si="44"/>
        <v>1.3864053168178789</v>
      </c>
      <c r="P84" s="12">
        <f t="shared" si="44"/>
        <v>1.3293053176079055</v>
      </c>
      <c r="Q84" s="12">
        <f t="shared" si="44"/>
        <v>1.2744272966833343</v>
      </c>
      <c r="R84" s="12">
        <f t="shared" si="44"/>
        <v>1.2207232256934992</v>
      </c>
      <c r="S84" s="12">
        <f t="shared" si="44"/>
        <v>1.1674169690940892</v>
      </c>
      <c r="T84" s="12">
        <f t="shared" si="44"/>
        <v>1.1143119320330828</v>
      </c>
      <c r="U84" s="12">
        <f t="shared" si="44"/>
        <v>1.0613980535335601</v>
      </c>
      <c r="V84" s="12">
        <f t="shared" si="44"/>
        <v>1.0086657756674466</v>
      </c>
      <c r="W84" s="12">
        <f t="shared" si="44"/>
        <v>0.95610601840307219</v>
      </c>
    </row>
    <row r="85" spans="1:24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0.49580661143749993</v>
      </c>
      <c r="K85" s="12">
        <f t="shared" si="45"/>
        <v>1.4655606135355064</v>
      </c>
      <c r="L85" s="12">
        <f t="shared" si="45"/>
        <v>2.3830118896721815</v>
      </c>
      <c r="M85" s="12">
        <f t="shared" si="45"/>
        <v>2.7672102058924684</v>
      </c>
      <c r="N85" s="12">
        <f t="shared" si="45"/>
        <v>2.6516100744382705</v>
      </c>
      <c r="O85" s="12">
        <f t="shared" si="45"/>
        <v>2.5417430808327781</v>
      </c>
      <c r="P85" s="12">
        <f t="shared" si="45"/>
        <v>2.4370597489478265</v>
      </c>
      <c r="Q85" s="12">
        <f t="shared" si="45"/>
        <v>2.336450043919446</v>
      </c>
      <c r="R85" s="12">
        <f t="shared" si="45"/>
        <v>2.2379925804380822</v>
      </c>
      <c r="S85" s="12">
        <f t="shared" si="45"/>
        <v>2.1402644433391633</v>
      </c>
      <c r="T85" s="12">
        <f t="shared" si="45"/>
        <v>2.0429052087273187</v>
      </c>
      <c r="U85" s="12">
        <f t="shared" si="45"/>
        <v>1.9458964314781935</v>
      </c>
      <c r="V85" s="12">
        <f t="shared" si="45"/>
        <v>1.8492205887236521</v>
      </c>
      <c r="W85" s="12">
        <f t="shared" si="45"/>
        <v>1.7528610337389658</v>
      </c>
    </row>
    <row r="86" spans="1:24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0.13179669417958859</v>
      </c>
      <c r="K86" s="12">
        <f t="shared" si="46"/>
        <v>0.38957940359804599</v>
      </c>
      <c r="L86" s="12">
        <f t="shared" si="46"/>
        <v>0.63345885674830138</v>
      </c>
      <c r="M86" s="12">
        <f t="shared" si="46"/>
        <v>0.73558752308533959</v>
      </c>
      <c r="N86" s="12">
        <f t="shared" si="46"/>
        <v>0.70485837421776809</v>
      </c>
      <c r="O86" s="12">
        <f t="shared" si="46"/>
        <v>0.67565322401883965</v>
      </c>
      <c r="P86" s="12">
        <f t="shared" si="46"/>
        <v>0.64782600921397926</v>
      </c>
      <c r="Q86" s="12">
        <f t="shared" si="46"/>
        <v>0.62108165724440967</v>
      </c>
      <c r="R86" s="12">
        <f t="shared" si="46"/>
        <v>0.5949094201164522</v>
      </c>
      <c r="S86" s="12">
        <f t="shared" si="46"/>
        <v>0.56893105455851167</v>
      </c>
      <c r="T86" s="12">
        <f t="shared" si="46"/>
        <v>0.54305075168700878</v>
      </c>
      <c r="U86" s="12">
        <f t="shared" si="46"/>
        <v>0.51726360836762109</v>
      </c>
      <c r="V86" s="12">
        <f t="shared" si="46"/>
        <v>0.49156496662274296</v>
      </c>
      <c r="W86" s="12">
        <f t="shared" si="46"/>
        <v>0.46595040137364913</v>
      </c>
    </row>
    <row r="87" spans="1:24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6.0860171365237643E-2</v>
      </c>
      <c r="K87" s="12">
        <f t="shared" si="47"/>
        <v>0.17989729872159504</v>
      </c>
      <c r="L87" s="12">
        <f t="shared" si="47"/>
        <v>0.29251427598022234</v>
      </c>
      <c r="M87" s="12">
        <f t="shared" si="47"/>
        <v>0.33967454940943204</v>
      </c>
      <c r="N87" s="12">
        <f t="shared" si="47"/>
        <v>0.32548465430144125</v>
      </c>
      <c r="O87" s="12">
        <f t="shared" si="47"/>
        <v>0.31199850082150399</v>
      </c>
      <c r="P87" s="12">
        <f t="shared" si="47"/>
        <v>0.2991486408748395</v>
      </c>
      <c r="Q87" s="12">
        <f t="shared" si="47"/>
        <v>0.28679881788381406</v>
      </c>
      <c r="R87" s="12">
        <f t="shared" si="47"/>
        <v>0.27471318215118573</v>
      </c>
      <c r="S87" s="12">
        <f t="shared" si="47"/>
        <v>0.26271707109933579</v>
      </c>
      <c r="T87" s="12">
        <f t="shared" si="47"/>
        <v>0.25076624276066978</v>
      </c>
      <c r="U87" s="12">
        <f t="shared" si="47"/>
        <v>0.23885843299952833</v>
      </c>
      <c r="V87" s="12">
        <f t="shared" si="47"/>
        <v>0.22699149088703527</v>
      </c>
      <c r="W87" s="12">
        <f t="shared" si="47"/>
        <v>0.21516337304075822</v>
      </c>
    </row>
    <row r="88" spans="1:24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0.72058662650000005</v>
      </c>
      <c r="M88" s="12">
        <f t="shared" si="48"/>
        <v>1.0949983590300001</v>
      </c>
      <c r="N88" s="12">
        <f t="shared" si="48"/>
        <v>1.1168983262106</v>
      </c>
      <c r="O88" s="12">
        <f t="shared" si="48"/>
        <v>1.1392362927348121</v>
      </c>
      <c r="P88" s="12">
        <f t="shared" si="48"/>
        <v>1.1620210185895083</v>
      </c>
      <c r="Q88" s="12">
        <f t="shared" si="48"/>
        <v>1.1852614389612985</v>
      </c>
      <c r="R88" s="12">
        <f t="shared" si="48"/>
        <v>1.2089666677405246</v>
      </c>
      <c r="S88" s="12">
        <f t="shared" si="48"/>
        <v>1.2331460010953352</v>
      </c>
      <c r="T88" s="12">
        <f t="shared" si="48"/>
        <v>1.2578089211172419</v>
      </c>
      <c r="U88" s="12">
        <f t="shared" si="48"/>
        <v>1.2829650995395867</v>
      </c>
      <c r="V88" s="12">
        <f t="shared" si="48"/>
        <v>1.3086244015303785</v>
      </c>
      <c r="W88" s="12">
        <f t="shared" si="48"/>
        <v>1.3347968895609861</v>
      </c>
    </row>
    <row r="89" spans="1:24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0.9589034468573262</v>
      </c>
      <c r="K89" s="20">
        <f t="shared" si="49"/>
        <v>3.2848006557097418</v>
      </c>
      <c r="L89" s="20">
        <f t="shared" si="49"/>
        <v>6.4551295991196236</v>
      </c>
      <c r="M89" s="20">
        <f t="shared" si="49"/>
        <v>7.7975913055744952</v>
      </c>
      <c r="N89" s="20">
        <f t="shared" si="49"/>
        <v>7.5959174801684997</v>
      </c>
      <c r="O89" s="20">
        <f t="shared" si="49"/>
        <v>7.405769698350813</v>
      </c>
      <c r="P89" s="20">
        <f t="shared" si="49"/>
        <v>7.2260940183590598</v>
      </c>
      <c r="Q89" s="20">
        <f t="shared" si="49"/>
        <v>7.0547525378173024</v>
      </c>
      <c r="R89" s="20">
        <f t="shared" si="49"/>
        <v>6.8880383592647441</v>
      </c>
      <c r="S89" s="20">
        <f t="shared" si="49"/>
        <v>6.7232088223114355</v>
      </c>
      <c r="T89" s="20">
        <f t="shared" si="49"/>
        <v>6.5595763394503219</v>
      </c>
      <c r="U89" s="20">
        <f t="shared" si="49"/>
        <v>6.3971149090434896</v>
      </c>
      <c r="V89" s="20">
        <f t="shared" si="49"/>
        <v>6.2358005065562558</v>
      </c>
      <c r="W89" s="20">
        <f t="shared" si="49"/>
        <v>6.0756109992424321</v>
      </c>
      <c r="X89" s="44"/>
    </row>
    <row r="90" spans="1:24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topLeftCell="F5" zoomScaleNormal="100" workbookViewId="0">
      <selection activeCell="AB22" sqref="AB22"/>
    </sheetView>
  </sheetViews>
  <sheetFormatPr defaultColWidth="9.140625" defaultRowHeight="12.75" x14ac:dyDescent="0.2"/>
  <cols>
    <col min="1" max="1" width="4.7109375" style="3" customWidth="1"/>
    <col min="2" max="2" width="2.7109375" style="3" customWidth="1"/>
    <col min="3" max="3" width="2.7109375" style="1" customWidth="1"/>
    <col min="4" max="4" width="2.7109375" style="3" customWidth="1"/>
    <col min="5" max="5" width="35.7109375" style="3" customWidth="1"/>
    <col min="6" max="6" width="10.7109375" style="2" customWidth="1"/>
    <col min="7" max="7" width="2.7109375" style="3" customWidth="1"/>
    <col min="8" max="71" width="10.7109375" style="3" customWidth="1"/>
    <col min="72" max="16384" width="9.140625" style="3"/>
  </cols>
  <sheetData>
    <row r="1" spans="1:24" x14ac:dyDescent="0.2">
      <c r="A1" s="1" t="s">
        <v>22</v>
      </c>
      <c r="B1" s="1"/>
      <c r="E1" s="29" t="s">
        <v>100</v>
      </c>
    </row>
    <row r="2" spans="1:24" x14ac:dyDescent="0.2">
      <c r="A2" s="1" t="s">
        <v>0</v>
      </c>
      <c r="B2" s="1"/>
    </row>
    <row r="3" spans="1:24" s="5" customFormat="1" x14ac:dyDescent="0.2">
      <c r="A3" s="4"/>
      <c r="E3" s="6"/>
      <c r="F3" s="4" t="s">
        <v>3</v>
      </c>
      <c r="H3" s="5">
        <v>2016</v>
      </c>
      <c r="I3" s="5">
        <v>2017</v>
      </c>
      <c r="J3" s="5">
        <f>I3+1</f>
        <v>2018</v>
      </c>
      <c r="K3" s="5">
        <f t="shared" ref="K3:W4" si="0">J3+1</f>
        <v>2019</v>
      </c>
      <c r="L3" s="5">
        <f t="shared" si="0"/>
        <v>2020</v>
      </c>
      <c r="M3" s="5">
        <f t="shared" si="0"/>
        <v>2021</v>
      </c>
      <c r="N3" s="5">
        <f t="shared" si="0"/>
        <v>2022</v>
      </c>
      <c r="O3" s="5">
        <f t="shared" si="0"/>
        <v>2023</v>
      </c>
      <c r="P3" s="5">
        <f t="shared" si="0"/>
        <v>2024</v>
      </c>
      <c r="Q3" s="5">
        <f t="shared" si="0"/>
        <v>2025</v>
      </c>
      <c r="R3" s="5">
        <f t="shared" si="0"/>
        <v>2026</v>
      </c>
      <c r="S3" s="5">
        <f t="shared" si="0"/>
        <v>2027</v>
      </c>
      <c r="T3" s="5">
        <f t="shared" si="0"/>
        <v>2028</v>
      </c>
      <c r="U3" s="5">
        <f t="shared" si="0"/>
        <v>2029</v>
      </c>
      <c r="V3" s="5">
        <f t="shared" si="0"/>
        <v>2030</v>
      </c>
      <c r="W3" s="5">
        <f t="shared" si="0"/>
        <v>2031</v>
      </c>
    </row>
    <row r="4" spans="1:24" s="8" customFormat="1" x14ac:dyDescent="0.2">
      <c r="A4" s="7" t="s">
        <v>1</v>
      </c>
      <c r="E4" s="9" t="s">
        <v>2</v>
      </c>
      <c r="H4" s="10">
        <v>0</v>
      </c>
      <c r="I4" s="10">
        <v>1</v>
      </c>
      <c r="J4" s="10">
        <f>I4+1</f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10">
        <f t="shared" si="0"/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10">
        <f t="shared" si="0"/>
        <v>11</v>
      </c>
      <c r="T4" s="10">
        <f t="shared" si="0"/>
        <v>12</v>
      </c>
      <c r="U4" s="10">
        <f t="shared" si="0"/>
        <v>13</v>
      </c>
      <c r="V4" s="10">
        <f t="shared" si="0"/>
        <v>14</v>
      </c>
      <c r="W4" s="10">
        <f t="shared" si="0"/>
        <v>15</v>
      </c>
      <c r="X4" s="10"/>
    </row>
    <row r="5" spans="1:24" s="8" customFormat="1" x14ac:dyDescent="0.2">
      <c r="A5" s="4"/>
      <c r="E5" s="9"/>
      <c r="F5" s="1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8" customFormat="1" x14ac:dyDescent="0.2">
      <c r="A6" s="4"/>
      <c r="C6" s="8" t="s">
        <v>64</v>
      </c>
      <c r="E6" s="9"/>
      <c r="F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4" s="8" customFormat="1" x14ac:dyDescent="0.2">
      <c r="A7" s="10">
        <v>1</v>
      </c>
      <c r="D7" s="13" t="s">
        <v>23</v>
      </c>
      <c r="E7" s="19"/>
      <c r="F7" s="21">
        <v>2017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8" customFormat="1" x14ac:dyDescent="0.2">
      <c r="A8" s="10">
        <f>A7+1</f>
        <v>2</v>
      </c>
      <c r="D8" s="13" t="s">
        <v>32</v>
      </c>
      <c r="E8" s="19"/>
      <c r="F8" s="17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4" x14ac:dyDescent="0.2">
      <c r="A9" s="10"/>
      <c r="F9" s="30"/>
    </row>
    <row r="10" spans="1:24" s="8" customFormat="1" x14ac:dyDescent="0.2">
      <c r="A10" s="10">
        <f>A8+1</f>
        <v>3</v>
      </c>
      <c r="D10" s="13" t="s">
        <v>30</v>
      </c>
      <c r="E10" s="19"/>
      <c r="F10" s="18" t="s">
        <v>33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s="8" customFormat="1" x14ac:dyDescent="0.2">
      <c r="A11" s="10">
        <f>A10+1</f>
        <v>4</v>
      </c>
      <c r="D11" s="13" t="s">
        <v>31</v>
      </c>
      <c r="E11" s="19"/>
      <c r="F11" s="18" t="s">
        <v>37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4" s="8" customFormat="1" x14ac:dyDescent="0.2">
      <c r="A12" s="10"/>
      <c r="D12" s="13"/>
      <c r="E12" s="19"/>
      <c r="F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4" s="8" customFormat="1" x14ac:dyDescent="0.2">
      <c r="A13" s="10">
        <f>A11+1</f>
        <v>5</v>
      </c>
      <c r="D13" s="13" t="s">
        <v>68</v>
      </c>
      <c r="E13" s="19"/>
      <c r="F13" s="22">
        <v>2.5000000000000001E-2</v>
      </c>
      <c r="G13" s="23"/>
      <c r="H13" s="23"/>
      <c r="I13" s="36">
        <f>$F13</f>
        <v>2.5000000000000001E-2</v>
      </c>
      <c r="J13" s="36">
        <f t="shared" ref="J13:W13" si="1">$F13</f>
        <v>2.5000000000000001E-2</v>
      </c>
      <c r="K13" s="36">
        <f t="shared" si="1"/>
        <v>2.5000000000000001E-2</v>
      </c>
      <c r="L13" s="36">
        <f t="shared" si="1"/>
        <v>2.5000000000000001E-2</v>
      </c>
      <c r="M13" s="36">
        <f t="shared" si="1"/>
        <v>2.5000000000000001E-2</v>
      </c>
      <c r="N13" s="36">
        <f t="shared" si="1"/>
        <v>2.5000000000000001E-2</v>
      </c>
      <c r="O13" s="36">
        <f t="shared" si="1"/>
        <v>2.5000000000000001E-2</v>
      </c>
      <c r="P13" s="36">
        <f t="shared" si="1"/>
        <v>2.5000000000000001E-2</v>
      </c>
      <c r="Q13" s="36">
        <f t="shared" si="1"/>
        <v>2.5000000000000001E-2</v>
      </c>
      <c r="R13" s="36">
        <f t="shared" si="1"/>
        <v>2.5000000000000001E-2</v>
      </c>
      <c r="S13" s="36">
        <f t="shared" si="1"/>
        <v>2.5000000000000001E-2</v>
      </c>
      <c r="T13" s="36">
        <f t="shared" si="1"/>
        <v>2.5000000000000001E-2</v>
      </c>
      <c r="U13" s="36">
        <f t="shared" si="1"/>
        <v>2.5000000000000001E-2</v>
      </c>
      <c r="V13" s="36">
        <f t="shared" si="1"/>
        <v>2.5000000000000001E-2</v>
      </c>
      <c r="W13" s="36">
        <f t="shared" si="1"/>
        <v>2.5000000000000001E-2</v>
      </c>
    </row>
    <row r="14" spans="1:24" s="8" customFormat="1" x14ac:dyDescent="0.2">
      <c r="A14" s="10"/>
      <c r="D14" s="13"/>
      <c r="E14" s="19"/>
      <c r="F14" s="24"/>
      <c r="G14" s="23"/>
      <c r="H14" s="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4" s="8" customFormat="1" x14ac:dyDescent="0.2">
      <c r="A15" s="10">
        <f>A13+1</f>
        <v>6</v>
      </c>
      <c r="D15" s="13" t="s">
        <v>24</v>
      </c>
      <c r="E15" s="19"/>
      <c r="F15" s="22">
        <v>0.5</v>
      </c>
      <c r="G15" s="23"/>
      <c r="H15" s="23"/>
      <c r="I15" s="36">
        <f t="shared" ref="I15:W16" si="2">$F15</f>
        <v>0.5</v>
      </c>
      <c r="J15" s="36">
        <f t="shared" si="2"/>
        <v>0.5</v>
      </c>
      <c r="K15" s="36">
        <f t="shared" si="2"/>
        <v>0.5</v>
      </c>
      <c r="L15" s="36">
        <f t="shared" si="2"/>
        <v>0.5</v>
      </c>
      <c r="M15" s="36">
        <f t="shared" si="2"/>
        <v>0.5</v>
      </c>
      <c r="N15" s="36">
        <f t="shared" si="2"/>
        <v>0.5</v>
      </c>
      <c r="O15" s="36">
        <f t="shared" si="2"/>
        <v>0.5</v>
      </c>
      <c r="P15" s="36">
        <f t="shared" si="2"/>
        <v>0.5</v>
      </c>
      <c r="Q15" s="36">
        <f t="shared" si="2"/>
        <v>0.5</v>
      </c>
      <c r="R15" s="36">
        <f t="shared" si="2"/>
        <v>0.5</v>
      </c>
      <c r="S15" s="36">
        <f t="shared" si="2"/>
        <v>0.5</v>
      </c>
      <c r="T15" s="36">
        <f t="shared" si="2"/>
        <v>0.5</v>
      </c>
      <c r="U15" s="36">
        <f t="shared" si="2"/>
        <v>0.5</v>
      </c>
      <c r="V15" s="36">
        <f t="shared" si="2"/>
        <v>0.5</v>
      </c>
      <c r="W15" s="36">
        <f t="shared" si="2"/>
        <v>0.5</v>
      </c>
    </row>
    <row r="16" spans="1:24" s="8" customFormat="1" x14ac:dyDescent="0.2">
      <c r="A16" s="10">
        <f>A15+1</f>
        <v>7</v>
      </c>
      <c r="D16" s="13" t="s">
        <v>25</v>
      </c>
      <c r="E16" s="19"/>
      <c r="F16" s="22">
        <v>0.06</v>
      </c>
      <c r="G16" s="23"/>
      <c r="H16" s="23"/>
      <c r="I16" s="36">
        <f t="shared" si="2"/>
        <v>0.06</v>
      </c>
      <c r="J16" s="36">
        <f t="shared" si="2"/>
        <v>0.06</v>
      </c>
      <c r="K16" s="36">
        <f t="shared" si="2"/>
        <v>0.06</v>
      </c>
      <c r="L16" s="36">
        <f t="shared" si="2"/>
        <v>0.06</v>
      </c>
      <c r="M16" s="36">
        <f t="shared" si="2"/>
        <v>0.06</v>
      </c>
      <c r="N16" s="36">
        <f t="shared" si="2"/>
        <v>0.06</v>
      </c>
      <c r="O16" s="36">
        <f t="shared" si="2"/>
        <v>0.06</v>
      </c>
      <c r="P16" s="36">
        <f t="shared" si="2"/>
        <v>0.06</v>
      </c>
      <c r="Q16" s="36">
        <f t="shared" si="2"/>
        <v>0.06</v>
      </c>
      <c r="R16" s="36">
        <f t="shared" si="2"/>
        <v>0.06</v>
      </c>
      <c r="S16" s="36">
        <f t="shared" si="2"/>
        <v>0.06</v>
      </c>
      <c r="T16" s="36">
        <f t="shared" si="2"/>
        <v>0.06</v>
      </c>
      <c r="U16" s="36">
        <f t="shared" si="2"/>
        <v>0.06</v>
      </c>
      <c r="V16" s="36">
        <f t="shared" si="2"/>
        <v>0.06</v>
      </c>
      <c r="W16" s="36">
        <f t="shared" si="2"/>
        <v>0.06</v>
      </c>
    </row>
    <row r="17" spans="1:24" s="8" customFormat="1" x14ac:dyDescent="0.2">
      <c r="A17" s="10"/>
      <c r="D17" s="13"/>
      <c r="E17" s="19"/>
      <c r="F17" s="24"/>
      <c r="G17" s="23"/>
      <c r="H17" s="23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4" s="8" customFormat="1" x14ac:dyDescent="0.2">
      <c r="A18" s="10">
        <f>A16+1</f>
        <v>8</v>
      </c>
      <c r="D18" s="13" t="s">
        <v>26</v>
      </c>
      <c r="E18" s="19"/>
      <c r="F18" s="26"/>
      <c r="G18" s="23"/>
      <c r="H18" s="23"/>
      <c r="I18" s="15">
        <f t="shared" ref="I18:W18" si="3">1-I15</f>
        <v>0.5</v>
      </c>
      <c r="J18" s="15">
        <f t="shared" si="3"/>
        <v>0.5</v>
      </c>
      <c r="K18" s="15">
        <f t="shared" si="3"/>
        <v>0.5</v>
      </c>
      <c r="L18" s="15">
        <f t="shared" si="3"/>
        <v>0.5</v>
      </c>
      <c r="M18" s="15">
        <f t="shared" si="3"/>
        <v>0.5</v>
      </c>
      <c r="N18" s="15">
        <f t="shared" si="3"/>
        <v>0.5</v>
      </c>
      <c r="O18" s="15">
        <f t="shared" si="3"/>
        <v>0.5</v>
      </c>
      <c r="P18" s="15">
        <f t="shared" si="3"/>
        <v>0.5</v>
      </c>
      <c r="Q18" s="15">
        <f t="shared" si="3"/>
        <v>0.5</v>
      </c>
      <c r="R18" s="15">
        <f t="shared" si="3"/>
        <v>0.5</v>
      </c>
      <c r="S18" s="15">
        <f t="shared" si="3"/>
        <v>0.5</v>
      </c>
      <c r="T18" s="15">
        <f t="shared" si="3"/>
        <v>0.5</v>
      </c>
      <c r="U18" s="15">
        <f t="shared" si="3"/>
        <v>0.5</v>
      </c>
      <c r="V18" s="15">
        <f t="shared" si="3"/>
        <v>0.5</v>
      </c>
      <c r="W18" s="15">
        <f t="shared" si="3"/>
        <v>0.5</v>
      </c>
    </row>
    <row r="19" spans="1:24" s="8" customFormat="1" x14ac:dyDescent="0.2">
      <c r="A19" s="10">
        <f>A18+1</f>
        <v>9</v>
      </c>
      <c r="D19" s="13" t="s">
        <v>27</v>
      </c>
      <c r="E19" s="19"/>
      <c r="F19" s="22">
        <v>0.11</v>
      </c>
      <c r="G19" s="23"/>
      <c r="H19" s="23"/>
      <c r="I19" s="36">
        <f t="shared" ref="I19:W19" si="4">$F19</f>
        <v>0.11</v>
      </c>
      <c r="J19" s="36">
        <f t="shared" si="4"/>
        <v>0.11</v>
      </c>
      <c r="K19" s="36">
        <f t="shared" si="4"/>
        <v>0.11</v>
      </c>
      <c r="L19" s="36">
        <f t="shared" si="4"/>
        <v>0.11</v>
      </c>
      <c r="M19" s="36">
        <f t="shared" si="4"/>
        <v>0.11</v>
      </c>
      <c r="N19" s="36">
        <f t="shared" si="4"/>
        <v>0.11</v>
      </c>
      <c r="O19" s="36">
        <f t="shared" si="4"/>
        <v>0.11</v>
      </c>
      <c r="P19" s="36">
        <f t="shared" si="4"/>
        <v>0.11</v>
      </c>
      <c r="Q19" s="36">
        <f t="shared" si="4"/>
        <v>0.11</v>
      </c>
      <c r="R19" s="36">
        <f t="shared" si="4"/>
        <v>0.11</v>
      </c>
      <c r="S19" s="36">
        <f t="shared" si="4"/>
        <v>0.11</v>
      </c>
      <c r="T19" s="36">
        <f t="shared" si="4"/>
        <v>0.11</v>
      </c>
      <c r="U19" s="36">
        <f t="shared" si="4"/>
        <v>0.11</v>
      </c>
      <c r="V19" s="36">
        <f t="shared" si="4"/>
        <v>0.11</v>
      </c>
      <c r="W19" s="36">
        <f t="shared" si="4"/>
        <v>0.11</v>
      </c>
    </row>
    <row r="20" spans="1:24" s="8" customFormat="1" x14ac:dyDescent="0.2">
      <c r="A20" s="10"/>
      <c r="D20" s="13"/>
      <c r="E20" s="19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8" customFormat="1" x14ac:dyDescent="0.2">
      <c r="A21" s="10">
        <f>A19+1</f>
        <v>10</v>
      </c>
      <c r="D21" s="13" t="s">
        <v>65</v>
      </c>
      <c r="E21" s="19"/>
      <c r="F21" s="26"/>
      <c r="G21" s="23"/>
      <c r="H21" s="23"/>
      <c r="I21" s="15">
        <f>I15*I16+I18*I19</f>
        <v>8.4999999999999992E-2</v>
      </c>
      <c r="J21" s="15">
        <f t="shared" ref="J21:W21" si="5">J15*J16+J18*J19</f>
        <v>8.4999999999999992E-2</v>
      </c>
      <c r="K21" s="15">
        <f t="shared" si="5"/>
        <v>8.4999999999999992E-2</v>
      </c>
      <c r="L21" s="15">
        <f t="shared" si="5"/>
        <v>8.4999999999999992E-2</v>
      </c>
      <c r="M21" s="15">
        <f t="shared" si="5"/>
        <v>8.4999999999999992E-2</v>
      </c>
      <c r="N21" s="15">
        <f t="shared" si="5"/>
        <v>8.4999999999999992E-2</v>
      </c>
      <c r="O21" s="15">
        <f t="shared" si="5"/>
        <v>8.4999999999999992E-2</v>
      </c>
      <c r="P21" s="15">
        <f t="shared" si="5"/>
        <v>8.4999999999999992E-2</v>
      </c>
      <c r="Q21" s="15">
        <f t="shared" si="5"/>
        <v>8.4999999999999992E-2</v>
      </c>
      <c r="R21" s="15">
        <f t="shared" si="5"/>
        <v>8.4999999999999992E-2</v>
      </c>
      <c r="S21" s="15">
        <f t="shared" si="5"/>
        <v>8.4999999999999992E-2</v>
      </c>
      <c r="T21" s="15">
        <f t="shared" si="5"/>
        <v>8.4999999999999992E-2</v>
      </c>
      <c r="U21" s="15">
        <f t="shared" si="5"/>
        <v>8.4999999999999992E-2</v>
      </c>
      <c r="V21" s="15">
        <f t="shared" si="5"/>
        <v>8.4999999999999992E-2</v>
      </c>
      <c r="W21" s="15">
        <f t="shared" si="5"/>
        <v>8.4999999999999992E-2</v>
      </c>
    </row>
    <row r="22" spans="1:24" s="8" customFormat="1" x14ac:dyDescent="0.2">
      <c r="A22" s="10"/>
      <c r="D22" s="13"/>
      <c r="E22" s="19"/>
      <c r="F22" s="26"/>
      <c r="G22" s="23"/>
      <c r="H22" s="23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4" s="8" customFormat="1" x14ac:dyDescent="0.2">
      <c r="A23" s="10">
        <f>A21+1</f>
        <v>11</v>
      </c>
      <c r="D23" s="13" t="s">
        <v>78</v>
      </c>
      <c r="E23" s="19"/>
      <c r="F23" s="26"/>
      <c r="G23" s="23"/>
      <c r="H23" s="23"/>
      <c r="I23" s="42">
        <v>0.05</v>
      </c>
      <c r="J23" s="42">
        <f>MAX(0.1*(1-SUM($I23:I23)),(1-SUM($I23:I23))/(16.5-J4))</f>
        <v>9.5000000000000001E-2</v>
      </c>
      <c r="K23" s="42">
        <f>MAX(0.1*(1-SUM($I23:J23)),(1-SUM($I23:J23))/(16.5-K4))</f>
        <v>8.5500000000000007E-2</v>
      </c>
      <c r="L23" s="42">
        <f>MAX(0.1*(1-SUM($I23:K23)),(1-SUM($I23:K23))/(16.5-L4))</f>
        <v>7.6950000000000005E-2</v>
      </c>
      <c r="M23" s="42">
        <f>MAX(0.1*(1-SUM($I23:L23)),(1-SUM($I23:L23))/(16.5-M4))</f>
        <v>6.9254999999999997E-2</v>
      </c>
      <c r="N23" s="42">
        <f>MAX(0.1*(1-SUM($I23:M23)),(1-SUM($I23:M23))/(16.5-N4))</f>
        <v>6.2329499999999996E-2</v>
      </c>
      <c r="O23" s="42">
        <f>MAX(0.1*(1-SUM($I23:N23)),(1-SUM($I23:N23))/(16.5-O4))</f>
        <v>5.9048999999999997E-2</v>
      </c>
      <c r="P23" s="42">
        <f>MAX(0.1*(1-SUM($I23:O23)),(1-SUM($I23:O23))/(16.5-P4))</f>
        <v>5.9048999999999983E-2</v>
      </c>
      <c r="Q23" s="42">
        <f>MAX(0.1*(1-SUM($I23:P23)),(1-SUM($I23:P23))/(16.5-Q4))</f>
        <v>5.9048999999999997E-2</v>
      </c>
      <c r="R23" s="42">
        <f>MAX(0.1*(1-SUM($I23:Q23)),(1-SUM($I23:Q23))/(16.5-R4))</f>
        <v>5.904899999999999E-2</v>
      </c>
      <c r="S23" s="42">
        <f>MAX(0.1*(1-SUM($I23:R23)),(1-SUM($I23:R23))/(16.5-S4))</f>
        <v>5.904899999999999E-2</v>
      </c>
      <c r="T23" s="42">
        <f>MAX(0.1*(1-SUM($I23:S23)),(1-SUM($I23:S23))/(16.5-T4))</f>
        <v>5.9048999999999983E-2</v>
      </c>
      <c r="U23" s="42">
        <f>MAX(0.1*(1-SUM($I23:T23)),(1-SUM($I23:T23))/(16.5-U4))</f>
        <v>5.904899999999997E-2</v>
      </c>
      <c r="V23" s="42">
        <f>MAX(0.1*(1-SUM($I23:U23)),(1-SUM($I23:U23))/(16.5-V4))</f>
        <v>5.9048999999999949E-2</v>
      </c>
      <c r="W23" s="42">
        <f>MAX(0.1*(1-SUM($I23:V23)),(1-SUM($I23:V23))/(16.5-W4))</f>
        <v>5.9048999999999983E-2</v>
      </c>
      <c r="X23" s="42">
        <f>MAX(0.1*(1-SUM($I23:W23)),(1-SUM($I23:W23))/0.5)/2</f>
        <v>2.9524499999999954E-2</v>
      </c>
    </row>
    <row r="24" spans="1:24" s="8" customFormat="1" x14ac:dyDescent="0.2">
      <c r="A24" s="10">
        <f>A23+1</f>
        <v>12</v>
      </c>
      <c r="D24" s="13" t="s">
        <v>82</v>
      </c>
      <c r="E24" s="19"/>
      <c r="F24" s="18" t="s">
        <v>37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s="8" customFormat="1" x14ac:dyDescent="0.2">
      <c r="A25" s="10">
        <f>A24+1</f>
        <v>13</v>
      </c>
      <c r="D25" s="13" t="s">
        <v>79</v>
      </c>
      <c r="E25" s="19"/>
      <c r="F25" s="39">
        <v>0.21</v>
      </c>
      <c r="G25" s="23"/>
      <c r="H25" s="23"/>
      <c r="I25" s="40">
        <f t="shared" ref="I25:W25" si="6">$F25</f>
        <v>0.21</v>
      </c>
      <c r="J25" s="40">
        <f t="shared" si="6"/>
        <v>0.21</v>
      </c>
      <c r="K25" s="40">
        <f t="shared" si="6"/>
        <v>0.21</v>
      </c>
      <c r="L25" s="40">
        <f t="shared" si="6"/>
        <v>0.21</v>
      </c>
      <c r="M25" s="40">
        <f t="shared" si="6"/>
        <v>0.21</v>
      </c>
      <c r="N25" s="40">
        <f t="shared" si="6"/>
        <v>0.21</v>
      </c>
      <c r="O25" s="40">
        <f t="shared" si="6"/>
        <v>0.21</v>
      </c>
      <c r="P25" s="40">
        <f t="shared" si="6"/>
        <v>0.21</v>
      </c>
      <c r="Q25" s="40">
        <f t="shared" si="6"/>
        <v>0.21</v>
      </c>
      <c r="R25" s="40">
        <f t="shared" si="6"/>
        <v>0.21</v>
      </c>
      <c r="S25" s="40">
        <f t="shared" si="6"/>
        <v>0.21</v>
      </c>
      <c r="T25" s="40">
        <f t="shared" si="6"/>
        <v>0.21</v>
      </c>
      <c r="U25" s="40">
        <f t="shared" si="6"/>
        <v>0.21</v>
      </c>
      <c r="V25" s="40">
        <f t="shared" si="6"/>
        <v>0.21</v>
      </c>
      <c r="W25" s="40">
        <f t="shared" si="6"/>
        <v>0.21</v>
      </c>
    </row>
    <row r="26" spans="1:24" s="8" customFormat="1" x14ac:dyDescent="0.2">
      <c r="A26" s="10"/>
      <c r="D26" s="13"/>
      <c r="E26" s="19"/>
      <c r="F26" s="41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x14ac:dyDescent="0.2">
      <c r="A27" s="10">
        <f>A25+1</f>
        <v>14</v>
      </c>
      <c r="D27" s="13" t="s">
        <v>80</v>
      </c>
      <c r="E27" s="19"/>
      <c r="F27" s="38">
        <v>2</v>
      </c>
      <c r="G27" s="23"/>
      <c r="H27" s="2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s="8" customFormat="1" x14ac:dyDescent="0.2">
      <c r="A28" s="10">
        <f>A27+1</f>
        <v>15</v>
      </c>
      <c r="D28" s="13" t="s">
        <v>83</v>
      </c>
      <c r="E28" s="19"/>
      <c r="F28" s="22" t="s">
        <v>37</v>
      </c>
      <c r="G28" s="23"/>
      <c r="H28" s="2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x14ac:dyDescent="0.2">
      <c r="A29" s="10">
        <f>A28+1</f>
        <v>16</v>
      </c>
      <c r="D29" s="13" t="s">
        <v>81</v>
      </c>
      <c r="E29" s="19"/>
      <c r="F29" s="39">
        <v>8.8400000000000006E-2</v>
      </c>
      <c r="G29" s="23"/>
      <c r="H29" s="23"/>
      <c r="I29" s="40">
        <f t="shared" ref="I29:W29" si="7">$F29</f>
        <v>8.8400000000000006E-2</v>
      </c>
      <c r="J29" s="40">
        <f t="shared" si="7"/>
        <v>8.8400000000000006E-2</v>
      </c>
      <c r="K29" s="40">
        <f t="shared" si="7"/>
        <v>8.8400000000000006E-2</v>
      </c>
      <c r="L29" s="40">
        <f t="shared" si="7"/>
        <v>8.8400000000000006E-2</v>
      </c>
      <c r="M29" s="40">
        <f t="shared" si="7"/>
        <v>8.8400000000000006E-2</v>
      </c>
      <c r="N29" s="40">
        <f t="shared" si="7"/>
        <v>8.8400000000000006E-2</v>
      </c>
      <c r="O29" s="40">
        <f t="shared" si="7"/>
        <v>8.8400000000000006E-2</v>
      </c>
      <c r="P29" s="40">
        <f t="shared" si="7"/>
        <v>8.8400000000000006E-2</v>
      </c>
      <c r="Q29" s="40">
        <f t="shared" si="7"/>
        <v>8.8400000000000006E-2</v>
      </c>
      <c r="R29" s="40">
        <f t="shared" si="7"/>
        <v>8.8400000000000006E-2</v>
      </c>
      <c r="S29" s="40">
        <f t="shared" si="7"/>
        <v>8.8400000000000006E-2</v>
      </c>
      <c r="T29" s="40">
        <f t="shared" si="7"/>
        <v>8.8400000000000006E-2</v>
      </c>
      <c r="U29" s="40">
        <f t="shared" si="7"/>
        <v>8.8400000000000006E-2</v>
      </c>
      <c r="V29" s="40">
        <f t="shared" si="7"/>
        <v>8.8400000000000006E-2</v>
      </c>
      <c r="W29" s="40">
        <f t="shared" si="7"/>
        <v>8.8400000000000006E-2</v>
      </c>
    </row>
    <row r="30" spans="1:24" s="8" customFormat="1" x14ac:dyDescent="0.2">
      <c r="A30" s="10"/>
      <c r="D30" s="13"/>
      <c r="E30" s="19"/>
      <c r="F30" s="24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4" s="8" customFormat="1" x14ac:dyDescent="0.2">
      <c r="A31" s="10">
        <f>A29+1</f>
        <v>17</v>
      </c>
      <c r="D31" s="13" t="s">
        <v>28</v>
      </c>
      <c r="E31" s="19"/>
      <c r="F31" s="22">
        <v>0.02</v>
      </c>
      <c r="G31" s="23"/>
      <c r="H31" s="23"/>
      <c r="I31" s="36">
        <f t="shared" ref="I31:W32" si="8">$F31</f>
        <v>0.02</v>
      </c>
      <c r="J31" s="36">
        <f t="shared" si="8"/>
        <v>0.02</v>
      </c>
      <c r="K31" s="36">
        <f t="shared" si="8"/>
        <v>0.02</v>
      </c>
      <c r="L31" s="36">
        <f t="shared" si="8"/>
        <v>0.02</v>
      </c>
      <c r="M31" s="36">
        <f t="shared" si="8"/>
        <v>0.02</v>
      </c>
      <c r="N31" s="36">
        <f t="shared" si="8"/>
        <v>0.02</v>
      </c>
      <c r="O31" s="36">
        <f t="shared" si="8"/>
        <v>0.02</v>
      </c>
      <c r="P31" s="36">
        <f t="shared" si="8"/>
        <v>0.02</v>
      </c>
      <c r="Q31" s="36">
        <f t="shared" si="8"/>
        <v>0.02</v>
      </c>
      <c r="R31" s="36">
        <f t="shared" si="8"/>
        <v>0.02</v>
      </c>
      <c r="S31" s="36">
        <f t="shared" si="8"/>
        <v>0.02</v>
      </c>
      <c r="T31" s="36">
        <f t="shared" si="8"/>
        <v>0.02</v>
      </c>
      <c r="U31" s="36">
        <f t="shared" si="8"/>
        <v>0.02</v>
      </c>
      <c r="V31" s="36">
        <f t="shared" si="8"/>
        <v>0.02</v>
      </c>
      <c r="W31" s="36">
        <f t="shared" si="8"/>
        <v>0.02</v>
      </c>
    </row>
    <row r="32" spans="1:24" s="8" customFormat="1" x14ac:dyDescent="0.2">
      <c r="A32" s="10">
        <f>A31+1</f>
        <v>18</v>
      </c>
      <c r="D32" s="13" t="s">
        <v>29</v>
      </c>
      <c r="E32" s="19"/>
      <c r="F32" s="22">
        <v>0.02</v>
      </c>
      <c r="G32" s="23"/>
      <c r="H32" s="23"/>
      <c r="I32" s="36">
        <f t="shared" si="8"/>
        <v>0.02</v>
      </c>
      <c r="J32" s="36">
        <f t="shared" si="8"/>
        <v>0.02</v>
      </c>
      <c r="K32" s="36">
        <f t="shared" si="8"/>
        <v>0.02</v>
      </c>
      <c r="L32" s="36">
        <f t="shared" si="8"/>
        <v>0.02</v>
      </c>
      <c r="M32" s="36">
        <f t="shared" si="8"/>
        <v>0.02</v>
      </c>
      <c r="N32" s="36">
        <f t="shared" si="8"/>
        <v>0.02</v>
      </c>
      <c r="O32" s="36">
        <f t="shared" si="8"/>
        <v>0.02</v>
      </c>
      <c r="P32" s="36">
        <f t="shared" si="8"/>
        <v>0.02</v>
      </c>
      <c r="Q32" s="36">
        <f t="shared" si="8"/>
        <v>0.02</v>
      </c>
      <c r="R32" s="36">
        <f t="shared" si="8"/>
        <v>0.02</v>
      </c>
      <c r="S32" s="36">
        <f t="shared" si="8"/>
        <v>0.02</v>
      </c>
      <c r="T32" s="36">
        <f t="shared" si="8"/>
        <v>0.02</v>
      </c>
      <c r="U32" s="36">
        <f t="shared" si="8"/>
        <v>0.02</v>
      </c>
      <c r="V32" s="36">
        <f t="shared" si="8"/>
        <v>0.02</v>
      </c>
      <c r="W32" s="36">
        <f t="shared" si="8"/>
        <v>0.02</v>
      </c>
    </row>
    <row r="33" spans="1:23" s="8" customFormat="1" x14ac:dyDescent="0.2">
      <c r="A33" s="10"/>
      <c r="E33" s="9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s="8" customFormat="1" x14ac:dyDescent="0.2">
      <c r="A34" s="10"/>
      <c r="C34" s="8" t="s">
        <v>7</v>
      </c>
      <c r="E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s="8" customFormat="1" x14ac:dyDescent="0.2">
      <c r="A35" s="10">
        <f>A32+1</f>
        <v>19</v>
      </c>
      <c r="C35" s="8" t="s">
        <v>8</v>
      </c>
      <c r="D35" s="13" t="s">
        <v>9</v>
      </c>
      <c r="E35" s="19"/>
      <c r="I35" s="12">
        <v>0</v>
      </c>
      <c r="J35" s="12">
        <f>I39</f>
        <v>0</v>
      </c>
      <c r="K35" s="12">
        <f t="shared" ref="K35:W35" si="9">J39</f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</row>
    <row r="36" spans="1:23" s="8" customFormat="1" x14ac:dyDescent="0.2">
      <c r="A36" s="10">
        <f>A35+1</f>
        <v>20</v>
      </c>
      <c r="D36" s="13" t="s">
        <v>10</v>
      </c>
      <c r="E36" s="19"/>
      <c r="I36" s="12">
        <f t="shared" ref="I36:W36" si="10">I8</f>
        <v>0</v>
      </c>
      <c r="J36" s="12">
        <f t="shared" si="10"/>
        <v>0</v>
      </c>
      <c r="K36" s="12">
        <f t="shared" si="10"/>
        <v>0</v>
      </c>
      <c r="L36" s="12">
        <f t="shared" si="10"/>
        <v>0</v>
      </c>
      <c r="M36" s="12">
        <f t="shared" si="10"/>
        <v>0</v>
      </c>
      <c r="N36" s="12">
        <f t="shared" si="10"/>
        <v>0</v>
      </c>
      <c r="O36" s="12">
        <f t="shared" si="10"/>
        <v>0</v>
      </c>
      <c r="P36" s="12">
        <f t="shared" si="10"/>
        <v>0</v>
      </c>
      <c r="Q36" s="12">
        <f t="shared" si="10"/>
        <v>0</v>
      </c>
      <c r="R36" s="12">
        <f t="shared" si="10"/>
        <v>0</v>
      </c>
      <c r="S36" s="12">
        <f t="shared" si="10"/>
        <v>0</v>
      </c>
      <c r="T36" s="12">
        <f t="shared" si="10"/>
        <v>0</v>
      </c>
      <c r="U36" s="12">
        <f t="shared" si="10"/>
        <v>0</v>
      </c>
      <c r="V36" s="12">
        <f t="shared" si="10"/>
        <v>0</v>
      </c>
      <c r="W36" s="12">
        <f t="shared" si="10"/>
        <v>0</v>
      </c>
    </row>
    <row r="37" spans="1:23" s="8" customFormat="1" x14ac:dyDescent="0.2">
      <c r="A37" s="10">
        <f>A36+1</f>
        <v>21</v>
      </c>
      <c r="D37" s="13" t="str">
        <f>IF(F11="Y","N/A (CWIP in Rate Base)", IF(F10="IDC","Interest During Construction","AFUDC"))</f>
        <v>N/A (CWIP in Rate Base)</v>
      </c>
      <c r="E37" s="19"/>
      <c r="I37" s="12">
        <f>($F11="N")*((I3&lt;$F7)*(I16*($F10="IDC")+I21*($F10="AFUDC"))*(I35+0.5*I36)+(I3&gt;=$F7)*0.5*I35*(I16*($F10="IDC")+I21*($F10="AFUDC"))/(1+0.5*(I16*($F10="IDC")+I21*($F10="AFUDC"))))</f>
        <v>0</v>
      </c>
      <c r="J37" s="12">
        <f>($F11="N")*((J3&lt;$F7)*(J16*($F10="IDC")+J21*($F10="AFUDC"))*(J35+0.5*J36)+(J3&gt;=$F7)*0.5*J35*(J16*($F10="IDC")+J21*($F10="AFUDC"))/(1+0.5*(J16*($F10="IDC")+J21*($F10="AFUDC"))))</f>
        <v>0</v>
      </c>
      <c r="K37" s="12">
        <f t="shared" ref="K37:W37" si="11">($F11="N")*((K3&lt;$F7)*(K16*($F10="IDC")+K21*($F10="AFUDC"))*(K35+0.5*K36)+(K3&gt;=$F7)*0.5*K35*(K16*($F10="IDC")+K21*($F10="AFUDC"))/(1+0.5*(K16*($F10="IDC")+K21*($F10="AFUDC"))))</f>
        <v>0</v>
      </c>
      <c r="L37" s="12">
        <f t="shared" si="11"/>
        <v>0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  <c r="T37" s="12">
        <f t="shared" si="11"/>
        <v>0</v>
      </c>
      <c r="U37" s="12">
        <f t="shared" si="11"/>
        <v>0</v>
      </c>
      <c r="V37" s="12">
        <f t="shared" si="11"/>
        <v>0</v>
      </c>
      <c r="W37" s="12">
        <f t="shared" si="11"/>
        <v>0</v>
      </c>
    </row>
    <row r="38" spans="1:23" s="8" customFormat="1" x14ac:dyDescent="0.2">
      <c r="A38" s="10">
        <f>A37+1</f>
        <v>22</v>
      </c>
      <c r="D38" s="13" t="s">
        <v>11</v>
      </c>
      <c r="E38" s="19"/>
      <c r="I38" s="12">
        <f t="shared" ref="I38:W38" si="12">IF(I3&gt;=$F7,-SUM(I35:I37),0)</f>
        <v>0</v>
      </c>
      <c r="J38" s="12">
        <f t="shared" si="12"/>
        <v>0</v>
      </c>
      <c r="K38" s="12">
        <f t="shared" si="12"/>
        <v>0</v>
      </c>
      <c r="L38" s="12">
        <f t="shared" si="12"/>
        <v>0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  <c r="T38" s="12">
        <f t="shared" si="12"/>
        <v>0</v>
      </c>
      <c r="U38" s="12">
        <f t="shared" si="12"/>
        <v>0</v>
      </c>
      <c r="V38" s="12">
        <f t="shared" si="12"/>
        <v>0</v>
      </c>
      <c r="W38" s="12">
        <f t="shared" si="12"/>
        <v>0</v>
      </c>
    </row>
    <row r="39" spans="1:23" s="8" customFormat="1" x14ac:dyDescent="0.2">
      <c r="A39" s="10">
        <f>A38+1</f>
        <v>23</v>
      </c>
      <c r="D39" s="13" t="s">
        <v>12</v>
      </c>
      <c r="E39" s="19"/>
      <c r="I39" s="20">
        <f>SUM(I35:I38)</f>
        <v>0</v>
      </c>
      <c r="J39" s="20">
        <f>SUM(J35:J38)</f>
        <v>0</v>
      </c>
      <c r="K39" s="20">
        <f t="shared" ref="K39:W39" si="13">SUM(K35:K38)</f>
        <v>0</v>
      </c>
      <c r="L39" s="20">
        <f t="shared" si="13"/>
        <v>0</v>
      </c>
      <c r="M39" s="20">
        <f t="shared" si="13"/>
        <v>0</v>
      </c>
      <c r="N39" s="20">
        <f t="shared" si="13"/>
        <v>0</v>
      </c>
      <c r="O39" s="20">
        <f t="shared" si="13"/>
        <v>0</v>
      </c>
      <c r="P39" s="20">
        <f t="shared" si="13"/>
        <v>0</v>
      </c>
      <c r="Q39" s="20">
        <f t="shared" si="13"/>
        <v>0</v>
      </c>
      <c r="R39" s="20">
        <f t="shared" si="13"/>
        <v>0</v>
      </c>
      <c r="S39" s="20">
        <f t="shared" si="13"/>
        <v>0</v>
      </c>
      <c r="T39" s="20">
        <f t="shared" si="13"/>
        <v>0</v>
      </c>
      <c r="U39" s="20">
        <f t="shared" si="13"/>
        <v>0</v>
      </c>
      <c r="V39" s="20">
        <f t="shared" si="13"/>
        <v>0</v>
      </c>
      <c r="W39" s="20">
        <f t="shared" si="13"/>
        <v>0</v>
      </c>
    </row>
    <row r="40" spans="1:23" s="8" customFormat="1" x14ac:dyDescent="0.2">
      <c r="A40" s="10">
        <f>A39+1</f>
        <v>24</v>
      </c>
      <c r="D40" s="13" t="s">
        <v>16</v>
      </c>
      <c r="E40" s="19"/>
      <c r="I40" s="20">
        <f>(I35+I39)/2</f>
        <v>0</v>
      </c>
      <c r="J40" s="20">
        <f>(J35+J39)/2</f>
        <v>0</v>
      </c>
      <c r="K40" s="20">
        <f t="shared" ref="K40:W40" si="14">(K35+K39)/2</f>
        <v>0</v>
      </c>
      <c r="L40" s="20">
        <f t="shared" si="14"/>
        <v>0</v>
      </c>
      <c r="M40" s="20">
        <f t="shared" si="14"/>
        <v>0</v>
      </c>
      <c r="N40" s="20">
        <f t="shared" si="14"/>
        <v>0</v>
      </c>
      <c r="O40" s="20">
        <f t="shared" si="14"/>
        <v>0</v>
      </c>
      <c r="P40" s="20">
        <f t="shared" si="14"/>
        <v>0</v>
      </c>
      <c r="Q40" s="20">
        <f t="shared" si="14"/>
        <v>0</v>
      </c>
      <c r="R40" s="20">
        <f t="shared" si="14"/>
        <v>0</v>
      </c>
      <c r="S40" s="20">
        <f t="shared" si="14"/>
        <v>0</v>
      </c>
      <c r="T40" s="20">
        <f t="shared" si="14"/>
        <v>0</v>
      </c>
      <c r="U40" s="20">
        <f t="shared" si="14"/>
        <v>0</v>
      </c>
      <c r="V40" s="20">
        <f t="shared" si="14"/>
        <v>0</v>
      </c>
      <c r="W40" s="20">
        <f t="shared" si="14"/>
        <v>0</v>
      </c>
    </row>
    <row r="41" spans="1:23" s="8" customFormat="1" x14ac:dyDescent="0.2">
      <c r="A41" s="10"/>
      <c r="D41" s="13"/>
      <c r="E41" s="19"/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s="8" customFormat="1" x14ac:dyDescent="0.2">
      <c r="A42" s="10"/>
      <c r="C42" s="8" t="s">
        <v>60</v>
      </c>
      <c r="D42" s="13"/>
      <c r="E42" s="1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s="8" customFormat="1" x14ac:dyDescent="0.2">
      <c r="A43" s="10">
        <f>A40+1</f>
        <v>25</v>
      </c>
      <c r="D43" s="13" t="s">
        <v>9</v>
      </c>
      <c r="E43" s="19"/>
      <c r="I43" s="12">
        <v>0</v>
      </c>
      <c r="J43" s="12">
        <f>I46</f>
        <v>0</v>
      </c>
      <c r="K43" s="12">
        <f t="shared" ref="K43:W43" si="15">J46</f>
        <v>0</v>
      </c>
      <c r="L43" s="12">
        <f t="shared" si="15"/>
        <v>0</v>
      </c>
      <c r="M43" s="12">
        <f t="shared" si="15"/>
        <v>0</v>
      </c>
      <c r="N43" s="12">
        <f t="shared" si="15"/>
        <v>0</v>
      </c>
      <c r="O43" s="12">
        <f t="shared" si="15"/>
        <v>0</v>
      </c>
      <c r="P43" s="12">
        <f t="shared" si="15"/>
        <v>0</v>
      </c>
      <c r="Q43" s="12">
        <f t="shared" si="15"/>
        <v>0</v>
      </c>
      <c r="R43" s="12">
        <f t="shared" si="15"/>
        <v>0</v>
      </c>
      <c r="S43" s="12">
        <f t="shared" si="15"/>
        <v>0</v>
      </c>
      <c r="T43" s="12">
        <f t="shared" si="15"/>
        <v>0</v>
      </c>
      <c r="U43" s="12">
        <f t="shared" si="15"/>
        <v>0</v>
      </c>
      <c r="V43" s="12">
        <f t="shared" si="15"/>
        <v>0</v>
      </c>
      <c r="W43" s="12">
        <f t="shared" si="15"/>
        <v>0</v>
      </c>
    </row>
    <row r="44" spans="1:23" s="8" customFormat="1" x14ac:dyDescent="0.2">
      <c r="A44" s="10">
        <f>A43+1</f>
        <v>26</v>
      </c>
      <c r="D44" s="13" t="s">
        <v>11</v>
      </c>
      <c r="E44" s="19"/>
      <c r="I44" s="12">
        <f>-I38</f>
        <v>0</v>
      </c>
      <c r="J44" s="12">
        <f t="shared" ref="J44:W44" si="16">-J38</f>
        <v>0</v>
      </c>
      <c r="K44" s="12">
        <f t="shared" si="16"/>
        <v>0</v>
      </c>
      <c r="L44" s="12">
        <f t="shared" si="16"/>
        <v>0</v>
      </c>
      <c r="M44" s="12">
        <f t="shared" si="16"/>
        <v>0</v>
      </c>
      <c r="N44" s="12">
        <f t="shared" si="16"/>
        <v>0</v>
      </c>
      <c r="O44" s="12">
        <f t="shared" si="16"/>
        <v>0</v>
      </c>
      <c r="P44" s="12">
        <f t="shared" si="16"/>
        <v>0</v>
      </c>
      <c r="Q44" s="12">
        <f t="shared" si="16"/>
        <v>0</v>
      </c>
      <c r="R44" s="12">
        <f t="shared" si="16"/>
        <v>0</v>
      </c>
      <c r="S44" s="12">
        <f t="shared" si="16"/>
        <v>0</v>
      </c>
      <c r="T44" s="12">
        <f t="shared" si="16"/>
        <v>0</v>
      </c>
      <c r="U44" s="12">
        <f t="shared" si="16"/>
        <v>0</v>
      </c>
      <c r="V44" s="12">
        <f t="shared" si="16"/>
        <v>0</v>
      </c>
      <c r="W44" s="12">
        <f t="shared" si="16"/>
        <v>0</v>
      </c>
    </row>
    <row r="45" spans="1:23" s="8" customFormat="1" x14ac:dyDescent="0.2">
      <c r="A45" s="10">
        <f>A44+1</f>
        <v>27</v>
      </c>
      <c r="D45" s="13" t="s">
        <v>14</v>
      </c>
      <c r="E45" s="19"/>
      <c r="I45" s="12">
        <f>IF((I43+I44)&gt;(I50+I51),0,-(I43+I44))</f>
        <v>0</v>
      </c>
      <c r="J45" s="12">
        <f>IF((J43+J44)&gt;(J50+J51),0,-(J43+J44))</f>
        <v>0</v>
      </c>
      <c r="K45" s="12">
        <f>IF((K43+K44)&gt;(K50+K51),0,-(K43+K44))</f>
        <v>0</v>
      </c>
      <c r="L45" s="12">
        <f>IF((L43+L44)&gt;(L50+L51),0,-(L43+L44))</f>
        <v>0</v>
      </c>
      <c r="M45" s="12">
        <f t="shared" ref="M45:W45" si="17">IF((M43+M44)&gt;(M50+M51),0,-(M43+M44))</f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si="17"/>
        <v>0</v>
      </c>
      <c r="S45" s="12">
        <f t="shared" si="17"/>
        <v>0</v>
      </c>
      <c r="T45" s="12">
        <f t="shared" si="17"/>
        <v>0</v>
      </c>
      <c r="U45" s="12">
        <f t="shared" si="17"/>
        <v>0</v>
      </c>
      <c r="V45" s="12">
        <f t="shared" si="17"/>
        <v>0</v>
      </c>
      <c r="W45" s="12">
        <f t="shared" si="17"/>
        <v>0</v>
      </c>
    </row>
    <row r="46" spans="1:23" s="8" customFormat="1" x14ac:dyDescent="0.2">
      <c r="A46" s="10">
        <f>A45+1</f>
        <v>28</v>
      </c>
      <c r="D46" s="13" t="s">
        <v>12</v>
      </c>
      <c r="E46" s="19"/>
      <c r="I46" s="20">
        <f>SUM(I43:I45)</f>
        <v>0</v>
      </c>
      <c r="J46" s="20">
        <f>SUM(J43:J45)</f>
        <v>0</v>
      </c>
      <c r="K46" s="20">
        <f t="shared" ref="K46:W46" si="18">SUM(K43:K45)</f>
        <v>0</v>
      </c>
      <c r="L46" s="20">
        <f t="shared" si="18"/>
        <v>0</v>
      </c>
      <c r="M46" s="20">
        <f t="shared" si="18"/>
        <v>0</v>
      </c>
      <c r="N46" s="20">
        <f t="shared" si="18"/>
        <v>0</v>
      </c>
      <c r="O46" s="20">
        <f t="shared" si="18"/>
        <v>0</v>
      </c>
      <c r="P46" s="20">
        <f t="shared" si="18"/>
        <v>0</v>
      </c>
      <c r="Q46" s="20">
        <f t="shared" si="18"/>
        <v>0</v>
      </c>
      <c r="R46" s="20">
        <f t="shared" si="18"/>
        <v>0</v>
      </c>
      <c r="S46" s="20">
        <f t="shared" si="18"/>
        <v>0</v>
      </c>
      <c r="T46" s="20">
        <f t="shared" si="18"/>
        <v>0</v>
      </c>
      <c r="U46" s="20">
        <f t="shared" si="18"/>
        <v>0</v>
      </c>
      <c r="V46" s="20">
        <f t="shared" si="18"/>
        <v>0</v>
      </c>
      <c r="W46" s="20">
        <f t="shared" si="18"/>
        <v>0</v>
      </c>
    </row>
    <row r="47" spans="1:23" s="8" customFormat="1" x14ac:dyDescent="0.2">
      <c r="A47" s="10">
        <f>A46+1</f>
        <v>29</v>
      </c>
      <c r="D47" s="13" t="s">
        <v>16</v>
      </c>
      <c r="E47" s="19"/>
      <c r="I47" s="20">
        <f>(I43+I46)/2</f>
        <v>0</v>
      </c>
      <c r="J47" s="20">
        <f>(J43+J46)/2</f>
        <v>0</v>
      </c>
      <c r="K47" s="20">
        <f t="shared" ref="K47:W47" si="19">(K43+K46)/2</f>
        <v>0</v>
      </c>
      <c r="L47" s="20">
        <f t="shared" si="19"/>
        <v>0</v>
      </c>
      <c r="M47" s="20">
        <f t="shared" si="19"/>
        <v>0</v>
      </c>
      <c r="N47" s="20">
        <f t="shared" si="19"/>
        <v>0</v>
      </c>
      <c r="O47" s="20">
        <f t="shared" si="19"/>
        <v>0</v>
      </c>
      <c r="P47" s="20">
        <f t="shared" si="19"/>
        <v>0</v>
      </c>
      <c r="Q47" s="20">
        <f t="shared" si="19"/>
        <v>0</v>
      </c>
      <c r="R47" s="20">
        <f t="shared" si="19"/>
        <v>0</v>
      </c>
      <c r="S47" s="20">
        <f t="shared" si="19"/>
        <v>0</v>
      </c>
      <c r="T47" s="20">
        <f t="shared" si="19"/>
        <v>0</v>
      </c>
      <c r="U47" s="20">
        <f t="shared" si="19"/>
        <v>0</v>
      </c>
      <c r="V47" s="20">
        <f t="shared" si="19"/>
        <v>0</v>
      </c>
      <c r="W47" s="20">
        <f t="shared" si="19"/>
        <v>0</v>
      </c>
    </row>
    <row r="48" spans="1:23" s="8" customFormat="1" x14ac:dyDescent="0.2">
      <c r="A48" s="10"/>
      <c r="D48" s="13"/>
      <c r="E48" s="1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8" customFormat="1" x14ac:dyDescent="0.2">
      <c r="A49" s="10"/>
      <c r="C49" s="8" t="s">
        <v>15</v>
      </c>
      <c r="D49" s="13"/>
      <c r="E49" s="1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8" customFormat="1" x14ac:dyDescent="0.2">
      <c r="A50" s="10">
        <f>A47+1</f>
        <v>30</v>
      </c>
      <c r="D50" s="13" t="s">
        <v>9</v>
      </c>
      <c r="E50" s="19"/>
      <c r="I50" s="12">
        <v>0</v>
      </c>
      <c r="J50" s="12">
        <f>I53</f>
        <v>0</v>
      </c>
      <c r="K50" s="12">
        <f t="shared" ref="K50:W50" si="20">J53</f>
        <v>0</v>
      </c>
      <c r="L50" s="12">
        <f t="shared" si="20"/>
        <v>0</v>
      </c>
      <c r="M50" s="12">
        <f t="shared" si="20"/>
        <v>0</v>
      </c>
      <c r="N50" s="12">
        <f t="shared" si="20"/>
        <v>0</v>
      </c>
      <c r="O50" s="12">
        <f t="shared" si="20"/>
        <v>0</v>
      </c>
      <c r="P50" s="12">
        <f t="shared" si="20"/>
        <v>0</v>
      </c>
      <c r="Q50" s="12">
        <f t="shared" si="20"/>
        <v>0</v>
      </c>
      <c r="R50" s="12">
        <f t="shared" si="20"/>
        <v>0</v>
      </c>
      <c r="S50" s="12">
        <f t="shared" si="20"/>
        <v>0</v>
      </c>
      <c r="T50" s="12">
        <f t="shared" si="20"/>
        <v>0</v>
      </c>
      <c r="U50" s="12">
        <f t="shared" si="20"/>
        <v>0</v>
      </c>
      <c r="V50" s="12">
        <f t="shared" si="20"/>
        <v>0</v>
      </c>
      <c r="W50" s="12">
        <f t="shared" si="20"/>
        <v>0</v>
      </c>
    </row>
    <row r="51" spans="1:23" s="8" customFormat="1" x14ac:dyDescent="0.2">
      <c r="A51" s="10">
        <f>A50+1</f>
        <v>31</v>
      </c>
      <c r="D51" s="13" t="s">
        <v>69</v>
      </c>
      <c r="E51" s="19"/>
      <c r="I51" s="12">
        <f>MAX(I13*(I43+0.5*I44),0)</f>
        <v>0</v>
      </c>
      <c r="J51" s="12">
        <f t="shared" ref="J51:W51" si="21">MIN(J13*(J43+0.5*J44),J43+J44-I53)</f>
        <v>0</v>
      </c>
      <c r="K51" s="12">
        <f t="shared" si="21"/>
        <v>0</v>
      </c>
      <c r="L51" s="12">
        <f t="shared" si="21"/>
        <v>0</v>
      </c>
      <c r="M51" s="12">
        <f t="shared" si="21"/>
        <v>0</v>
      </c>
      <c r="N51" s="12">
        <f t="shared" si="21"/>
        <v>0</v>
      </c>
      <c r="O51" s="12">
        <f t="shared" si="21"/>
        <v>0</v>
      </c>
      <c r="P51" s="12">
        <f t="shared" si="21"/>
        <v>0</v>
      </c>
      <c r="Q51" s="12">
        <f t="shared" si="21"/>
        <v>0</v>
      </c>
      <c r="R51" s="12">
        <f t="shared" si="21"/>
        <v>0</v>
      </c>
      <c r="S51" s="12">
        <f t="shared" si="21"/>
        <v>0</v>
      </c>
      <c r="T51" s="12">
        <f t="shared" si="21"/>
        <v>0</v>
      </c>
      <c r="U51" s="12">
        <f t="shared" si="21"/>
        <v>0</v>
      </c>
      <c r="V51" s="12">
        <f t="shared" si="21"/>
        <v>0</v>
      </c>
      <c r="W51" s="12">
        <f t="shared" si="21"/>
        <v>0</v>
      </c>
    </row>
    <row r="52" spans="1:23" s="8" customFormat="1" x14ac:dyDescent="0.2">
      <c r="A52" s="10">
        <f>A51+1</f>
        <v>32</v>
      </c>
      <c r="D52" s="13" t="s">
        <v>14</v>
      </c>
      <c r="E52" s="19"/>
      <c r="I52" s="12">
        <f>I45</f>
        <v>0</v>
      </c>
      <c r="J52" s="12">
        <f t="shared" ref="J52:W52" si="22">J45</f>
        <v>0</v>
      </c>
      <c r="K52" s="12">
        <f t="shared" si="22"/>
        <v>0</v>
      </c>
      <c r="L52" s="12">
        <f t="shared" si="22"/>
        <v>0</v>
      </c>
      <c r="M52" s="12">
        <f t="shared" si="22"/>
        <v>0</v>
      </c>
      <c r="N52" s="12">
        <f t="shared" si="22"/>
        <v>0</v>
      </c>
      <c r="O52" s="12">
        <f t="shared" si="22"/>
        <v>0</v>
      </c>
      <c r="P52" s="12">
        <f t="shared" si="22"/>
        <v>0</v>
      </c>
      <c r="Q52" s="12">
        <f t="shared" si="22"/>
        <v>0</v>
      </c>
      <c r="R52" s="12">
        <f t="shared" si="22"/>
        <v>0</v>
      </c>
      <c r="S52" s="12">
        <f t="shared" si="22"/>
        <v>0</v>
      </c>
      <c r="T52" s="12">
        <f t="shared" si="22"/>
        <v>0</v>
      </c>
      <c r="U52" s="12">
        <f t="shared" si="22"/>
        <v>0</v>
      </c>
      <c r="V52" s="12">
        <f t="shared" si="22"/>
        <v>0</v>
      </c>
      <c r="W52" s="12">
        <f t="shared" si="22"/>
        <v>0</v>
      </c>
    </row>
    <row r="53" spans="1:23" s="8" customFormat="1" x14ac:dyDescent="0.2">
      <c r="A53" s="10">
        <f>A52+1</f>
        <v>33</v>
      </c>
      <c r="D53" s="13" t="s">
        <v>12</v>
      </c>
      <c r="E53" s="19"/>
      <c r="I53" s="20">
        <f>SUM(I50:I52)</f>
        <v>0</v>
      </c>
      <c r="J53" s="20">
        <f>SUM(J50:J52)</f>
        <v>0</v>
      </c>
      <c r="K53" s="20">
        <f t="shared" ref="K53:W53" si="23">SUM(K50:K52)</f>
        <v>0</v>
      </c>
      <c r="L53" s="20">
        <f t="shared" si="23"/>
        <v>0</v>
      </c>
      <c r="M53" s="20">
        <f t="shared" si="23"/>
        <v>0</v>
      </c>
      <c r="N53" s="20">
        <f t="shared" si="23"/>
        <v>0</v>
      </c>
      <c r="O53" s="20">
        <f t="shared" si="23"/>
        <v>0</v>
      </c>
      <c r="P53" s="20">
        <f t="shared" si="23"/>
        <v>0</v>
      </c>
      <c r="Q53" s="20">
        <f t="shared" si="23"/>
        <v>0</v>
      </c>
      <c r="R53" s="20">
        <f t="shared" si="23"/>
        <v>0</v>
      </c>
      <c r="S53" s="20">
        <f t="shared" si="23"/>
        <v>0</v>
      </c>
      <c r="T53" s="20">
        <f t="shared" si="23"/>
        <v>0</v>
      </c>
      <c r="U53" s="20">
        <f t="shared" si="23"/>
        <v>0</v>
      </c>
      <c r="V53" s="20">
        <f t="shared" si="23"/>
        <v>0</v>
      </c>
      <c r="W53" s="20">
        <f t="shared" si="23"/>
        <v>0</v>
      </c>
    </row>
    <row r="54" spans="1:23" s="8" customFormat="1" x14ac:dyDescent="0.2">
      <c r="A54" s="10">
        <f>A53+1</f>
        <v>34</v>
      </c>
      <c r="D54" s="13" t="s">
        <v>16</v>
      </c>
      <c r="E54" s="19"/>
      <c r="I54" s="20">
        <f>(I50+I53)/2</f>
        <v>0</v>
      </c>
      <c r="J54" s="20">
        <f>(J50+J53)/2</f>
        <v>0</v>
      </c>
      <c r="K54" s="20">
        <f t="shared" ref="K54:W54" si="24">(K50+K53)/2</f>
        <v>0</v>
      </c>
      <c r="L54" s="20">
        <f t="shared" si="24"/>
        <v>0</v>
      </c>
      <c r="M54" s="20">
        <f t="shared" si="24"/>
        <v>0</v>
      </c>
      <c r="N54" s="20">
        <f t="shared" si="24"/>
        <v>0</v>
      </c>
      <c r="O54" s="20">
        <f t="shared" si="24"/>
        <v>0</v>
      </c>
      <c r="P54" s="20">
        <f t="shared" si="24"/>
        <v>0</v>
      </c>
      <c r="Q54" s="20">
        <f t="shared" si="24"/>
        <v>0</v>
      </c>
      <c r="R54" s="20">
        <f t="shared" si="24"/>
        <v>0</v>
      </c>
      <c r="S54" s="20">
        <f t="shared" si="24"/>
        <v>0</v>
      </c>
      <c r="T54" s="20">
        <f t="shared" si="24"/>
        <v>0</v>
      </c>
      <c r="U54" s="20">
        <f t="shared" si="24"/>
        <v>0</v>
      </c>
      <c r="V54" s="20">
        <f t="shared" si="24"/>
        <v>0</v>
      </c>
      <c r="W54" s="20">
        <f t="shared" si="24"/>
        <v>0</v>
      </c>
    </row>
    <row r="55" spans="1:23" s="8" customFormat="1" x14ac:dyDescent="0.2">
      <c r="A55" s="10"/>
      <c r="D55" s="13"/>
      <c r="E55" s="1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s="8" customFormat="1" x14ac:dyDescent="0.2">
      <c r="A56" s="10"/>
      <c r="C56" s="8" t="s">
        <v>76</v>
      </c>
      <c r="D56" s="13"/>
      <c r="E56" s="1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s="8" customFormat="1" x14ac:dyDescent="0.2">
      <c r="A57" s="10">
        <f>A54+1</f>
        <v>35</v>
      </c>
      <c r="D57" s="13" t="s">
        <v>9</v>
      </c>
      <c r="E57" s="19"/>
      <c r="I57" s="12">
        <v>0</v>
      </c>
      <c r="J57" s="12">
        <f>I60</f>
        <v>0</v>
      </c>
      <c r="K57" s="12">
        <f t="shared" ref="K57:W57" si="25">J60</f>
        <v>0</v>
      </c>
      <c r="L57" s="12">
        <f t="shared" si="25"/>
        <v>0</v>
      </c>
      <c r="M57" s="12">
        <f t="shared" si="25"/>
        <v>0</v>
      </c>
      <c r="N57" s="12">
        <f t="shared" si="25"/>
        <v>0</v>
      </c>
      <c r="O57" s="12">
        <f t="shared" si="25"/>
        <v>0</v>
      </c>
      <c r="P57" s="12">
        <f t="shared" si="25"/>
        <v>0</v>
      </c>
      <c r="Q57" s="12">
        <f t="shared" si="25"/>
        <v>0</v>
      </c>
      <c r="R57" s="12">
        <f t="shared" si="25"/>
        <v>0</v>
      </c>
      <c r="S57" s="12">
        <f t="shared" si="25"/>
        <v>0</v>
      </c>
      <c r="T57" s="12">
        <f t="shared" si="25"/>
        <v>0</v>
      </c>
      <c r="U57" s="12">
        <f t="shared" si="25"/>
        <v>0</v>
      </c>
      <c r="V57" s="12">
        <f t="shared" si="25"/>
        <v>0</v>
      </c>
      <c r="W57" s="12">
        <f t="shared" si="25"/>
        <v>0</v>
      </c>
    </row>
    <row r="58" spans="1:23" s="8" customFormat="1" x14ac:dyDescent="0.2">
      <c r="A58" s="10">
        <f>A57+1</f>
        <v>36</v>
      </c>
      <c r="D58" s="13" t="s">
        <v>11</v>
      </c>
      <c r="E58" s="19"/>
      <c r="I58" s="12">
        <f>-I38</f>
        <v>0</v>
      </c>
      <c r="J58" s="12">
        <f t="shared" ref="J58:W58" si="26">-J38</f>
        <v>0</v>
      </c>
      <c r="K58" s="12">
        <f t="shared" si="26"/>
        <v>0</v>
      </c>
      <c r="L58" s="12">
        <f t="shared" si="26"/>
        <v>0</v>
      </c>
      <c r="M58" s="12">
        <f t="shared" si="26"/>
        <v>0</v>
      </c>
      <c r="N58" s="12">
        <f t="shared" si="26"/>
        <v>0</v>
      </c>
      <c r="O58" s="12">
        <f t="shared" si="26"/>
        <v>0</v>
      </c>
      <c r="P58" s="12">
        <f t="shared" si="26"/>
        <v>0</v>
      </c>
      <c r="Q58" s="12">
        <f t="shared" si="26"/>
        <v>0</v>
      </c>
      <c r="R58" s="12">
        <f t="shared" si="26"/>
        <v>0</v>
      </c>
      <c r="S58" s="12">
        <f t="shared" si="26"/>
        <v>0</v>
      </c>
      <c r="T58" s="12">
        <f t="shared" si="26"/>
        <v>0</v>
      </c>
      <c r="U58" s="12">
        <f t="shared" si="26"/>
        <v>0</v>
      </c>
      <c r="V58" s="12">
        <f t="shared" si="26"/>
        <v>0</v>
      </c>
      <c r="W58" s="12">
        <f t="shared" si="26"/>
        <v>0</v>
      </c>
    </row>
    <row r="59" spans="1:23" s="8" customFormat="1" x14ac:dyDescent="0.2">
      <c r="A59" s="10">
        <f>A58+1</f>
        <v>37</v>
      </c>
      <c r="D59" s="13" t="s">
        <v>76</v>
      </c>
      <c r="E59" s="19"/>
      <c r="I59" s="12">
        <f>-I23*I58</f>
        <v>0</v>
      </c>
      <c r="J59" s="12">
        <f>-I23*J58-J23*I58</f>
        <v>0</v>
      </c>
      <c r="K59" s="12">
        <f>-I23*K58-J23*J58-K23*I58</f>
        <v>0</v>
      </c>
      <c r="L59" s="12">
        <f>-I23*L58-J23*K58-K23*J58-L23*I58</f>
        <v>0</v>
      </c>
      <c r="M59" s="12">
        <f>-I23*M58-J23*L58-K23*K58-L23*J58-M23*I58</f>
        <v>0</v>
      </c>
      <c r="N59" s="12">
        <f>-I23*N58-J23*M58-K23*L58-L23*K58-M23*J58-N23*I58</f>
        <v>0</v>
      </c>
      <c r="O59" s="12">
        <f>-I23*O58-J23*N58-K23*M58-L23*L58-M23*K58-N23*J58-O23*I58</f>
        <v>0</v>
      </c>
      <c r="P59" s="12">
        <f>-I23*P58-J23*O58-K23*N58-L23*M58-M23*L58-N23*K58-O23*J58-P23*I58</f>
        <v>0</v>
      </c>
      <c r="Q59" s="12">
        <f>-I23*Q58-J23*P58-K23*O58-L23*N58-M23*M58-N23*L58-O23*K58-P23*J58-Q23*I58</f>
        <v>0</v>
      </c>
      <c r="R59" s="12">
        <f>-I23*R58-J23*Q58-K23*P58-L23*O58-M23*N58-N23*M58-O23*L58-P23*K58-Q23*J58-R23*I58</f>
        <v>0</v>
      </c>
      <c r="S59" s="12">
        <f>-I23*S58-J23*R58-K23*Q58-L23*P58-M23*O58-N23*N58-O23*M58-P23*L58-Q23*K58-R23*J58-S23*I58</f>
        <v>0</v>
      </c>
      <c r="T59" s="12">
        <f>-I23*T58-J23*S58-K23*R58-L23*Q58-M23*P58-N23*O58-O23*N58-P23*M58-Q23*L58-R23*K58-S23*J58-T23*I58</f>
        <v>0</v>
      </c>
      <c r="U59" s="12">
        <f>-I23*U58-J23*T58-K23*S58-L23*R58-M23*Q58-N23*P58-O23*O58-P23*N58-Q23*M58-R23*L58-S23*K58-T23*J58-U23*I58</f>
        <v>0</v>
      </c>
      <c r="V59" s="12">
        <f>-I23*V58-J23*U58-K23*T58-L23*S58-M23*R58-N23*Q58-O23*P58-P23*O58-Q23*N58-R23*M58-S23*L58-T23*K58-U23*J58-V23*I58</f>
        <v>0</v>
      </c>
      <c r="W59" s="12">
        <f>-I23*W58-J23*V58-K23*U58-L23*T58-M23*S58-N23*R58-O23*Q58-P23*P58-Q23*O58-R23*N58-S23*M58-T23*L58-U23*K58-V23*J58-W23*I58</f>
        <v>0</v>
      </c>
    </row>
    <row r="60" spans="1:23" s="8" customFormat="1" x14ac:dyDescent="0.2">
      <c r="A60" s="10">
        <f>A59+1</f>
        <v>38</v>
      </c>
      <c r="D60" s="13" t="s">
        <v>12</v>
      </c>
      <c r="E60" s="19"/>
      <c r="I60" s="20">
        <f t="shared" ref="I60:W60" si="27">SUM(I57:I59)</f>
        <v>0</v>
      </c>
      <c r="J60" s="20">
        <f t="shared" si="27"/>
        <v>0</v>
      </c>
      <c r="K60" s="20">
        <f t="shared" si="27"/>
        <v>0</v>
      </c>
      <c r="L60" s="20">
        <f t="shared" si="27"/>
        <v>0</v>
      </c>
      <c r="M60" s="20">
        <f t="shared" si="27"/>
        <v>0</v>
      </c>
      <c r="N60" s="20">
        <f t="shared" si="27"/>
        <v>0</v>
      </c>
      <c r="O60" s="20">
        <f t="shared" si="27"/>
        <v>0</v>
      </c>
      <c r="P60" s="20">
        <f t="shared" si="27"/>
        <v>0</v>
      </c>
      <c r="Q60" s="20">
        <f t="shared" si="27"/>
        <v>0</v>
      </c>
      <c r="R60" s="20">
        <f t="shared" si="27"/>
        <v>0</v>
      </c>
      <c r="S60" s="20">
        <f t="shared" si="27"/>
        <v>0</v>
      </c>
      <c r="T60" s="20">
        <f t="shared" si="27"/>
        <v>0</v>
      </c>
      <c r="U60" s="20">
        <f t="shared" si="27"/>
        <v>0</v>
      </c>
      <c r="V60" s="20">
        <f t="shared" si="27"/>
        <v>0</v>
      </c>
      <c r="W60" s="20">
        <f t="shared" si="27"/>
        <v>0</v>
      </c>
    </row>
    <row r="61" spans="1:23" s="8" customFormat="1" x14ac:dyDescent="0.2">
      <c r="A61" s="10"/>
      <c r="D61" s="13"/>
      <c r="E61" s="1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s="8" customFormat="1" x14ac:dyDescent="0.2">
      <c r="A62" s="10"/>
      <c r="C62" s="8" t="s">
        <v>77</v>
      </c>
      <c r="D62" s="13"/>
      <c r="E62" s="1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s="8" customFormat="1" x14ac:dyDescent="0.2">
      <c r="A63" s="10">
        <f>A60+1</f>
        <v>39</v>
      </c>
      <c r="D63" s="13" t="s">
        <v>9</v>
      </c>
      <c r="E63" s="19"/>
      <c r="I63" s="12">
        <v>0</v>
      </c>
      <c r="J63" s="12">
        <f t="shared" ref="J63:W63" si="28">I66</f>
        <v>0</v>
      </c>
      <c r="K63" s="12">
        <f t="shared" si="28"/>
        <v>0</v>
      </c>
      <c r="L63" s="12">
        <f t="shared" si="28"/>
        <v>0</v>
      </c>
      <c r="M63" s="12">
        <f t="shared" si="28"/>
        <v>0</v>
      </c>
      <c r="N63" s="12">
        <f t="shared" si="28"/>
        <v>0</v>
      </c>
      <c r="O63" s="12">
        <f t="shared" si="28"/>
        <v>0</v>
      </c>
      <c r="P63" s="12">
        <f t="shared" si="28"/>
        <v>0</v>
      </c>
      <c r="Q63" s="12">
        <f t="shared" si="28"/>
        <v>0</v>
      </c>
      <c r="R63" s="12">
        <f t="shared" si="28"/>
        <v>0</v>
      </c>
      <c r="S63" s="12">
        <f t="shared" si="28"/>
        <v>0</v>
      </c>
      <c r="T63" s="12">
        <f t="shared" si="28"/>
        <v>0</v>
      </c>
      <c r="U63" s="12">
        <f t="shared" si="28"/>
        <v>0</v>
      </c>
      <c r="V63" s="12">
        <f t="shared" si="28"/>
        <v>0</v>
      </c>
      <c r="W63" s="12">
        <f t="shared" si="28"/>
        <v>0</v>
      </c>
    </row>
    <row r="64" spans="1:23" s="8" customFormat="1" x14ac:dyDescent="0.2">
      <c r="A64" s="10">
        <f>A63+1</f>
        <v>40</v>
      </c>
      <c r="D64" s="13" t="s">
        <v>11</v>
      </c>
      <c r="E64" s="19"/>
      <c r="I64" s="12">
        <f>-I38</f>
        <v>0</v>
      </c>
      <c r="J64" s="12">
        <f t="shared" ref="J64:W64" si="29">-J38</f>
        <v>0</v>
      </c>
      <c r="K64" s="12">
        <f t="shared" si="29"/>
        <v>0</v>
      </c>
      <c r="L64" s="12">
        <f t="shared" si="29"/>
        <v>0</v>
      </c>
      <c r="M64" s="12">
        <f t="shared" si="29"/>
        <v>0</v>
      </c>
      <c r="N64" s="12">
        <f t="shared" si="29"/>
        <v>0</v>
      </c>
      <c r="O64" s="12">
        <f t="shared" si="29"/>
        <v>0</v>
      </c>
      <c r="P64" s="12">
        <f t="shared" si="29"/>
        <v>0</v>
      </c>
      <c r="Q64" s="12">
        <f t="shared" si="29"/>
        <v>0</v>
      </c>
      <c r="R64" s="12">
        <f t="shared" si="29"/>
        <v>0</v>
      </c>
      <c r="S64" s="12">
        <f t="shared" si="29"/>
        <v>0</v>
      </c>
      <c r="T64" s="12">
        <f t="shared" si="29"/>
        <v>0</v>
      </c>
      <c r="U64" s="12">
        <f t="shared" si="29"/>
        <v>0</v>
      </c>
      <c r="V64" s="12">
        <f t="shared" si="29"/>
        <v>0</v>
      </c>
      <c r="W64" s="12">
        <f t="shared" si="29"/>
        <v>0</v>
      </c>
    </row>
    <row r="65" spans="1:23" s="8" customFormat="1" x14ac:dyDescent="0.2">
      <c r="A65" s="10">
        <f>A64+1</f>
        <v>41</v>
      </c>
      <c r="D65" s="13" t="s">
        <v>77</v>
      </c>
      <c r="E65" s="19"/>
      <c r="I65" s="12">
        <f t="shared" ref="I65:W65" si="30">-I13*$F27*(I63+0.5*I64)</f>
        <v>0</v>
      </c>
      <c r="J65" s="12">
        <f t="shared" si="30"/>
        <v>0</v>
      </c>
      <c r="K65" s="12">
        <f t="shared" si="30"/>
        <v>0</v>
      </c>
      <c r="L65" s="12">
        <f t="shared" si="30"/>
        <v>0</v>
      </c>
      <c r="M65" s="12">
        <f t="shared" si="30"/>
        <v>0</v>
      </c>
      <c r="N65" s="12">
        <f t="shared" si="30"/>
        <v>0</v>
      </c>
      <c r="O65" s="12">
        <f t="shared" si="30"/>
        <v>0</v>
      </c>
      <c r="P65" s="12">
        <f t="shared" si="30"/>
        <v>0</v>
      </c>
      <c r="Q65" s="12">
        <f t="shared" si="30"/>
        <v>0</v>
      </c>
      <c r="R65" s="12">
        <f t="shared" si="30"/>
        <v>0</v>
      </c>
      <c r="S65" s="12">
        <f t="shared" si="30"/>
        <v>0</v>
      </c>
      <c r="T65" s="12">
        <f t="shared" si="30"/>
        <v>0</v>
      </c>
      <c r="U65" s="12">
        <f t="shared" si="30"/>
        <v>0</v>
      </c>
      <c r="V65" s="12">
        <f t="shared" si="30"/>
        <v>0</v>
      </c>
      <c r="W65" s="12">
        <f t="shared" si="30"/>
        <v>0</v>
      </c>
    </row>
    <row r="66" spans="1:23" s="8" customFormat="1" x14ac:dyDescent="0.2">
      <c r="A66" s="10">
        <f>A65+1</f>
        <v>42</v>
      </c>
      <c r="D66" s="13" t="s">
        <v>12</v>
      </c>
      <c r="E66" s="19"/>
      <c r="I66" s="20">
        <f t="shared" ref="I66:W66" si="31">SUM(I63:I65)</f>
        <v>0</v>
      </c>
      <c r="J66" s="20">
        <f t="shared" si="31"/>
        <v>0</v>
      </c>
      <c r="K66" s="20">
        <f t="shared" si="31"/>
        <v>0</v>
      </c>
      <c r="L66" s="20">
        <f t="shared" si="31"/>
        <v>0</v>
      </c>
      <c r="M66" s="20">
        <f t="shared" si="31"/>
        <v>0</v>
      </c>
      <c r="N66" s="20">
        <f t="shared" si="31"/>
        <v>0</v>
      </c>
      <c r="O66" s="20">
        <f t="shared" si="31"/>
        <v>0</v>
      </c>
      <c r="P66" s="20">
        <f t="shared" si="31"/>
        <v>0</v>
      </c>
      <c r="Q66" s="20">
        <f t="shared" si="31"/>
        <v>0</v>
      </c>
      <c r="R66" s="20">
        <f t="shared" si="31"/>
        <v>0</v>
      </c>
      <c r="S66" s="20">
        <f t="shared" si="31"/>
        <v>0</v>
      </c>
      <c r="T66" s="20">
        <f t="shared" si="31"/>
        <v>0</v>
      </c>
      <c r="U66" s="20">
        <f t="shared" si="31"/>
        <v>0</v>
      </c>
      <c r="V66" s="20">
        <f t="shared" si="31"/>
        <v>0</v>
      </c>
      <c r="W66" s="20">
        <f t="shared" si="31"/>
        <v>0</v>
      </c>
    </row>
    <row r="67" spans="1:23" s="8" customFormat="1" x14ac:dyDescent="0.2">
      <c r="A67" s="10"/>
      <c r="D67" s="13"/>
      <c r="E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s="8" customFormat="1" x14ac:dyDescent="0.2">
      <c r="A68" s="10"/>
      <c r="C68" s="8" t="s">
        <v>73</v>
      </c>
      <c r="D68" s="13"/>
      <c r="E68" s="19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s="8" customFormat="1" x14ac:dyDescent="0.2">
      <c r="A69" s="10">
        <f>A66+1</f>
        <v>43</v>
      </c>
      <c r="D69" s="13" t="s">
        <v>9</v>
      </c>
      <c r="E69" s="19"/>
      <c r="I69" s="12">
        <v>0</v>
      </c>
      <c r="J69" s="12">
        <f>I72</f>
        <v>0</v>
      </c>
      <c r="K69" s="12">
        <f t="shared" ref="K69:W69" si="32">J72</f>
        <v>0</v>
      </c>
      <c r="L69" s="12">
        <f t="shared" si="32"/>
        <v>0</v>
      </c>
      <c r="M69" s="12">
        <f t="shared" si="32"/>
        <v>0</v>
      </c>
      <c r="N69" s="12">
        <f t="shared" si="32"/>
        <v>0</v>
      </c>
      <c r="O69" s="12">
        <f t="shared" si="32"/>
        <v>0</v>
      </c>
      <c r="P69" s="12">
        <f t="shared" si="32"/>
        <v>0</v>
      </c>
      <c r="Q69" s="12">
        <f t="shared" si="32"/>
        <v>0</v>
      </c>
      <c r="R69" s="12">
        <f t="shared" si="32"/>
        <v>0</v>
      </c>
      <c r="S69" s="12">
        <f t="shared" si="32"/>
        <v>0</v>
      </c>
      <c r="T69" s="12">
        <f t="shared" si="32"/>
        <v>0</v>
      </c>
      <c r="U69" s="12">
        <f t="shared" si="32"/>
        <v>0</v>
      </c>
      <c r="V69" s="12">
        <f t="shared" si="32"/>
        <v>0</v>
      </c>
      <c r="W69" s="12">
        <f t="shared" si="32"/>
        <v>0</v>
      </c>
    </row>
    <row r="70" spans="1:23" s="8" customFormat="1" x14ac:dyDescent="0.2">
      <c r="A70" s="10">
        <f>A69+1</f>
        <v>44</v>
      </c>
      <c r="D70" s="13" t="s">
        <v>74</v>
      </c>
      <c r="E70" s="19"/>
      <c r="I70" s="12">
        <f>($F24="Y")*I25*(-I59-I51-I71)</f>
        <v>0</v>
      </c>
      <c r="J70" s="12">
        <f>($F24="Y")*J25*(-J59-J51-J71)</f>
        <v>0</v>
      </c>
      <c r="K70" s="12">
        <f t="shared" ref="K70:W70" si="33">($F24="Y")*K25*(-K59-K51-K71)</f>
        <v>0</v>
      </c>
      <c r="L70" s="12">
        <f t="shared" si="33"/>
        <v>0</v>
      </c>
      <c r="M70" s="12">
        <f t="shared" si="33"/>
        <v>0</v>
      </c>
      <c r="N70" s="12">
        <f t="shared" si="33"/>
        <v>0</v>
      </c>
      <c r="O70" s="12">
        <f t="shared" si="33"/>
        <v>0</v>
      </c>
      <c r="P70" s="12">
        <f t="shared" si="33"/>
        <v>0</v>
      </c>
      <c r="Q70" s="12">
        <f t="shared" si="33"/>
        <v>0</v>
      </c>
      <c r="R70" s="12">
        <f t="shared" si="33"/>
        <v>0</v>
      </c>
      <c r="S70" s="12">
        <f t="shared" si="33"/>
        <v>0</v>
      </c>
      <c r="T70" s="12">
        <f t="shared" si="33"/>
        <v>0</v>
      </c>
      <c r="U70" s="12">
        <f t="shared" si="33"/>
        <v>0</v>
      </c>
      <c r="V70" s="12">
        <f t="shared" si="33"/>
        <v>0</v>
      </c>
      <c r="W70" s="12">
        <f t="shared" si="33"/>
        <v>0</v>
      </c>
    </row>
    <row r="71" spans="1:23" s="8" customFormat="1" x14ac:dyDescent="0.2">
      <c r="A71" s="10">
        <f>A70+1</f>
        <v>45</v>
      </c>
      <c r="D71" s="13" t="s">
        <v>75</v>
      </c>
      <c r="E71" s="19"/>
      <c r="I71" s="12">
        <f>($F28="Y")*I29*(-I65-I51)</f>
        <v>0</v>
      </c>
      <c r="J71" s="12">
        <f t="shared" ref="J71:W71" si="34">($F28="Y")*J29*(-J65-J51)</f>
        <v>0</v>
      </c>
      <c r="K71" s="12">
        <f t="shared" si="34"/>
        <v>0</v>
      </c>
      <c r="L71" s="12">
        <f t="shared" si="34"/>
        <v>0</v>
      </c>
      <c r="M71" s="12">
        <f t="shared" si="34"/>
        <v>0</v>
      </c>
      <c r="N71" s="12">
        <f t="shared" si="34"/>
        <v>0</v>
      </c>
      <c r="O71" s="12">
        <f t="shared" si="34"/>
        <v>0</v>
      </c>
      <c r="P71" s="12">
        <f t="shared" si="34"/>
        <v>0</v>
      </c>
      <c r="Q71" s="12">
        <f t="shared" si="34"/>
        <v>0</v>
      </c>
      <c r="R71" s="12">
        <f t="shared" si="34"/>
        <v>0</v>
      </c>
      <c r="S71" s="12">
        <f t="shared" si="34"/>
        <v>0</v>
      </c>
      <c r="T71" s="12">
        <f t="shared" si="34"/>
        <v>0</v>
      </c>
      <c r="U71" s="12">
        <f t="shared" si="34"/>
        <v>0</v>
      </c>
      <c r="V71" s="12">
        <f t="shared" si="34"/>
        <v>0</v>
      </c>
      <c r="W71" s="12">
        <f t="shared" si="34"/>
        <v>0</v>
      </c>
    </row>
    <row r="72" spans="1:23" s="8" customFormat="1" x14ac:dyDescent="0.2">
      <c r="A72" s="10">
        <f>A71+1</f>
        <v>46</v>
      </c>
      <c r="D72" s="13" t="s">
        <v>12</v>
      </c>
      <c r="E72" s="19"/>
      <c r="I72" s="20">
        <f>SUM(I69:I71)</f>
        <v>0</v>
      </c>
      <c r="J72" s="20">
        <f>SUM(J69:J71)</f>
        <v>0</v>
      </c>
      <c r="K72" s="20">
        <f t="shared" ref="K72:W72" si="35">SUM(K69:K71)</f>
        <v>0</v>
      </c>
      <c r="L72" s="20">
        <f t="shared" si="35"/>
        <v>0</v>
      </c>
      <c r="M72" s="20">
        <f t="shared" si="35"/>
        <v>0</v>
      </c>
      <c r="N72" s="20">
        <f t="shared" si="35"/>
        <v>0</v>
      </c>
      <c r="O72" s="20">
        <f t="shared" si="35"/>
        <v>0</v>
      </c>
      <c r="P72" s="20">
        <f t="shared" si="35"/>
        <v>0</v>
      </c>
      <c r="Q72" s="20">
        <f t="shared" si="35"/>
        <v>0</v>
      </c>
      <c r="R72" s="20">
        <f t="shared" si="35"/>
        <v>0</v>
      </c>
      <c r="S72" s="20">
        <f t="shared" si="35"/>
        <v>0</v>
      </c>
      <c r="T72" s="20">
        <f t="shared" si="35"/>
        <v>0</v>
      </c>
      <c r="U72" s="20">
        <f t="shared" si="35"/>
        <v>0</v>
      </c>
      <c r="V72" s="20">
        <f t="shared" si="35"/>
        <v>0</v>
      </c>
      <c r="W72" s="20">
        <f t="shared" si="35"/>
        <v>0</v>
      </c>
    </row>
    <row r="73" spans="1:23" s="8" customFormat="1" x14ac:dyDescent="0.2">
      <c r="A73" s="10">
        <f>A72+1</f>
        <v>47</v>
      </c>
      <c r="D73" s="13" t="s">
        <v>16</v>
      </c>
      <c r="E73" s="19"/>
      <c r="I73" s="20">
        <f>(I69+I72)/2</f>
        <v>0</v>
      </c>
      <c r="J73" s="20">
        <f>(J69+J72)/2</f>
        <v>0</v>
      </c>
      <c r="K73" s="20">
        <f t="shared" ref="K73:W73" si="36">(K69+K72)/2</f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si="36"/>
        <v>0</v>
      </c>
      <c r="Q73" s="20">
        <f t="shared" si="36"/>
        <v>0</v>
      </c>
      <c r="R73" s="20">
        <f t="shared" si="36"/>
        <v>0</v>
      </c>
      <c r="S73" s="20">
        <f t="shared" si="36"/>
        <v>0</v>
      </c>
      <c r="T73" s="20">
        <f t="shared" si="36"/>
        <v>0</v>
      </c>
      <c r="U73" s="20">
        <f t="shared" si="36"/>
        <v>0</v>
      </c>
      <c r="V73" s="20">
        <f t="shared" si="36"/>
        <v>0</v>
      </c>
      <c r="W73" s="20">
        <f t="shared" si="36"/>
        <v>0</v>
      </c>
    </row>
    <row r="74" spans="1:23" s="8" customFormat="1" x14ac:dyDescent="0.2">
      <c r="A74" s="10"/>
      <c r="D74" s="13"/>
      <c r="E74" s="19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s="8" customFormat="1" x14ac:dyDescent="0.2">
      <c r="A75" s="10"/>
      <c r="C75" s="8" t="s">
        <v>21</v>
      </c>
      <c r="D75" s="13"/>
      <c r="E75" s="19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s="8" customFormat="1" x14ac:dyDescent="0.2">
      <c r="A76" s="10">
        <f>A73+1</f>
        <v>48</v>
      </c>
      <c r="D76" s="13" t="s">
        <v>13</v>
      </c>
      <c r="E76" s="19"/>
      <c r="I76" s="12">
        <f t="shared" ref="I76:W76" si="37">I47</f>
        <v>0</v>
      </c>
      <c r="J76" s="12">
        <f t="shared" si="37"/>
        <v>0</v>
      </c>
      <c r="K76" s="12">
        <f t="shared" si="37"/>
        <v>0</v>
      </c>
      <c r="L76" s="12">
        <f t="shared" si="37"/>
        <v>0</v>
      </c>
      <c r="M76" s="12">
        <f t="shared" si="37"/>
        <v>0</v>
      </c>
      <c r="N76" s="12">
        <f t="shared" si="37"/>
        <v>0</v>
      </c>
      <c r="O76" s="12">
        <f t="shared" si="37"/>
        <v>0</v>
      </c>
      <c r="P76" s="12">
        <f t="shared" si="37"/>
        <v>0</v>
      </c>
      <c r="Q76" s="12">
        <f t="shared" si="37"/>
        <v>0</v>
      </c>
      <c r="R76" s="12">
        <f t="shared" si="37"/>
        <v>0</v>
      </c>
      <c r="S76" s="12">
        <f t="shared" si="37"/>
        <v>0</v>
      </c>
      <c r="T76" s="12">
        <f t="shared" si="37"/>
        <v>0</v>
      </c>
      <c r="U76" s="12">
        <f t="shared" si="37"/>
        <v>0</v>
      </c>
      <c r="V76" s="12">
        <f t="shared" si="37"/>
        <v>0</v>
      </c>
      <c r="W76" s="12">
        <f t="shared" si="37"/>
        <v>0</v>
      </c>
    </row>
    <row r="77" spans="1:23" s="8" customFormat="1" x14ac:dyDescent="0.2">
      <c r="A77" s="10">
        <f>A76+1</f>
        <v>49</v>
      </c>
      <c r="D77" s="13" t="s">
        <v>15</v>
      </c>
      <c r="E77" s="19"/>
      <c r="I77" s="12">
        <f t="shared" ref="I77:W77" si="38">-I54</f>
        <v>0</v>
      </c>
      <c r="J77" s="12">
        <f t="shared" si="38"/>
        <v>0</v>
      </c>
      <c r="K77" s="12">
        <f t="shared" si="38"/>
        <v>0</v>
      </c>
      <c r="L77" s="12">
        <f t="shared" si="38"/>
        <v>0</v>
      </c>
      <c r="M77" s="12">
        <f t="shared" si="38"/>
        <v>0</v>
      </c>
      <c r="N77" s="12">
        <f t="shared" si="38"/>
        <v>0</v>
      </c>
      <c r="O77" s="12">
        <f t="shared" si="38"/>
        <v>0</v>
      </c>
      <c r="P77" s="12">
        <f t="shared" si="38"/>
        <v>0</v>
      </c>
      <c r="Q77" s="12">
        <f t="shared" si="38"/>
        <v>0</v>
      </c>
      <c r="R77" s="12">
        <f t="shared" si="38"/>
        <v>0</v>
      </c>
      <c r="S77" s="12">
        <f t="shared" si="38"/>
        <v>0</v>
      </c>
      <c r="T77" s="12">
        <f t="shared" si="38"/>
        <v>0</v>
      </c>
      <c r="U77" s="12">
        <f t="shared" si="38"/>
        <v>0</v>
      </c>
      <c r="V77" s="12">
        <f t="shared" si="38"/>
        <v>0</v>
      </c>
      <c r="W77" s="12">
        <f t="shared" si="38"/>
        <v>0</v>
      </c>
    </row>
    <row r="78" spans="1:23" s="8" customFormat="1" x14ac:dyDescent="0.2">
      <c r="A78" s="10">
        <f>A77+1</f>
        <v>50</v>
      </c>
      <c r="D78" s="13" t="s">
        <v>20</v>
      </c>
      <c r="E78" s="19"/>
      <c r="F78" s="28"/>
      <c r="I78" s="12">
        <f t="shared" ref="I78:W78" si="39">($F11="Y")*I40</f>
        <v>0</v>
      </c>
      <c r="J78" s="12">
        <f t="shared" si="39"/>
        <v>0</v>
      </c>
      <c r="K78" s="12">
        <f t="shared" si="39"/>
        <v>0</v>
      </c>
      <c r="L78" s="12">
        <f t="shared" si="39"/>
        <v>0</v>
      </c>
      <c r="M78" s="12">
        <f t="shared" si="39"/>
        <v>0</v>
      </c>
      <c r="N78" s="12">
        <f t="shared" si="39"/>
        <v>0</v>
      </c>
      <c r="O78" s="12">
        <f t="shared" si="39"/>
        <v>0</v>
      </c>
      <c r="P78" s="12">
        <f t="shared" si="39"/>
        <v>0</v>
      </c>
      <c r="Q78" s="12">
        <f t="shared" si="39"/>
        <v>0</v>
      </c>
      <c r="R78" s="12">
        <f t="shared" si="39"/>
        <v>0</v>
      </c>
      <c r="S78" s="12">
        <f t="shared" si="39"/>
        <v>0</v>
      </c>
      <c r="T78" s="12">
        <f t="shared" si="39"/>
        <v>0</v>
      </c>
      <c r="U78" s="12">
        <f t="shared" si="39"/>
        <v>0</v>
      </c>
      <c r="V78" s="12">
        <f t="shared" si="39"/>
        <v>0</v>
      </c>
      <c r="W78" s="12">
        <f t="shared" si="39"/>
        <v>0</v>
      </c>
    </row>
    <row r="79" spans="1:23" s="8" customFormat="1" x14ac:dyDescent="0.2">
      <c r="A79" s="10">
        <f>A78+1</f>
        <v>51</v>
      </c>
      <c r="D79" s="13" t="s">
        <v>36</v>
      </c>
      <c r="E79" s="19"/>
      <c r="F79" s="28"/>
      <c r="I79" s="12">
        <f>-I73</f>
        <v>0</v>
      </c>
      <c r="J79" s="12">
        <f>-J73</f>
        <v>0</v>
      </c>
      <c r="K79" s="12">
        <f t="shared" ref="K79:W79" si="40">-K73</f>
        <v>0</v>
      </c>
      <c r="L79" s="12">
        <f t="shared" si="40"/>
        <v>0</v>
      </c>
      <c r="M79" s="12">
        <f t="shared" si="40"/>
        <v>0</v>
      </c>
      <c r="N79" s="12">
        <f t="shared" si="40"/>
        <v>0</v>
      </c>
      <c r="O79" s="12">
        <f t="shared" si="40"/>
        <v>0</v>
      </c>
      <c r="P79" s="12">
        <f t="shared" si="40"/>
        <v>0</v>
      </c>
      <c r="Q79" s="12">
        <f t="shared" si="40"/>
        <v>0</v>
      </c>
      <c r="R79" s="12">
        <f t="shared" si="40"/>
        <v>0</v>
      </c>
      <c r="S79" s="12">
        <f t="shared" si="40"/>
        <v>0</v>
      </c>
      <c r="T79" s="12">
        <f t="shared" si="40"/>
        <v>0</v>
      </c>
      <c r="U79" s="12">
        <f t="shared" si="40"/>
        <v>0</v>
      </c>
      <c r="V79" s="12">
        <f t="shared" si="40"/>
        <v>0</v>
      </c>
      <c r="W79" s="12">
        <f t="shared" si="40"/>
        <v>0</v>
      </c>
    </row>
    <row r="80" spans="1:23" s="8" customFormat="1" x14ac:dyDescent="0.2">
      <c r="A80" s="10">
        <f>A79+1</f>
        <v>52</v>
      </c>
      <c r="D80" s="13" t="s">
        <v>5</v>
      </c>
      <c r="E80" s="19"/>
      <c r="I80" s="20">
        <f>SUM(I76:I79)</f>
        <v>0</v>
      </c>
      <c r="J80" s="20">
        <f>SUM(J76:J79)</f>
        <v>0</v>
      </c>
      <c r="K80" s="20">
        <f t="shared" ref="K80:W80" si="41">SUM(K76:K79)</f>
        <v>0</v>
      </c>
      <c r="L80" s="20">
        <f t="shared" si="41"/>
        <v>0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0</v>
      </c>
      <c r="W80" s="20">
        <f t="shared" si="41"/>
        <v>0</v>
      </c>
    </row>
    <row r="81" spans="1:23" s="8" customFormat="1" x14ac:dyDescent="0.2">
      <c r="A81" s="10"/>
      <c r="D81" s="13"/>
      <c r="E81" s="19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s="8" customFormat="1" x14ac:dyDescent="0.2">
      <c r="A82" s="10"/>
      <c r="C82" s="8" t="s">
        <v>17</v>
      </c>
      <c r="D82" s="13"/>
      <c r="E82" s="19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s="8" customFormat="1" x14ac:dyDescent="0.2">
      <c r="A83" s="10">
        <f>A80+1</f>
        <v>53</v>
      </c>
      <c r="D83" s="13" t="s">
        <v>4</v>
      </c>
      <c r="E83" s="19"/>
      <c r="I83" s="12">
        <f t="shared" ref="I83:W83" si="42">I51</f>
        <v>0</v>
      </c>
      <c r="J83" s="12">
        <f t="shared" si="42"/>
        <v>0</v>
      </c>
      <c r="K83" s="12">
        <f t="shared" si="42"/>
        <v>0</v>
      </c>
      <c r="L83" s="12">
        <f t="shared" si="42"/>
        <v>0</v>
      </c>
      <c r="M83" s="12">
        <f t="shared" si="42"/>
        <v>0</v>
      </c>
      <c r="N83" s="12">
        <f t="shared" si="42"/>
        <v>0</v>
      </c>
      <c r="O83" s="12">
        <f t="shared" si="42"/>
        <v>0</v>
      </c>
      <c r="P83" s="12">
        <f t="shared" si="42"/>
        <v>0</v>
      </c>
      <c r="Q83" s="12">
        <f t="shared" si="42"/>
        <v>0</v>
      </c>
      <c r="R83" s="12">
        <f t="shared" si="42"/>
        <v>0</v>
      </c>
      <c r="S83" s="12">
        <f t="shared" si="42"/>
        <v>0</v>
      </c>
      <c r="T83" s="12">
        <f t="shared" si="42"/>
        <v>0</v>
      </c>
      <c r="U83" s="12">
        <f t="shared" si="42"/>
        <v>0</v>
      </c>
      <c r="V83" s="12">
        <f t="shared" si="42"/>
        <v>0</v>
      </c>
      <c r="W83" s="12">
        <f t="shared" si="42"/>
        <v>0</v>
      </c>
    </row>
    <row r="84" spans="1:23" s="8" customFormat="1" x14ac:dyDescent="0.2">
      <c r="A84" s="10">
        <f t="shared" ref="A84:A89" si="43">A83+1</f>
        <v>54</v>
      </c>
      <c r="D84" s="13" t="s">
        <v>34</v>
      </c>
      <c r="E84" s="19"/>
      <c r="I84" s="12">
        <f t="shared" ref="I84:W84" si="44">I15*I16*I80</f>
        <v>0</v>
      </c>
      <c r="J84" s="12">
        <f t="shared" si="44"/>
        <v>0</v>
      </c>
      <c r="K84" s="12">
        <f t="shared" si="44"/>
        <v>0</v>
      </c>
      <c r="L84" s="12">
        <f t="shared" si="44"/>
        <v>0</v>
      </c>
      <c r="M84" s="12">
        <f t="shared" si="44"/>
        <v>0</v>
      </c>
      <c r="N84" s="12">
        <f t="shared" si="44"/>
        <v>0</v>
      </c>
      <c r="O84" s="12">
        <f t="shared" si="44"/>
        <v>0</v>
      </c>
      <c r="P84" s="12">
        <f t="shared" si="44"/>
        <v>0</v>
      </c>
      <c r="Q84" s="12">
        <f t="shared" si="44"/>
        <v>0</v>
      </c>
      <c r="R84" s="12">
        <f t="shared" si="44"/>
        <v>0</v>
      </c>
      <c r="S84" s="12">
        <f t="shared" si="44"/>
        <v>0</v>
      </c>
      <c r="T84" s="12">
        <f t="shared" si="44"/>
        <v>0</v>
      </c>
      <c r="U84" s="12">
        <f t="shared" si="44"/>
        <v>0</v>
      </c>
      <c r="V84" s="12">
        <f t="shared" si="44"/>
        <v>0</v>
      </c>
      <c r="W84" s="12">
        <f t="shared" si="44"/>
        <v>0</v>
      </c>
    </row>
    <row r="85" spans="1:23" s="8" customFormat="1" x14ac:dyDescent="0.2">
      <c r="A85" s="10">
        <f t="shared" si="43"/>
        <v>55</v>
      </c>
      <c r="D85" s="13" t="s">
        <v>35</v>
      </c>
      <c r="E85" s="19"/>
      <c r="I85" s="12">
        <f t="shared" ref="I85:W85" si="45">I18*I19*I80</f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si="45"/>
        <v>0</v>
      </c>
      <c r="Q85" s="12">
        <f t="shared" si="45"/>
        <v>0</v>
      </c>
      <c r="R85" s="12">
        <f t="shared" si="45"/>
        <v>0</v>
      </c>
      <c r="S85" s="12">
        <f t="shared" si="45"/>
        <v>0</v>
      </c>
      <c r="T85" s="12">
        <f t="shared" si="45"/>
        <v>0</v>
      </c>
      <c r="U85" s="12">
        <f t="shared" si="45"/>
        <v>0</v>
      </c>
      <c r="V85" s="12">
        <f t="shared" si="45"/>
        <v>0</v>
      </c>
      <c r="W85" s="12">
        <f t="shared" si="45"/>
        <v>0</v>
      </c>
    </row>
    <row r="86" spans="1:23" s="8" customFormat="1" x14ac:dyDescent="0.2">
      <c r="A86" s="10">
        <f t="shared" si="43"/>
        <v>56</v>
      </c>
      <c r="D86" s="13" t="s">
        <v>70</v>
      </c>
      <c r="E86" s="19"/>
      <c r="I86" s="12">
        <f>IF($F24="Y",I85*I25/(1-I25),I85*I25/(1-I25)+(I51+I59)*I25)</f>
        <v>0</v>
      </c>
      <c r="J86" s="12">
        <f t="shared" ref="J86:W86" si="46">IF($F24="Y",J85*J25/(1-J25),J85*J25/(1-J25)+(J51+J59)*J25)</f>
        <v>0</v>
      </c>
      <c r="K86" s="12">
        <f t="shared" si="46"/>
        <v>0</v>
      </c>
      <c r="L86" s="12">
        <f t="shared" si="46"/>
        <v>0</v>
      </c>
      <c r="M86" s="12">
        <f t="shared" si="46"/>
        <v>0</v>
      </c>
      <c r="N86" s="12">
        <f t="shared" si="46"/>
        <v>0</v>
      </c>
      <c r="O86" s="12">
        <f t="shared" si="46"/>
        <v>0</v>
      </c>
      <c r="P86" s="12">
        <f t="shared" si="46"/>
        <v>0</v>
      </c>
      <c r="Q86" s="12">
        <f t="shared" si="46"/>
        <v>0</v>
      </c>
      <c r="R86" s="12">
        <f t="shared" si="46"/>
        <v>0</v>
      </c>
      <c r="S86" s="12">
        <f t="shared" si="46"/>
        <v>0</v>
      </c>
      <c r="T86" s="12">
        <f t="shared" si="46"/>
        <v>0</v>
      </c>
      <c r="U86" s="12">
        <f t="shared" si="46"/>
        <v>0</v>
      </c>
      <c r="V86" s="12">
        <f t="shared" si="46"/>
        <v>0</v>
      </c>
      <c r="W86" s="12">
        <f t="shared" si="46"/>
        <v>0</v>
      </c>
    </row>
    <row r="87" spans="1:23" s="8" customFormat="1" x14ac:dyDescent="0.2">
      <c r="A87" s="10">
        <f t="shared" si="43"/>
        <v>57</v>
      </c>
      <c r="D87" s="13" t="s">
        <v>71</v>
      </c>
      <c r="E87" s="19"/>
      <c r="I87" s="12">
        <f>IF($F28="Y",(I85+I86)*I29/(1-I29),(I85+I86)*I29/(1-I29)+(I51+I65)*I29)</f>
        <v>0</v>
      </c>
      <c r="J87" s="12">
        <f t="shared" ref="J87:W87" si="47">IF($F28="Y",(J85+J86)*J29/(1-J29),(J85+J86)*J29/(1-J29)+(J51+J65)*J29)</f>
        <v>0</v>
      </c>
      <c r="K87" s="12">
        <f t="shared" si="47"/>
        <v>0</v>
      </c>
      <c r="L87" s="12">
        <f t="shared" si="47"/>
        <v>0</v>
      </c>
      <c r="M87" s="12">
        <f t="shared" si="47"/>
        <v>0</v>
      </c>
      <c r="N87" s="12">
        <f t="shared" si="47"/>
        <v>0</v>
      </c>
      <c r="O87" s="12">
        <f t="shared" si="47"/>
        <v>0</v>
      </c>
      <c r="P87" s="12">
        <f t="shared" si="47"/>
        <v>0</v>
      </c>
      <c r="Q87" s="12">
        <f t="shared" si="47"/>
        <v>0</v>
      </c>
      <c r="R87" s="12">
        <f t="shared" si="47"/>
        <v>0</v>
      </c>
      <c r="S87" s="12">
        <f t="shared" si="47"/>
        <v>0</v>
      </c>
      <c r="T87" s="12">
        <f t="shared" si="47"/>
        <v>0</v>
      </c>
      <c r="U87" s="12">
        <f t="shared" si="47"/>
        <v>0</v>
      </c>
      <c r="V87" s="12">
        <f t="shared" si="47"/>
        <v>0</v>
      </c>
      <c r="W87" s="12">
        <f t="shared" si="47"/>
        <v>0</v>
      </c>
    </row>
    <row r="88" spans="1:23" s="8" customFormat="1" x14ac:dyDescent="0.2">
      <c r="A88" s="10">
        <f t="shared" si="43"/>
        <v>58</v>
      </c>
      <c r="D88" s="13" t="s">
        <v>19</v>
      </c>
      <c r="E88" s="19"/>
      <c r="I88" s="12">
        <v>0</v>
      </c>
      <c r="J88" s="12">
        <f>(J80&gt;0)*(I88*(1+J32)+(I44+I45)*J31)</f>
        <v>0</v>
      </c>
      <c r="K88" s="12">
        <f t="shared" ref="K88:W88" si="48">(K80&gt;0)*(J88*(1+K32)+J44*K31)</f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 t="shared" si="48"/>
        <v>0</v>
      </c>
      <c r="Q88" s="12">
        <f t="shared" si="48"/>
        <v>0</v>
      </c>
      <c r="R88" s="12">
        <f t="shared" si="48"/>
        <v>0</v>
      </c>
      <c r="S88" s="12">
        <f t="shared" si="48"/>
        <v>0</v>
      </c>
      <c r="T88" s="12">
        <f t="shared" si="48"/>
        <v>0</v>
      </c>
      <c r="U88" s="12">
        <f t="shared" si="48"/>
        <v>0</v>
      </c>
      <c r="V88" s="12">
        <f t="shared" si="48"/>
        <v>0</v>
      </c>
      <c r="W88" s="12">
        <f t="shared" si="48"/>
        <v>0</v>
      </c>
    </row>
    <row r="89" spans="1:23" s="8" customFormat="1" x14ac:dyDescent="0.2">
      <c r="A89" s="10">
        <f t="shared" si="43"/>
        <v>59</v>
      </c>
      <c r="D89" s="13" t="s">
        <v>5</v>
      </c>
      <c r="E89" s="19"/>
      <c r="I89" s="20">
        <f>SUM(I83:I88)</f>
        <v>0</v>
      </c>
      <c r="J89" s="20">
        <f t="shared" ref="J89:W89" si="49">SUM(J83:J88)</f>
        <v>0</v>
      </c>
      <c r="K89" s="20">
        <f t="shared" si="49"/>
        <v>0</v>
      </c>
      <c r="L89" s="20">
        <f t="shared" si="49"/>
        <v>0</v>
      </c>
      <c r="M89" s="20">
        <f t="shared" si="49"/>
        <v>0</v>
      </c>
      <c r="N89" s="20">
        <f t="shared" si="49"/>
        <v>0</v>
      </c>
      <c r="O89" s="20">
        <f t="shared" si="49"/>
        <v>0</v>
      </c>
      <c r="P89" s="20">
        <f t="shared" si="49"/>
        <v>0</v>
      </c>
      <c r="Q89" s="20">
        <f t="shared" si="49"/>
        <v>0</v>
      </c>
      <c r="R89" s="20">
        <f t="shared" si="49"/>
        <v>0</v>
      </c>
      <c r="S89" s="20">
        <f t="shared" si="49"/>
        <v>0</v>
      </c>
      <c r="T89" s="20">
        <f t="shared" si="49"/>
        <v>0</v>
      </c>
      <c r="U89" s="20">
        <f t="shared" si="49"/>
        <v>0</v>
      </c>
      <c r="V89" s="20">
        <f t="shared" si="49"/>
        <v>0</v>
      </c>
      <c r="W89" s="20">
        <f t="shared" si="49"/>
        <v>0</v>
      </c>
    </row>
    <row r="90" spans="1:23" s="8" customFormat="1" x14ac:dyDescent="0.2">
      <c r="A90" s="4"/>
      <c r="E90" s="9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s="8" customFormat="1" x14ac:dyDescent="0.2">
      <c r="A91" s="4"/>
      <c r="E91" s="9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</sheetData>
  <pageMargins left="0.70866141732283472" right="0.70866141732283472" top="0.74803149606299213" bottom="0.74803149606299213" header="0.31496062992125984" footer="0.31496062992125984"/>
  <pageSetup scale="70" fitToHeight="9" orientation="landscape" r:id="rId1"/>
  <headerFooter>
    <oddHeader>&amp;L&amp;"Arial,Bold"California ISO&amp;R&amp;"Arial,Bold"Page &amp;P</oddHeader>
  </headerFooter>
  <rowBreaks count="1" manualBreakCount="1">
    <brk id="5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3f182-e424-487f-ac7f-33bed2fc986a">
      <Value>311</Value>
      <Value>1</Value>
    </TaxCatchAll>
    <ISOKeywordsTaxHTField0 xmlns="2613f182-e424-487f-ac7f-33bed2fc986a">
      <Terms xmlns="http://schemas.microsoft.com/office/infopath/2007/PartnerControls"/>
    </ISOKeywordsTaxHTField0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2021-09-23T23:35:04+00:00</PostDate>
    <ExpireDate xmlns="2613f182-e424-487f-ac7f-33bed2fc986a" xsi:nil="true"/>
    <Content_x0020_Owner xmlns="2613f182-e424-487f-ac7f-33bed2fc986a">
      <UserInfo>
        <DisplayName>Almeida, Keoni</DisplayName>
        <AccountId>90</AccountId>
        <AccountType/>
      </UserInfo>
    </Content_x0020_Owner>
    <ISOContributor xmlns="2613f182-e424-487f-ac7f-33bed2fc986a">
      <UserInfo>
        <DisplayName>Nicosia, Isabella</DisplayName>
        <AccountId>486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Nicosia, Isabella</DisplayName>
        <AccountId>486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Planning</TermName>
          <TermId xmlns="http://schemas.microsoft.com/office/infopath/2007/PartnerControls">285a5f2c-fbc6-40b5-af08-c23b5949dd29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 xsi:nil="true"/>
    <ISOSummary xmlns="2613f182-e424-487f-ac7f-33bed2fc986a">2020-2020 Transmission Access Charge Forecast Model with New Capital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2020-2021 transmission access charge forecast model|61e7a586-7ac2-4cdc-a5bf-86a76524e712</ParentISOGroups>
    <Orig_x0020_Post_x0020_Date xmlns="5bcbeff6-7c02-4b0f-b125-f1b3d566cc14">2021-09-23T23:35:04+00:00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50b04c46-4488-4dc6-80d9-3b029a72f1d0</CrawlableUniqueID>
  </documentManagement>
</p:properties>
</file>

<file path=customXml/item2.xml><?xml version="1.0" encoding="utf-8"?>
<?mso-contentType ?>
<FormTemplates xmlns="http://schemas.microsoft.com/sharepoint/v3/contenttype/form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642951-2C79-4C58-9EF3-EB3733868C26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2e64aaae-efe8-4b36-9ab4-486f04499e09"/>
    <ds:schemaRef ds:uri="dcc7e218-8b47-4273-ba28-07719656e1ad"/>
    <ds:schemaRef ds:uri="e6671a59-50a7-4167-890c-836f7535b73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81F5B55-552E-41FC-937D-0207C6F95CE7}"/>
</file>

<file path=customXml/itemProps3.xml><?xml version="1.0" encoding="utf-8"?>
<ds:datastoreItem xmlns:ds="http://schemas.openxmlformats.org/officeDocument/2006/customXml" ds:itemID="{2D497EA5-D33A-4D37-AF52-7455F8BE0546}"/>
</file>

<file path=customXml/itemProps4.xml><?xml version="1.0" encoding="utf-8"?>
<ds:datastoreItem xmlns:ds="http://schemas.openxmlformats.org/officeDocument/2006/customXml" ds:itemID="{49BDA915-84F6-47DF-BED8-151CF81F13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28</vt:i4>
      </vt:variant>
    </vt:vector>
  </HeadingPairs>
  <TitlesOfParts>
    <vt:vector size="42" baseType="lpstr">
      <vt:lpstr>Summary</vt:lpstr>
      <vt:lpstr>Existing</vt:lpstr>
      <vt:lpstr>Reliability</vt:lpstr>
      <vt:lpstr>2020-21 Policy and Econ</vt:lpstr>
      <vt:lpstr>WOD</vt:lpstr>
      <vt:lpstr>ClrdoRvr</vt:lpstr>
      <vt:lpstr>Red Bluff 2AA Bank</vt:lpstr>
      <vt:lpstr>Calcite</vt:lpstr>
      <vt:lpstr>New Project 10</vt:lpstr>
      <vt:lpstr>New Project 11</vt:lpstr>
      <vt:lpstr>New Project 12</vt:lpstr>
      <vt:lpstr>Tehachapi</vt:lpstr>
      <vt:lpstr>CW-Lugo</vt:lpstr>
      <vt:lpstr>South CC</vt:lpstr>
      <vt:lpstr>'2020-21 Policy and Econ'!Print_Area</vt:lpstr>
      <vt:lpstr>Calcite!Print_Area</vt:lpstr>
      <vt:lpstr>ClrdoRvr!Print_Area</vt:lpstr>
      <vt:lpstr>'CW-Lugo'!Print_Area</vt:lpstr>
      <vt:lpstr>Existing!Print_Area</vt:lpstr>
      <vt:lpstr>'New Project 10'!Print_Area</vt:lpstr>
      <vt:lpstr>'New Project 11'!Print_Area</vt:lpstr>
      <vt:lpstr>'New Project 12'!Print_Area</vt:lpstr>
      <vt:lpstr>'Red Bluff 2AA Bank'!Print_Area</vt:lpstr>
      <vt:lpstr>Reliability!Print_Area</vt:lpstr>
      <vt:lpstr>'South CC'!Print_Area</vt:lpstr>
      <vt:lpstr>Summary!Print_Area</vt:lpstr>
      <vt:lpstr>Tehachapi!Print_Area</vt:lpstr>
      <vt:lpstr>WOD!Print_Area</vt:lpstr>
      <vt:lpstr>'2020-21 Policy and Econ'!Print_Titles</vt:lpstr>
      <vt:lpstr>Calcite!Print_Titles</vt:lpstr>
      <vt:lpstr>ClrdoRvr!Print_Titles</vt:lpstr>
      <vt:lpstr>'CW-Lugo'!Print_Titles</vt:lpstr>
      <vt:lpstr>Existing!Print_Titles</vt:lpstr>
      <vt:lpstr>'New Project 10'!Print_Titles</vt:lpstr>
      <vt:lpstr>'New Project 11'!Print_Titles</vt:lpstr>
      <vt:lpstr>'New Project 12'!Print_Titles</vt:lpstr>
      <vt:lpstr>'Red Bluff 2AA Bank'!Print_Titles</vt:lpstr>
      <vt:lpstr>Reliability!Print_Titles</vt:lpstr>
      <vt:lpstr>'South CC'!Print_Titles</vt:lpstr>
      <vt:lpstr>Summary!Print_Titles</vt:lpstr>
      <vt:lpstr>Tehachapi!Print_Titles</vt:lpstr>
      <vt:lpstr>WOD!Print_Titles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2020-2021 Transmission Access Charge Forecast Model with New Capital</dc:title>
  <dc:creator>Wayne Taylor</dc:creator>
  <cp:lastModifiedBy>Nicosia, Isabella</cp:lastModifiedBy>
  <cp:lastPrinted>2016-01-31T22:04:48Z</cp:lastPrinted>
  <dcterms:created xsi:type="dcterms:W3CDTF">2012-06-11T17:14:09Z</dcterms:created>
  <dcterms:modified xsi:type="dcterms:W3CDTF">2021-09-23T23:10:51Z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Group">
    <vt:lpwstr/>
  </property>
  <property fmtid="{D5CDD505-2E9C-101B-9397-08002B2CF9AE}" pid="4" name="ISOArchive">
    <vt:lpwstr>1;#Not Archived|d4ac4999-fa66-470b-a400-7ab6671d1fab</vt:lpwstr>
  </property>
  <property fmtid="{D5CDD505-2E9C-101B-9397-08002B2CF9AE}" pid="5" name="ISOKeywords">
    <vt:lpwstr/>
  </property>
  <property fmtid="{D5CDD505-2E9C-101B-9397-08002B2CF9AE}" pid="6" name="ISOTopic">
    <vt:lpwstr>311;#Planning|285a5f2c-fbc6-40b5-af08-c23b5949dd29</vt:lpwstr>
  </property>
  <property fmtid="{D5CDD505-2E9C-101B-9397-08002B2CF9AE}" pid="7" name="_dlc_DocIdItemGuid">
    <vt:lpwstr>0b1e82b1-12ce-479b-a8a6-7fcba1173289</vt:lpwstr>
  </property>
  <property fmtid="{D5CDD505-2E9C-101B-9397-08002B2CF9AE}" pid="8" name="AutoClassRecordSeries">
    <vt:lpwstr>41;#Administrative:ADM01-215 - Planning Records|445b443c-bc08-4acf-a53a-2e311e7629f1</vt:lpwstr>
  </property>
  <property fmtid="{D5CDD505-2E9C-101B-9397-08002B2CF9AE}" pid="9" name="AutoClassDocumentType">
    <vt:lpwstr/>
  </property>
  <property fmtid="{D5CDD505-2E9C-101B-9397-08002B2CF9AE}" pid="10" name="AutoClassTopic">
    <vt:lpwstr>17;#Tariff|cc4c938c-feeb-4c7a-a862-f9df7d868b49;#86;#Project|b10aa64f-48ee-4573-a7bc-f018fb4d66f0</vt:lpwstr>
  </property>
  <property fmtid="{D5CDD505-2E9C-101B-9397-08002B2CF9AE}" pid="11" name="RLPreviousUrl">
    <vt:lpwstr>/sites/MID/ID/RTN/Records/TPP/TPP 2017 - 2018/High Voltage TAC Projections/2018 Stakeholder Call Materials/2017-2018TransmissionAccessChargeForecastModelwithNewCapital-Updated.xlsx</vt:lpwstr>
  </property>
  <property fmtid="{D5CDD505-2E9C-101B-9397-08002B2CF9AE}" pid="12" name="{A44787D4-0540-4523-9961-78E4036D8C6D}">
    <vt:lpwstr>{35DA9C05-E3B2-4234-A3AD-7705334F3792}</vt:lpwstr>
  </property>
  <property fmtid="{D5CDD505-2E9C-101B-9397-08002B2CF9AE}" pid="13" name="Order">
    <vt:r8>6178500</vt:r8>
  </property>
  <property fmtid="{D5CDD505-2E9C-101B-9397-08002B2CF9AE}" pid="14" name="xd_ProgID">
    <vt:lpwstr/>
  </property>
  <property fmtid="{D5CDD505-2E9C-101B-9397-08002B2CF9AE}" pid="15" name="TemplateUrl">
    <vt:lpwstr/>
  </property>
</Properties>
</file>