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390" windowWidth="24240" windowHeight="13740"/>
  </bookViews>
  <sheets>
    <sheet name="Single HUB DEB Calculation" sheetId="2" r:id="rId1"/>
    <sheet name="Multiple Hub WAP Calculation" sheetId="4" r:id="rId2"/>
    <sheet name="Multiple Hub DEB Calculation" sheetId="3" r:id="rId3"/>
    <sheet name="Inputs" sheetId="5" r:id="rId4"/>
  </sheets>
  <definedNames>
    <definedName name="Gas_Scalar">'Single HUB DEB Calculation'!$G$15</definedName>
    <definedName name="HubNames">'Multiple Hub WAP Calculation'!$B$18:$E$18</definedName>
    <definedName name="HubTx">'Multiple Hub WAP Calculation'!$B$10:$E$11</definedName>
    <definedName name="LT_Scalar">'Single HUB DEB Calculation'!$G$17</definedName>
    <definedName name="_xlnm.Print_Area" localSheetId="3">Inputs!$A$1:$O$11</definedName>
    <definedName name="_xlnm.Print_Area" localSheetId="1">'Multiple Hub WAP Calculation'!$A$1:$X$47</definedName>
    <definedName name="ResourceMW">'Multiple Hub WAP Calculation'!$B$6</definedName>
    <definedName name="ST_Scalar">'Single HUB DEB Calculation'!$G$16</definedName>
  </definedNames>
  <calcPr calcId="145621"/>
</workbook>
</file>

<file path=xl/calcChain.xml><?xml version="1.0" encoding="utf-8"?>
<calcChain xmlns="http://schemas.openxmlformats.org/spreadsheetml/2006/main">
  <c r="G33" i="2" l="1"/>
  <c r="F33" i="2"/>
  <c r="E33" i="2"/>
  <c r="C19" i="2" l="1"/>
  <c r="C24" i="2" s="1"/>
  <c r="D28" i="2" s="1"/>
  <c r="G16" i="3"/>
  <c r="C14" i="3"/>
  <c r="B18" i="4"/>
  <c r="B19" i="4"/>
  <c r="B20" i="4"/>
  <c r="G20" i="4" s="1"/>
  <c r="B21" i="4"/>
  <c r="B22" i="4"/>
  <c r="B23" i="4"/>
  <c r="B24" i="4"/>
  <c r="B25" i="4"/>
  <c r="B26" i="4"/>
  <c r="G15" i="3"/>
  <c r="G17" i="3"/>
  <c r="B15" i="3"/>
  <c r="C15" i="3"/>
  <c r="B16" i="3"/>
  <c r="C16" i="3"/>
  <c r="B19" i="3"/>
  <c r="B21" i="3"/>
  <c r="C21" i="3"/>
  <c r="B24" i="3"/>
  <c r="G14" i="3"/>
  <c r="F15" i="3"/>
  <c r="F16" i="3"/>
  <c r="F17" i="3"/>
  <c r="H28" i="2"/>
  <c r="I28" i="2"/>
  <c r="G28" i="2"/>
  <c r="F28" i="2"/>
  <c r="E28" i="2"/>
  <c r="B11" i="4"/>
  <c r="J26" i="4"/>
  <c r="I26" i="4"/>
  <c r="H26" i="4"/>
  <c r="G26" i="4"/>
  <c r="C19" i="3" l="1"/>
  <c r="C24" i="3"/>
  <c r="D28" i="3" s="1"/>
  <c r="G21" i="4"/>
  <c r="H21" i="4"/>
  <c r="I21" i="4"/>
  <c r="J21" i="4"/>
  <c r="G25" i="4"/>
  <c r="J24" i="4"/>
  <c r="H23" i="4"/>
  <c r="G22" i="4"/>
  <c r="I35" i="4" s="1"/>
  <c r="I20" i="4"/>
  <c r="D30" i="2" l="1"/>
  <c r="D33" i="2" s="1"/>
  <c r="D35" i="2" s="1"/>
  <c r="I39" i="4"/>
  <c r="J19" i="4"/>
  <c r="G23" i="4"/>
  <c r="G19" i="4"/>
  <c r="I23" i="4"/>
  <c r="H19" i="4"/>
  <c r="J25" i="4"/>
  <c r="I19" i="4"/>
  <c r="I25" i="4"/>
  <c r="H25" i="4"/>
  <c r="J22" i="4"/>
  <c r="H22" i="4"/>
  <c r="I24" i="4"/>
  <c r="H24" i="4"/>
  <c r="H20" i="4"/>
  <c r="G24" i="4"/>
  <c r="I22" i="4"/>
  <c r="J23" i="4"/>
  <c r="J20" i="4"/>
  <c r="J35" i="4" l="1"/>
  <c r="I40" i="4" s="1"/>
  <c r="K35" i="4"/>
  <c r="I41" i="4" s="1"/>
  <c r="L35" i="4"/>
  <c r="I42" i="4" s="1"/>
  <c r="D18" i="4"/>
  <c r="L20" i="4" s="1"/>
  <c r="Q20" i="4" s="1"/>
  <c r="E18" i="4"/>
  <c r="O23" i="4" s="1"/>
  <c r="O20" i="4"/>
  <c r="C18" i="4"/>
  <c r="M23" i="4" s="1"/>
  <c r="N20" i="4"/>
  <c r="L19" i="4" l="1"/>
  <c r="Q19" i="4" s="1"/>
  <c r="M25" i="4"/>
  <c r="N26" i="4"/>
  <c r="M24" i="4"/>
  <c r="L21" i="4"/>
  <c r="Q21" i="4" s="1"/>
  <c r="N23" i="4"/>
  <c r="L26" i="4"/>
  <c r="Q26" i="4" s="1"/>
  <c r="M22" i="4"/>
  <c r="N24" i="4"/>
  <c r="L22" i="4"/>
  <c r="O22" i="4"/>
  <c r="N22" i="4"/>
  <c r="O21" i="4"/>
  <c r="L24" i="4"/>
  <c r="Q24" i="4" s="1"/>
  <c r="N21" i="4"/>
  <c r="M26" i="4"/>
  <c r="M21" i="4"/>
  <c r="L23" i="4"/>
  <c r="Q23" i="4" s="1"/>
  <c r="R23" i="4" s="1"/>
  <c r="N19" i="4"/>
  <c r="O25" i="4"/>
  <c r="L25" i="4"/>
  <c r="Q25" i="4" s="1"/>
  <c r="M20" i="4"/>
  <c r="R20" i="4" s="1"/>
  <c r="M19" i="4"/>
  <c r="O26" i="4"/>
  <c r="N25" i="4"/>
  <c r="O19" i="4"/>
  <c r="O24" i="4"/>
  <c r="R19" i="4" l="1"/>
  <c r="S19" i="4" s="1"/>
  <c r="R21" i="4"/>
  <c r="S21" i="4" s="1"/>
  <c r="T21" i="4" s="1"/>
  <c r="R25" i="4"/>
  <c r="S25" i="4" s="1"/>
  <c r="T25" i="4" s="1"/>
  <c r="R26" i="4"/>
  <c r="S26" i="4" s="1"/>
  <c r="T26" i="4" s="1"/>
  <c r="R24" i="4"/>
  <c r="S24" i="4" s="1"/>
  <c r="T24" i="4" s="1"/>
  <c r="S23" i="4"/>
  <c r="T23" i="4" s="1"/>
  <c r="S20" i="4"/>
  <c r="T20" i="4" s="1"/>
  <c r="L34" i="4"/>
  <c r="G42" i="4" s="1"/>
  <c r="I34" i="4"/>
  <c r="G39" i="4" s="1"/>
  <c r="Q22" i="4"/>
  <c r="K34" i="4"/>
  <c r="G41" i="4" s="1"/>
  <c r="J34" i="4"/>
  <c r="G40" i="4" s="1"/>
  <c r="V23" i="4" l="1"/>
  <c r="V21" i="4"/>
  <c r="R22" i="4"/>
  <c r="S22" i="4" s="1"/>
  <c r="T22" i="4" s="1"/>
  <c r="T19" i="4"/>
  <c r="V19" i="4" s="1"/>
  <c r="V25" i="4"/>
  <c r="I36" i="4"/>
  <c r="D39" i="4" s="1"/>
  <c r="V20" i="4"/>
  <c r="E21" i="3" l="1"/>
  <c r="F33" i="3" s="1"/>
  <c r="E19" i="3"/>
  <c r="I28" i="3" s="1"/>
  <c r="E17" i="3"/>
  <c r="G28" i="3" s="1"/>
  <c r="E16" i="3"/>
  <c r="F28" i="3" s="1"/>
  <c r="E15" i="3"/>
  <c r="E28" i="3" s="1"/>
  <c r="V26" i="4"/>
  <c r="J36" i="4"/>
  <c r="D40" i="4" s="1"/>
  <c r="K40" i="4" s="1"/>
  <c r="K39" i="4"/>
  <c r="V24" i="4"/>
  <c r="E22" i="3" l="1"/>
  <c r="G33" i="3" s="1"/>
  <c r="E20" i="3"/>
  <c r="E33" i="3" s="1"/>
  <c r="K36" i="4"/>
  <c r="D41" i="4" s="1"/>
  <c r="K41" i="4" s="1"/>
  <c r="L36" i="4"/>
  <c r="D42" i="4" s="1"/>
  <c r="K42" i="4" s="1"/>
  <c r="K43" i="4" l="1"/>
  <c r="E46" i="4" s="1"/>
  <c r="V22" i="4"/>
  <c r="D43" i="4"/>
  <c r="E47" i="4" s="1"/>
  <c r="G46" i="4" l="1"/>
  <c r="E18" i="3"/>
  <c r="H28" i="3" s="1"/>
  <c r="D30" i="3" s="1"/>
  <c r="D33" i="3" s="1"/>
  <c r="D35" i="3" s="1"/>
</calcChain>
</file>

<file path=xl/comments1.xml><?xml version="1.0" encoding="utf-8"?>
<comments xmlns="http://schemas.openxmlformats.org/spreadsheetml/2006/main">
  <authors>
    <author>Author</author>
  </authors>
  <commentList>
    <comment ref="B1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Single HUB DEB Calculation Sheet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Single HUB DEB Calculation Sheet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Multiple HUB DEB Calculation Sheet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Single HUB DEB Calculation Sheet</t>
        </r>
      </text>
    </comment>
  </commentList>
</comments>
</file>

<file path=xl/sharedStrings.xml><?xml version="1.0" encoding="utf-8"?>
<sst xmlns="http://schemas.openxmlformats.org/spreadsheetml/2006/main" count="137" uniqueCount="106">
  <si>
    <t>BOM</t>
  </si>
  <si>
    <t>NP</t>
  </si>
  <si>
    <t>SP</t>
  </si>
  <si>
    <t>MW</t>
  </si>
  <si>
    <t>MW would go to</t>
  </si>
  <si>
    <t>Total</t>
  </si>
  <si>
    <t>The resource would be allocated to the highest price hubs first:</t>
  </si>
  <si>
    <t>Note, the Tx position to the Resource's default hub is always equal to the resource size</t>
  </si>
  <si>
    <t>Preferred Hubs by Price</t>
  </si>
  <si>
    <t>Preferred Hubs by Name</t>
  </si>
  <si>
    <t>First Choice</t>
  </si>
  <si>
    <t>Second Choice</t>
  </si>
  <si>
    <t>Third Choice</t>
  </si>
  <si>
    <t>Fourth Choice</t>
  </si>
  <si>
    <t>Maximized Transmission Usage</t>
  </si>
  <si>
    <t>First Use</t>
  </si>
  <si>
    <t>Second Use</t>
  </si>
  <si>
    <t>Third Use</t>
  </si>
  <si>
    <t>Fourth Use</t>
  </si>
  <si>
    <t>Weighted Avg Price</t>
  </si>
  <si>
    <t>Resource</t>
  </si>
  <si>
    <t>The respective transmission usage to each hub, in price ranked order:</t>
  </si>
  <si>
    <t xml:space="preserve">Total $ / Total MW = </t>
  </si>
  <si>
    <t>Default Hub is MC</t>
  </si>
  <si>
    <t>Resource Size</t>
  </si>
  <si>
    <t>TX Positions</t>
  </si>
  <si>
    <t>Prices</t>
  </si>
  <si>
    <t>Intercontinental Exchange Settle Prices</t>
  </si>
  <si>
    <t>CAISO Master File</t>
  </si>
  <si>
    <t>Mid C</t>
  </si>
  <si>
    <t>HLH Prices by Hub</t>
  </si>
  <si>
    <t>HLH Prices at the hubs, ranked highest to lowest, are:</t>
  </si>
  <si>
    <t>=</t>
  </si>
  <si>
    <t>Tx Provider OASIS Nodes of (BPA, Puget Sound Energy, Portland, BC Hydro)</t>
  </si>
  <si>
    <t>GPI =</t>
  </si>
  <si>
    <t>Gas Floor =</t>
  </si>
  <si>
    <t xml:space="preserve">Gas Heat Rate= </t>
  </si>
  <si>
    <t>DA</t>
  </si>
  <si>
    <t>ST DEB= MAX(</t>
  </si>
  <si>
    <t>DA Index</t>
  </si>
  <si>
    <t>BOM Index</t>
  </si>
  <si>
    <t>M Index + 2</t>
  </si>
  <si>
    <t>M Index + 1</t>
  </si>
  <si>
    <t>M Index + 3</t>
  </si>
  <si>
    <t>)</t>
  </si>
  <si>
    <t>M Index + 4</t>
  </si>
  <si>
    <t>M Index + 5</t>
  </si>
  <si>
    <t xml:space="preserve">ST DEB= </t>
  </si>
  <si>
    <t>LT DEB= MAX(</t>
  </si>
  <si>
    <t>ST DEB</t>
  </si>
  <si>
    <t>M Index + 6</t>
  </si>
  <si>
    <t xml:space="preserve">LT DEB= </t>
  </si>
  <si>
    <t>MC Power Prices</t>
  </si>
  <si>
    <t>Sumas Gas Prices</t>
  </si>
  <si>
    <t>Palo Verde</t>
  </si>
  <si>
    <t>Example: Calculating the Multiple Hub Weighted Average Price for Month + 2</t>
  </si>
  <si>
    <t>Mutliple Hub WAPs</t>
  </si>
  <si>
    <t>$/MW</t>
  </si>
  <si>
    <t>Short Term DEB:</t>
  </si>
  <si>
    <t>Long Term DEB:</t>
  </si>
  <si>
    <t xml:space="preserve">Gas </t>
  </si>
  <si>
    <t>Scalars</t>
  </si>
  <si>
    <t xml:space="preserve">ST MH DEB= </t>
  </si>
  <si>
    <t>ST MH DEB</t>
  </si>
  <si>
    <t>Default Hub</t>
  </si>
  <si>
    <t>MH M Index + 1</t>
  </si>
  <si>
    <t>MH DA Index</t>
  </si>
  <si>
    <t>MH BOM Index</t>
  </si>
  <si>
    <t>MH M Index + 2</t>
  </si>
  <si>
    <t>MH M Index + 3</t>
  </si>
  <si>
    <t>MH M Index + 4</t>
  </si>
  <si>
    <t>MH M Index + 5</t>
  </si>
  <si>
    <t>MH M Index + 6</t>
  </si>
  <si>
    <t xml:space="preserve">Short Term </t>
  </si>
  <si>
    <t xml:space="preserve">Long Term </t>
  </si>
  <si>
    <t>Prices Updated DAILY</t>
  </si>
  <si>
    <t>Transmission Availability - Updated Annually (MW)</t>
  </si>
  <si>
    <t>Short Term Multi-Hub DEB:</t>
  </si>
  <si>
    <t>Long Term Multi-Hub DEB:</t>
  </si>
  <si>
    <t xml:space="preserve">LT MH DEB= </t>
  </si>
  <si>
    <t>Gas Floor * 
Gas Scalar</t>
  </si>
  <si>
    <t>DA Index * 
ST Scalar</t>
  </si>
  <si>
    <t>BOM Index * 
ST Scalar</t>
  </si>
  <si>
    <r>
      <t xml:space="preserve">M Index </t>
    </r>
    <r>
      <rPr>
        <b/>
        <vertAlign val="subscript"/>
        <sz val="14"/>
        <color theme="1"/>
        <rFont val="Calibri"/>
        <family val="2"/>
        <scheme val="minor"/>
      </rPr>
      <t xml:space="preserve">+ 1 </t>
    </r>
    <r>
      <rPr>
        <b/>
        <sz val="14"/>
        <color theme="1"/>
        <rFont val="Calibri"/>
        <family val="2"/>
        <scheme val="minor"/>
      </rPr>
      <t xml:space="preserve"> * 
ST Scalar</t>
    </r>
  </si>
  <si>
    <r>
      <t>M Index</t>
    </r>
    <r>
      <rPr>
        <b/>
        <vertAlign val="subscript"/>
        <sz val="14"/>
        <color theme="1"/>
        <rFont val="Calibri"/>
        <family val="2"/>
        <scheme val="minor"/>
      </rPr>
      <t xml:space="preserve"> + 2 </t>
    </r>
    <r>
      <rPr>
        <b/>
        <sz val="14"/>
        <color theme="1"/>
        <rFont val="Calibri"/>
        <family val="2"/>
        <scheme val="minor"/>
      </rPr>
      <t>* 
ST Scalar</t>
    </r>
  </si>
  <si>
    <r>
      <t xml:space="preserve">M Index </t>
    </r>
    <r>
      <rPr>
        <b/>
        <vertAlign val="subscript"/>
        <sz val="14"/>
        <color theme="1"/>
        <rFont val="Calibri"/>
        <family val="2"/>
        <scheme val="minor"/>
      </rPr>
      <t xml:space="preserve">+ 4 </t>
    </r>
    <r>
      <rPr>
        <b/>
        <sz val="14"/>
        <color theme="1"/>
        <rFont val="Calibri"/>
        <family val="2"/>
        <scheme val="minor"/>
      </rPr>
      <t xml:space="preserve"> * 
LT Scalar</t>
    </r>
  </si>
  <si>
    <r>
      <t>M Index</t>
    </r>
    <r>
      <rPr>
        <b/>
        <vertAlign val="subscript"/>
        <sz val="14"/>
        <color theme="1"/>
        <rFont val="Calibri"/>
        <family val="2"/>
        <scheme val="minor"/>
      </rPr>
      <t xml:space="preserve"> + 5 </t>
    </r>
    <r>
      <rPr>
        <b/>
        <sz val="14"/>
        <color theme="1"/>
        <rFont val="Calibri"/>
        <family val="2"/>
        <scheme val="minor"/>
      </rPr>
      <t>* 
LT Scalar</t>
    </r>
  </si>
  <si>
    <r>
      <t xml:space="preserve">M Index </t>
    </r>
    <r>
      <rPr>
        <b/>
        <vertAlign val="subscript"/>
        <sz val="14"/>
        <color theme="1"/>
        <rFont val="Calibri"/>
        <family val="2"/>
        <scheme val="minor"/>
      </rPr>
      <t xml:space="preserve">+ 6 </t>
    </r>
    <r>
      <rPr>
        <b/>
        <sz val="14"/>
        <color theme="1"/>
        <rFont val="Calibri"/>
        <family val="2"/>
        <scheme val="minor"/>
      </rPr>
      <t>* 
LT Scalar</t>
    </r>
  </si>
  <si>
    <t>MH DA Index * 
ST Scalar</t>
  </si>
  <si>
    <t>MH BOM Index * 
ST Scalar</t>
  </si>
  <si>
    <r>
      <t xml:space="preserve"> MH M Index </t>
    </r>
    <r>
      <rPr>
        <b/>
        <vertAlign val="subscript"/>
        <sz val="14"/>
        <color theme="1"/>
        <rFont val="Calibri"/>
        <family val="2"/>
        <scheme val="minor"/>
      </rPr>
      <t xml:space="preserve">+ 1 </t>
    </r>
    <r>
      <rPr>
        <b/>
        <sz val="14"/>
        <color theme="1"/>
        <rFont val="Calibri"/>
        <family val="2"/>
        <scheme val="minor"/>
      </rPr>
      <t xml:space="preserve"> * 
ST Scalar</t>
    </r>
  </si>
  <si>
    <r>
      <t>MH M Index</t>
    </r>
    <r>
      <rPr>
        <b/>
        <vertAlign val="subscript"/>
        <sz val="14"/>
        <color theme="1"/>
        <rFont val="Calibri"/>
        <family val="2"/>
        <scheme val="minor"/>
      </rPr>
      <t xml:space="preserve"> + 2 </t>
    </r>
    <r>
      <rPr>
        <b/>
        <sz val="14"/>
        <color theme="1"/>
        <rFont val="Calibri"/>
        <family val="2"/>
        <scheme val="minor"/>
      </rPr>
      <t>* 
ST Scalar</t>
    </r>
  </si>
  <si>
    <r>
      <t xml:space="preserve">MH M Index </t>
    </r>
    <r>
      <rPr>
        <b/>
        <vertAlign val="subscript"/>
        <sz val="14"/>
        <color theme="1"/>
        <rFont val="Calibri"/>
        <family val="2"/>
        <scheme val="minor"/>
      </rPr>
      <t>+ 3</t>
    </r>
    <r>
      <rPr>
        <b/>
        <sz val="14"/>
        <color theme="1"/>
        <rFont val="Calibri"/>
        <family val="2"/>
        <scheme val="minor"/>
      </rPr>
      <t xml:space="preserve"> * 
ST Scalar</t>
    </r>
  </si>
  <si>
    <r>
      <t xml:space="preserve">M Index </t>
    </r>
    <r>
      <rPr>
        <b/>
        <vertAlign val="subscript"/>
        <sz val="14"/>
        <color theme="1"/>
        <rFont val="Calibri"/>
        <family val="2"/>
        <scheme val="minor"/>
      </rPr>
      <t>+ 3</t>
    </r>
    <r>
      <rPr>
        <b/>
        <sz val="14"/>
        <color theme="1"/>
        <rFont val="Calibri"/>
        <family val="2"/>
        <scheme val="minor"/>
      </rPr>
      <t xml:space="preserve"> * 
ST Scalar</t>
    </r>
  </si>
  <si>
    <r>
      <t xml:space="preserve">MH M Index </t>
    </r>
    <r>
      <rPr>
        <b/>
        <vertAlign val="subscript"/>
        <sz val="14"/>
        <color theme="1"/>
        <rFont val="Calibri"/>
        <family val="2"/>
        <scheme val="minor"/>
      </rPr>
      <t xml:space="preserve">+ 4 </t>
    </r>
    <r>
      <rPr>
        <b/>
        <sz val="14"/>
        <color theme="1"/>
        <rFont val="Calibri"/>
        <family val="2"/>
        <scheme val="minor"/>
      </rPr>
      <t xml:space="preserve"> * 
LT Scalar</t>
    </r>
  </si>
  <si>
    <r>
      <t>MH M Index</t>
    </r>
    <r>
      <rPr>
        <b/>
        <vertAlign val="subscript"/>
        <sz val="14"/>
        <color theme="1"/>
        <rFont val="Calibri"/>
        <family val="2"/>
        <scheme val="minor"/>
      </rPr>
      <t xml:space="preserve"> + 5 </t>
    </r>
    <r>
      <rPr>
        <b/>
        <sz val="14"/>
        <color theme="1"/>
        <rFont val="Calibri"/>
        <family val="2"/>
        <scheme val="minor"/>
      </rPr>
      <t>* 
LT Scalar</t>
    </r>
  </si>
  <si>
    <r>
      <t xml:space="preserve">MH M Index </t>
    </r>
    <r>
      <rPr>
        <b/>
        <vertAlign val="subscript"/>
        <sz val="14"/>
        <color theme="1"/>
        <rFont val="Calibri"/>
        <family val="2"/>
        <scheme val="minor"/>
      </rPr>
      <t xml:space="preserve">+ 6 </t>
    </r>
    <r>
      <rPr>
        <b/>
        <sz val="14"/>
        <color theme="1"/>
        <rFont val="Calibri"/>
        <family val="2"/>
        <scheme val="minor"/>
      </rPr>
      <t>* 
LT Scalar</t>
    </r>
  </si>
  <si>
    <t>Single Hub (Mid C) DEB Calculation - 6 Month Storage Horizon</t>
  </si>
  <si>
    <r>
      <rPr>
        <b/>
        <sz val="26"/>
        <color theme="4"/>
        <rFont val="Calibri"/>
        <family val="2"/>
        <scheme val="minor"/>
      </rPr>
      <t>Multi-Hub</t>
    </r>
    <r>
      <rPr>
        <b/>
        <sz val="26"/>
        <color theme="1"/>
        <rFont val="Calibri"/>
        <family val="2"/>
        <scheme val="minor"/>
      </rPr>
      <t xml:space="preserve"> DEB Calculation - 6 Month Storage Horizon</t>
    </r>
  </si>
  <si>
    <t>Multi-Hub Weighted Average Price Calculation - 6 Month Storage Horizon</t>
  </si>
  <si>
    <t>Input</t>
  </si>
  <si>
    <t xml:space="preserve">Source </t>
  </si>
  <si>
    <t>If implemented, hypothetical values in this illustrative spreadsheet could be replaced by actual data from the following sources:</t>
  </si>
  <si>
    <t>Disclaimer: This example is only for illustrative purposes in connection with public stakeholder discussions.</t>
  </si>
  <si>
    <t>Heat Rate</t>
  </si>
  <si>
    <t>EIA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</si>
</sst>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-* #,##0.00_-;\-* #,##0.00_-;_-* &quot;-&quot;??_-;_-@_-"/>
    <numFmt numFmtId="166" formatCode="_(* #,##0.000_);_(* \(#,##0.000\);_(* &quot;-&quot;??_);_(@_)"/>
    <numFmt numFmtId="167" formatCode="&quot;$&quot;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u/>
      <sz val="10"/>
      <color indexed="12"/>
      <name val="Calibri"/>
      <family val="2"/>
    </font>
    <font>
      <b/>
      <i/>
      <sz val="11"/>
      <color theme="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1.25"/>
      <color rgb="FF000000"/>
      <name val="Calibri"/>
      <family val="2"/>
      <scheme val="minor"/>
    </font>
    <font>
      <u/>
      <sz val="11.25"/>
      <color rgb="FF00000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6"/>
      <color theme="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6"/>
      <color theme="4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4" borderId="4" applyNumberFormat="0" applyFont="0" applyAlignment="0" applyProtection="0"/>
    <xf numFmtId="44" fontId="1" fillId="0" borderId="0" applyFon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44" fontId="2" fillId="0" borderId="0" xfId="2" applyFont="1"/>
    <xf numFmtId="0" fontId="2" fillId="3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/>
    <xf numFmtId="0" fontId="0" fillId="0" borderId="0" xfId="0"/>
    <xf numFmtId="0" fontId="6" fillId="0" borderId="5" xfId="0" applyFont="1" applyBorder="1"/>
    <xf numFmtId="0" fontId="15" fillId="0" borderId="0" xfId="0" applyFont="1"/>
    <xf numFmtId="0" fontId="6" fillId="0" borderId="0" xfId="0" applyFont="1" applyAlignment="1">
      <alignment horizontal="left"/>
    </xf>
    <xf numFmtId="0" fontId="16" fillId="0" borderId="0" xfId="0" applyFont="1"/>
    <xf numFmtId="0" fontId="15" fillId="0" borderId="5" xfId="0" applyFont="1" applyBorder="1"/>
    <xf numFmtId="7" fontId="13" fillId="6" borderId="1" xfId="2" applyNumberFormat="1" applyFont="1" applyFill="1" applyBorder="1" applyAlignment="1" applyProtection="1">
      <alignment horizontal="center"/>
      <protection locked="0"/>
    </xf>
    <xf numFmtId="7" fontId="13" fillId="5" borderId="1" xfId="2" applyNumberFormat="1" applyFont="1" applyFill="1" applyBorder="1" applyAlignment="1" applyProtection="1">
      <alignment horizontal="center"/>
      <protection locked="0"/>
    </xf>
    <xf numFmtId="7" fontId="19" fillId="6" borderId="1" xfId="2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21" fillId="0" borderId="0" xfId="0" applyFont="1" applyProtection="1"/>
    <xf numFmtId="0" fontId="14" fillId="0" borderId="0" xfId="0" quotePrefix="1" applyFont="1" applyProtection="1"/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4" fontId="5" fillId="0" borderId="0" xfId="2" applyFont="1" applyAlignment="1" applyProtection="1">
      <alignment horizontal="right"/>
    </xf>
    <xf numFmtId="0" fontId="5" fillId="0" borderId="0" xfId="0" quotePrefix="1" applyFont="1" applyAlignment="1" applyProtection="1">
      <alignment horizontal="right"/>
    </xf>
    <xf numFmtId="7" fontId="5" fillId="0" borderId="0" xfId="2" applyNumberFormat="1" applyFont="1" applyBorder="1" applyAlignment="1" applyProtection="1">
      <alignment horizontal="right"/>
    </xf>
    <xf numFmtId="7" fontId="5" fillId="0" borderId="0" xfId="2" applyNumberFormat="1" applyFont="1" applyBorder="1" applyAlignment="1" applyProtection="1">
      <alignment horizontal="left"/>
    </xf>
    <xf numFmtId="7" fontId="4" fillId="0" borderId="6" xfId="2" applyNumberFormat="1" applyFont="1" applyBorder="1" applyAlignment="1" applyProtection="1">
      <alignment horizontal="right"/>
    </xf>
    <xf numFmtId="7" fontId="4" fillId="0" borderId="7" xfId="2" applyNumberFormat="1" applyFont="1" applyBorder="1" applyAlignment="1" applyProtection="1">
      <alignment horizontal="right"/>
    </xf>
    <xf numFmtId="7" fontId="5" fillId="0" borderId="1" xfId="2" applyNumberFormat="1" applyFont="1" applyBorder="1" applyAlignment="1" applyProtection="1">
      <alignment horizontal="right"/>
    </xf>
    <xf numFmtId="0" fontId="2" fillId="0" borderId="0" xfId="0" applyFont="1" applyProtection="1"/>
    <xf numFmtId="7" fontId="5" fillId="0" borderId="1" xfId="2" applyNumberFormat="1" applyFont="1" applyBorder="1" applyAlignment="1" applyProtection="1">
      <alignment horizontal="center"/>
    </xf>
    <xf numFmtId="0" fontId="19" fillId="6" borderId="1" xfId="1" applyNumberFormat="1" applyFont="1" applyFill="1" applyBorder="1" applyAlignment="1" applyProtection="1">
      <alignment horizontal="center"/>
      <protection locked="0"/>
    </xf>
    <xf numFmtId="0" fontId="24" fillId="6" borderId="1" xfId="0" applyFont="1" applyFill="1" applyBorder="1" applyAlignment="1" applyProtection="1">
      <alignment horizontal="center"/>
      <protection locked="0"/>
    </xf>
    <xf numFmtId="1" fontId="22" fillId="0" borderId="1" xfId="0" applyNumberFormat="1" applyFont="1" applyFill="1" applyBorder="1" applyAlignment="1" applyProtection="1">
      <alignment horizontal="center"/>
    </xf>
    <xf numFmtId="166" fontId="19" fillId="6" borderId="1" xfId="1" applyNumberFormat="1" applyFont="1" applyFill="1" applyBorder="1" applyAlignment="1" applyProtection="1">
      <alignment horizontal="center"/>
      <protection locked="0"/>
    </xf>
    <xf numFmtId="167" fontId="5" fillId="0" borderId="1" xfId="2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5" fillId="0" borderId="0" xfId="0" applyFont="1" applyProtection="1"/>
    <xf numFmtId="0" fontId="4" fillId="0" borderId="0" xfId="0" applyFont="1" applyProtection="1"/>
    <xf numFmtId="0" fontId="14" fillId="2" borderId="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7" fillId="0" borderId="0" xfId="0" applyFont="1" applyProtection="1"/>
    <xf numFmtId="0" fontId="8" fillId="0" borderId="0" xfId="0" applyFont="1" applyFill="1" applyProtection="1"/>
    <xf numFmtId="0" fontId="0" fillId="0" borderId="0" xfId="0" applyFill="1" applyProtection="1"/>
    <xf numFmtId="0" fontId="7" fillId="0" borderId="0" xfId="0" applyFont="1" applyFill="1" applyProtection="1"/>
    <xf numFmtId="0" fontId="2" fillId="0" borderId="0" xfId="0" applyFont="1" applyAlignment="1" applyProtection="1">
      <alignment horizontal="center"/>
    </xf>
    <xf numFmtId="7" fontId="0" fillId="0" borderId="1" xfId="2" applyNumberFormat="1" applyFont="1" applyFill="1" applyBorder="1" applyAlignment="1" applyProtection="1">
      <alignment horizontal="center"/>
    </xf>
    <xf numFmtId="7" fontId="0" fillId="0" borderId="1" xfId="2" applyNumberFormat="1" applyFont="1" applyBorder="1" applyAlignment="1" applyProtection="1">
      <alignment horizontal="center"/>
    </xf>
    <xf numFmtId="0" fontId="0" fillId="0" borderId="1" xfId="1" applyNumberFormat="1" applyFont="1" applyBorder="1" applyAlignment="1" applyProtection="1">
      <alignment horizontal="center"/>
    </xf>
    <xf numFmtId="1" fontId="0" fillId="0" borderId="1" xfId="1" applyNumberFormat="1" applyFont="1" applyBorder="1" applyProtection="1"/>
    <xf numFmtId="1" fontId="0" fillId="0" borderId="0" xfId="0" applyNumberFormat="1" applyProtection="1"/>
    <xf numFmtId="44" fontId="5" fillId="0" borderId="0" xfId="2" applyNumberFormat="1" applyFont="1" applyProtection="1"/>
    <xf numFmtId="7" fontId="2" fillId="0" borderId="1" xfId="2" applyNumberFormat="1" applyFont="1" applyFill="1" applyBorder="1" applyAlignment="1" applyProtection="1">
      <alignment horizontal="center"/>
    </xf>
    <xf numFmtId="7" fontId="2" fillId="0" borderId="1" xfId="2" applyNumberFormat="1" applyFont="1" applyBorder="1" applyAlignment="1" applyProtection="1">
      <alignment horizontal="center"/>
    </xf>
    <xf numFmtId="0" fontId="2" fillId="0" borderId="1" xfId="1" applyNumberFormat="1" applyFont="1" applyBorder="1" applyAlignment="1" applyProtection="1">
      <alignment horizontal="center"/>
    </xf>
    <xf numFmtId="1" fontId="2" fillId="0" borderId="1" xfId="1" applyNumberFormat="1" applyFont="1" applyBorder="1" applyProtection="1"/>
    <xf numFmtId="1" fontId="2" fillId="0" borderId="0" xfId="0" applyNumberFormat="1" applyFont="1" applyProtection="1"/>
    <xf numFmtId="0" fontId="0" fillId="5" borderId="0" xfId="0" applyFill="1" applyProtection="1"/>
    <xf numFmtId="7" fontId="0" fillId="5" borderId="1" xfId="2" applyNumberFormat="1" applyFont="1" applyFill="1" applyBorder="1" applyAlignment="1" applyProtection="1">
      <alignment horizontal="center"/>
    </xf>
    <xf numFmtId="0" fontId="0" fillId="5" borderId="1" xfId="1" applyNumberFormat="1" applyFont="1" applyFill="1" applyBorder="1" applyAlignment="1" applyProtection="1">
      <alignment horizontal="center"/>
    </xf>
    <xf numFmtId="1" fontId="0" fillId="5" borderId="1" xfId="1" applyNumberFormat="1" applyFont="1" applyFill="1" applyBorder="1" applyProtection="1"/>
    <xf numFmtId="1" fontId="0" fillId="5" borderId="0" xfId="0" applyNumberFormat="1" applyFill="1" applyProtection="1"/>
    <xf numFmtId="44" fontId="5" fillId="5" borderId="0" xfId="2" applyNumberFormat="1" applyFont="1" applyFill="1" applyProtection="1"/>
    <xf numFmtId="0" fontId="0" fillId="0" borderId="8" xfId="0" applyBorder="1" applyProtection="1"/>
    <xf numFmtId="0" fontId="23" fillId="0" borderId="9" xfId="0" applyFont="1" applyBorder="1" applyProtection="1"/>
    <xf numFmtId="0" fontId="0" fillId="0" borderId="9" xfId="0" applyBorder="1" applyProtection="1"/>
    <xf numFmtId="0" fontId="5" fillId="0" borderId="9" xfId="0" applyFont="1" applyBorder="1" applyProtection="1"/>
    <xf numFmtId="0" fontId="5" fillId="0" borderId="10" xfId="0" applyFont="1" applyBorder="1" applyProtection="1"/>
    <xf numFmtId="0" fontId="23" fillId="0" borderId="11" xfId="0" applyFont="1" applyBorder="1" applyProtection="1"/>
    <xf numFmtId="0" fontId="5" fillId="0" borderId="0" xfId="0" applyFont="1" applyBorder="1" applyProtection="1"/>
    <xf numFmtId="0" fontId="5" fillId="0" borderId="12" xfId="0" applyFont="1" applyBorder="1" applyProtection="1"/>
    <xf numFmtId="0" fontId="17" fillId="0" borderId="0" xfId="14" applyNumberFormat="1" applyFont="1" applyFill="1" applyBorder="1" applyProtection="1"/>
    <xf numFmtId="0" fontId="0" fillId="0" borderId="11" xfId="0" applyBorder="1" applyProtection="1"/>
    <xf numFmtId="0" fontId="0" fillId="0" borderId="0" xfId="0" applyBorder="1" applyProtection="1"/>
    <xf numFmtId="0" fontId="5" fillId="0" borderId="1" xfId="0" applyFont="1" applyBorder="1" applyAlignment="1" applyProtection="1">
      <alignment horizontal="center"/>
    </xf>
    <xf numFmtId="0" fontId="18" fillId="0" borderId="0" xfId="14" applyNumberFormat="1" applyFont="1" applyFill="1" applyBorder="1" applyProtection="1"/>
    <xf numFmtId="0" fontId="5" fillId="0" borderId="11" xfId="0" applyFont="1" applyBorder="1" applyProtection="1"/>
    <xf numFmtId="7" fontId="5" fillId="0" borderId="1" xfId="0" applyNumberFormat="1" applyFont="1" applyBorder="1" applyAlignment="1" applyProtection="1">
      <alignment horizontal="center"/>
    </xf>
    <xf numFmtId="1" fontId="5" fillId="0" borderId="1" xfId="0" applyNumberFormat="1" applyFont="1" applyBorder="1" applyAlignment="1" applyProtection="1">
      <alignment horizontal="center"/>
    </xf>
    <xf numFmtId="1" fontId="5" fillId="0" borderId="0" xfId="0" applyNumberFormat="1" applyFont="1" applyBorder="1" applyProtection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44" fontId="5" fillId="0" borderId="0" xfId="2" applyNumberFormat="1" applyFont="1" applyBorder="1" applyProtection="1"/>
    <xf numFmtId="164" fontId="5" fillId="0" borderId="0" xfId="0" applyNumberFormat="1" applyFont="1" applyBorder="1" applyProtection="1"/>
    <xf numFmtId="0" fontId="0" fillId="0" borderId="12" xfId="0" applyBorder="1" applyProtection="1"/>
    <xf numFmtId="1" fontId="5" fillId="0" borderId="2" xfId="0" applyNumberFormat="1" applyFont="1" applyBorder="1" applyProtection="1"/>
    <xf numFmtId="164" fontId="5" fillId="0" borderId="0" xfId="0" applyNumberFormat="1" applyFont="1" applyBorder="1" applyAlignment="1" applyProtection="1">
      <alignment horizontal="right"/>
    </xf>
    <xf numFmtId="0" fontId="3" fillId="0" borderId="0" xfId="0" applyFont="1" applyBorder="1" applyProtection="1"/>
    <xf numFmtId="5" fontId="5" fillId="0" borderId="0" xfId="2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3" xfId="0" applyBorder="1" applyProtection="1"/>
    <xf numFmtId="0" fontId="0" fillId="0" borderId="14" xfId="0" applyBorder="1" applyProtection="1"/>
    <xf numFmtId="0" fontId="5" fillId="0" borderId="15" xfId="1" applyNumberFormat="1" applyFont="1" applyBorder="1" applyAlignment="1" applyProtection="1">
      <alignment horizontal="center"/>
    </xf>
    <xf numFmtId="0" fontId="0" fillId="0" borderId="16" xfId="0" applyBorder="1" applyProtection="1"/>
    <xf numFmtId="0" fontId="0" fillId="0" borderId="0" xfId="0" applyAlignment="1" applyProtection="1">
      <alignment horizontal="left"/>
    </xf>
    <xf numFmtId="7" fontId="5" fillId="0" borderId="0" xfId="2" applyNumberFormat="1" applyFont="1" applyAlignment="1" applyProtection="1">
      <alignment horizontal="right"/>
    </xf>
    <xf numFmtId="0" fontId="8" fillId="0" borderId="0" xfId="0" applyFont="1" applyAlignment="1" applyProtection="1">
      <alignment horizontal="left"/>
    </xf>
    <xf numFmtId="0" fontId="5" fillId="0" borderId="0" xfId="0" applyFont="1" applyFill="1" applyBorder="1" applyAlignment="1" applyProtection="1">
      <alignment horizontal="center" vertical="top" wrapText="1"/>
    </xf>
    <xf numFmtId="0" fontId="14" fillId="0" borderId="0" xfId="0" applyFont="1" applyAlignment="1" applyProtection="1">
      <alignment vertical="top"/>
    </xf>
    <xf numFmtId="0" fontId="0" fillId="0" borderId="0" xfId="0" applyAlignment="1" applyProtection="1">
      <alignment vertical="top" wrapText="1"/>
    </xf>
    <xf numFmtId="0" fontId="28" fillId="0" borderId="0" xfId="0" applyFont="1" applyProtection="1"/>
    <xf numFmtId="0" fontId="6" fillId="0" borderId="5" xfId="0" applyFont="1" applyBorder="1" applyAlignment="1">
      <alignment horizontal="left"/>
    </xf>
    <xf numFmtId="0" fontId="4" fillId="2" borderId="3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14" fillId="0" borderId="0" xfId="0" applyFont="1" applyAlignment="1">
      <alignment horizontal="left" vertical="top" wrapText="1"/>
    </xf>
  </cellXfs>
  <cellStyles count="16">
    <cellStyle name="Comma" xfId="1" builtinId="3"/>
    <cellStyle name="Comma 2" xfId="13"/>
    <cellStyle name="Comma 3" xfId="4"/>
    <cellStyle name="Currency" xfId="2" builtinId="4"/>
    <cellStyle name="Currency 2" xfId="6"/>
    <cellStyle name="Currency 3" xfId="10"/>
    <cellStyle name="Hyperlink 2" xfId="12"/>
    <cellStyle name="Normal" xfId="0" builtinId="0"/>
    <cellStyle name="Normal 2" xfId="5"/>
    <cellStyle name="Normal 3" xfId="8"/>
    <cellStyle name="Normal 4" xfId="11"/>
    <cellStyle name="Normal 5" xfId="14"/>
    <cellStyle name="Normal 6" xfId="3"/>
    <cellStyle name="Note 2" xfId="9"/>
    <cellStyle name="Percent 2" xfId="7"/>
    <cellStyle name="Percent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754723</xdr:colOff>
      <xdr:row>9</xdr:row>
      <xdr:rowOff>38099</xdr:rowOff>
    </xdr:from>
    <xdr:ext cx="8972551" cy="3427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754723" y="1842246"/>
              <a:ext cx="8972551" cy="342786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marL="0" indent="0"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𝐿𝑇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𝐷𝐸𝐵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 = 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𝑀𝐴𝑋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(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𝑆𝑇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𝐷𝐸𝐵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, 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𝑀𝐴𝑋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(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𝑀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𝐼𝑛𝑑𝑒𝑥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+4, 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𝑀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𝐼𝑛𝑑𝑒𝑥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+5, + 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𝑀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𝐼𝑛𝑑𝑒𝑥</m:t>
                    </m:r>
                    <m:r>
                      <m:rPr>
                        <m:nor/>
                      </m:rPr>
                      <a:rPr lang="en-US" sz="1600" b="1" i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+6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) </m:t>
                    </m:r>
                    <m:r>
                      <m:rPr>
                        <m:nor/>
                      </m:rPr>
                      <a:rPr lang="en-US" sz="1600" b="1" i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∗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en-US" sz="1600" b="1" i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LT</m:t>
                    </m:r>
                    <m:r>
                      <m:rPr>
                        <m:nor/>
                      </m:rPr>
                      <a:rPr lang="en-US" sz="1600" b="1" i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en-US" sz="1600" b="1" i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Scalar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n-US" sz="2000" b="1">
                <a:solidFill>
                  <a:schemeClr val="tx1"/>
                </a:solidFill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754723" y="1842246"/>
              <a:ext cx="8972551" cy="342786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marL="0" indent="0"/>
              <a:r>
                <a:rPr lang="en-US" sz="1600" b="1" i="0">
                  <a:solidFill>
                    <a:schemeClr val="tx1"/>
                  </a:solidFill>
                  <a:latin typeface="Cambria Math"/>
                  <a:ea typeface="+mn-ea"/>
                  <a:cs typeface="+mn-cs"/>
                </a:rPr>
                <a:t>"𝐿𝑇 𝐷𝐸𝐵 = 𝑀𝐴𝑋(𝑆𝑇 𝐷𝐸𝐵, 𝑀𝐴𝑋(𝑀 𝐼𝑛𝑑𝑒𝑥+4, 𝑀 𝐼𝑛𝑑𝑒𝑥+5, + 𝑀 𝐼𝑛𝑑𝑒𝑥+6) ∗ LT Scalar)</a:t>
              </a:r>
              <a:r>
                <a:rPr lang="en-US" sz="1600" b="1" i="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en-US" sz="2000" b="1">
                <a:solidFill>
                  <a:schemeClr val="tx1"/>
                </a:solidFill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0</xdr:col>
      <xdr:colOff>754723</xdr:colOff>
      <xdr:row>3</xdr:row>
      <xdr:rowOff>38099</xdr:rowOff>
    </xdr:from>
    <xdr:ext cx="10668000" cy="3427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754723" y="654423"/>
              <a:ext cx="10668000" cy="342786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n-US" sz="1600" baseline="0"/>
                      <m:t>𝑆</m:t>
                    </m:r>
                    <m:r>
                      <m:rPr>
                        <m:nor/>
                      </m:rPr>
                      <a:rPr lang="en-US" sz="1600" b="1" baseline="0"/>
                      <m:t>𝑇</m:t>
                    </m:r>
                    <m:r>
                      <m:rPr>
                        <m:nor/>
                      </m:rPr>
                      <a:rPr lang="en-US" sz="1600" b="1" baseline="0"/>
                      <m:t> </m:t>
                    </m:r>
                    <m:r>
                      <m:rPr>
                        <m:nor/>
                      </m:rPr>
                      <a:rPr lang="en-US" sz="1600" b="1" baseline="0"/>
                      <m:t>𝐷𝐸𝐵</m:t>
                    </m:r>
                    <m:r>
                      <m:rPr>
                        <m:nor/>
                      </m:rPr>
                      <a:rPr lang="en-US" sz="1600" b="1" baseline="0"/>
                      <m:t> = </m:t>
                    </m:r>
                    <m:r>
                      <m:rPr>
                        <m:nor/>
                      </m:rPr>
                      <a:rPr lang="en-US" sz="1600" b="1" baseline="0"/>
                      <m:t>𝑀𝐴𝑋</m:t>
                    </m:r>
                    <m:d>
                      <m:dPr>
                        <m:begChr m:val="["/>
                        <m:endChr m:val="]"/>
                        <m:ctrlPr>
                          <a:rPr lang="en-US" sz="1600" b="1" i="1" baseline="0">
                            <a:latin typeface="Cambria Math"/>
                          </a:rPr>
                        </m:ctrlPr>
                      </m:dPr>
                      <m:e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accent6">
                                <a:lumMod val="75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𝐺𝑎𝑠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accent6">
                                <a:lumMod val="75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accent6">
                                <a:lumMod val="75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𝐹𝑙𝑜𝑜𝑟</m:t>
                        </m:r>
                        <m:r>
                          <m:rPr>
                            <m:nor/>
                          </m:rPr>
                          <a:rPr lang="en-US" sz="1600" b="1" i="0" baseline="0">
                            <a:solidFill>
                              <a:schemeClr val="accent6">
                                <a:lumMod val="75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∗ 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accent6">
                                <a:lumMod val="75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Gas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accent6">
                                <a:lumMod val="75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accent6">
                                <a:lumMod val="75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Scalar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,</m:t>
                        </m:r>
                        <m:r>
                          <m:rPr>
                            <m:nor/>
                          </m:rPr>
                          <a:rPr lang="en-US" sz="1600" b="1" i="0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MAX</m:t>
                        </m:r>
                        <m:r>
                          <m:rPr>
                            <m:nor/>
                          </m:rPr>
                          <a:rPr lang="en-US" sz="1600" b="1" i="0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𝐷𝐴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𝐼𝑛𝑑𝑒𝑥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,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𝐵𝑂𝑀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𝐼𝑛𝑑𝑒𝑥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,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𝑀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𝐼𝑛𝑑𝑒𝑥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+1,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𝑀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𝐼𝑛𝑑𝑒𝑥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+2,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𝑀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𝐼𝑛𝑑𝑒𝑥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+3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)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∗ 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ST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Scalar</m:t>
                        </m:r>
                        <m:r>
                          <m:rPr>
                            <m:nor/>
                          </m:rPr>
                          <a:rPr lang="en-US" sz="1600" i="1" baseline="0">
                            <a:effectLst/>
                          </a:rPr>
                          <m:t> </m:t>
                        </m:r>
                      </m:e>
                    </m:d>
                  </m:oMath>
                </m:oMathPara>
              </a14:m>
              <a:endParaRPr lang="en-US" sz="1600" b="1" baseline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754723" y="654423"/>
              <a:ext cx="10668000" cy="342786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600" i="0" baseline="0">
                  <a:latin typeface="Cambria Math"/>
                </a:rPr>
                <a:t>"𝑆</a:t>
              </a:r>
              <a:r>
                <a:rPr lang="en-US" sz="1600" b="1" i="0" baseline="0">
                  <a:latin typeface="Cambria Math"/>
                </a:rPr>
                <a:t>𝑇 𝐷𝐸𝐵 = 𝑀𝐴𝑋" [</a:t>
              </a:r>
              <a:r>
                <a:rPr lang="en-US" sz="1600" b="1" i="0" baseline="0">
                  <a:solidFill>
                    <a:schemeClr val="accent6">
                      <a:lumMod val="75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"𝐺𝑎𝑠 𝐹𝑙𝑜𝑜𝑟 ∗ Gas Scalar</a:t>
              </a:r>
              <a:r>
                <a:rPr lang="en-US" sz="1600" b="1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,MAX(𝐷𝐴 𝐼𝑛𝑑𝑒𝑥, 𝐵𝑂𝑀 𝐼𝑛𝑑𝑒𝑥, 𝑀 𝐼𝑛𝑑𝑒𝑥+1, 𝑀 𝐼𝑛𝑑𝑒𝑥+2, 𝑀 𝐼𝑛𝑑𝑒𝑥+3 ) ∗ ST Scalar</a:t>
              </a:r>
              <a:r>
                <a:rPr lang="en-US" sz="1600" i="0" baseline="0">
                  <a:effectLst/>
                </a:rPr>
                <a:t> </a:t>
              </a:r>
              <a:r>
                <a:rPr lang="en-US" sz="1600" b="1" i="0" baseline="0">
                  <a:effectLst/>
                  <a:latin typeface="Cambria Math"/>
                </a:rPr>
                <a:t>" ]</a:t>
              </a:r>
              <a:endParaRPr lang="en-US" sz="1600" b="1" baseline="0"/>
            </a:p>
          </xdr:txBody>
        </xdr:sp>
      </mc:Fallback>
    </mc:AlternateContent>
    <xdr:clientData/>
  </xdr:oneCellAnchor>
  <xdr:oneCellAnchor>
    <xdr:from>
      <xdr:col>4</xdr:col>
      <xdr:colOff>1571063</xdr:colOff>
      <xdr:row>5</xdr:row>
      <xdr:rowOff>76254</xdr:rowOff>
    </xdr:from>
    <xdr:ext cx="4681819" cy="3427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6143063" y="1073578"/>
              <a:ext cx="4681819" cy="342786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n-US" sz="1600" b="1" i="1">
                        <a:solidFill>
                          <a:schemeClr val="tx1"/>
                        </a:solidFill>
                        <a:latin typeface="Cambria Math"/>
                        <a:ea typeface="+mn-ea"/>
                        <a:cs typeface="+mn-cs"/>
                      </a:rPr>
                      <m:t>𝑮𝑷𝑰</m:t>
                    </m:r>
                    <m:r>
                      <a:rPr lang="en-US" sz="1600" b="1" i="1">
                        <a:solidFill>
                          <a:schemeClr val="tx1"/>
                        </a:solidFill>
                        <a:latin typeface="Cambria Math"/>
                        <a:ea typeface="+mn-ea"/>
                        <a:cs typeface="+mn-cs"/>
                      </a:rPr>
                      <m:t>=</m:t>
                    </m:r>
                    <m:r>
                      <a:rPr lang="en-US" sz="1600" b="1" i="1">
                        <a:solidFill>
                          <a:schemeClr val="tx1"/>
                        </a:solidFill>
                        <a:latin typeface="Cambria Math"/>
                        <a:ea typeface="+mn-ea"/>
                        <a:cs typeface="+mn-cs"/>
                      </a:rPr>
                      <m:t>𝑴𝑨𝑿</m:t>
                    </m:r>
                    <m:d>
                      <m:dPr>
                        <m:ctrlPr>
                          <a:rPr lang="en-US" sz="1600" b="1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US" sz="1600" b="1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𝑫𝑨</m:t>
                        </m:r>
                        <m:r>
                          <a:rPr lang="en-US" sz="1600" b="1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  </m:t>
                        </m:r>
                        <m:r>
                          <a:rPr lang="en-US" sz="1600" b="1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𝑮𝒂𝒔</m:t>
                        </m:r>
                        <m:r>
                          <a:rPr lang="en-US" sz="1600" b="1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600" b="1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𝑰𝒏𝒅𝒆𝒙</m:t>
                        </m:r>
                        <m:r>
                          <a:rPr lang="en-US" sz="1600" b="1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, </m:t>
                        </m:r>
                        <m:r>
                          <a:rPr lang="en-US" sz="1600" b="1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𝑩𝑶𝑴</m:t>
                        </m:r>
                        <m:r>
                          <a:rPr lang="en-US" sz="1600" b="1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600" b="1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𝑮𝒂𝒔</m:t>
                        </m:r>
                        <m:r>
                          <a:rPr lang="en-US" sz="1600" b="1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600" b="1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𝑰𝒏𝒅𝒆𝒙</m:t>
                        </m:r>
                      </m:e>
                    </m:d>
                  </m:oMath>
                </m:oMathPara>
              </a14:m>
              <a:endParaRPr lang="en-US" sz="1600" b="1" i="1">
                <a:solidFill>
                  <a:schemeClr val="tx1"/>
                </a:solidFill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6143063" y="1073578"/>
              <a:ext cx="4681819" cy="342786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600" b="1" i="0">
                  <a:solidFill>
                    <a:schemeClr val="tx1"/>
                  </a:solidFill>
                  <a:latin typeface="Cambria Math"/>
                  <a:ea typeface="+mn-ea"/>
                  <a:cs typeface="+mn-cs"/>
                </a:rPr>
                <a:t>𝑮𝑷𝑰=𝑴𝑨𝑿(𝑫𝑨  𝑮𝒂𝒔 𝑰𝒏𝒅𝒆𝒙, 𝑩𝑶𝑴 𝑮𝒂𝒔 𝑰𝒏𝒅𝒆𝒙)</a:t>
              </a:r>
              <a:endParaRPr lang="en-US" sz="1600" b="1" i="1">
                <a:solidFill>
                  <a:schemeClr val="tx1"/>
                </a:solidFill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571505</xdr:colOff>
      <xdr:row>5</xdr:row>
      <xdr:rowOff>66672</xdr:rowOff>
    </xdr:from>
    <xdr:ext cx="3638551" cy="3619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1333505" y="1063996"/>
              <a:ext cx="3638551" cy="361950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1" i="1">
                        <a:solidFill>
                          <a:schemeClr val="tx1"/>
                        </a:solidFill>
                        <a:latin typeface="Cambria Math"/>
                        <a:ea typeface="+mn-ea"/>
                        <a:cs typeface="+mn-cs"/>
                      </a:rPr>
                      <m:t>𝑮𝒂𝒔</m:t>
                    </m:r>
                    <m:r>
                      <a:rPr lang="en-US" sz="1600" b="1" i="1">
                        <a:solidFill>
                          <a:schemeClr val="tx1"/>
                        </a:solidFill>
                        <a:latin typeface="Cambria Math"/>
                        <a:ea typeface="+mn-ea"/>
                        <a:cs typeface="+mn-cs"/>
                      </a:rPr>
                      <m:t> </m:t>
                    </m:r>
                    <m:r>
                      <a:rPr lang="en-US" sz="1600" b="1" i="1">
                        <a:solidFill>
                          <a:schemeClr val="tx1"/>
                        </a:solidFill>
                        <a:latin typeface="Cambria Math"/>
                        <a:ea typeface="+mn-ea"/>
                        <a:cs typeface="+mn-cs"/>
                      </a:rPr>
                      <m:t>𝑭𝒍𝒐𝒐𝒓</m:t>
                    </m:r>
                    <m:r>
                      <a:rPr lang="en-US" sz="1600" b="1" i="1">
                        <a:solidFill>
                          <a:schemeClr val="tx1"/>
                        </a:solidFill>
                        <a:latin typeface="Cambria Math"/>
                        <a:ea typeface="+mn-ea"/>
                        <a:cs typeface="+mn-cs"/>
                      </a:rPr>
                      <m:t> = </m:t>
                    </m:r>
                    <m:r>
                      <a:rPr lang="en-US" sz="1600" b="1" i="1">
                        <a:solidFill>
                          <a:schemeClr val="tx1"/>
                        </a:solidFill>
                        <a:latin typeface="Cambria Math"/>
                        <a:ea typeface="+mn-ea"/>
                        <a:cs typeface="+mn-cs"/>
                      </a:rPr>
                      <m:t>𝑮𝒂𝒔</m:t>
                    </m:r>
                    <m:r>
                      <a:rPr lang="en-US" sz="1600" b="1" i="1">
                        <a:solidFill>
                          <a:schemeClr val="tx1"/>
                        </a:solidFill>
                        <a:latin typeface="Cambria Math"/>
                        <a:ea typeface="+mn-ea"/>
                        <a:cs typeface="+mn-cs"/>
                      </a:rPr>
                      <m:t> </m:t>
                    </m:r>
                    <m:r>
                      <a:rPr lang="en-US" sz="1600" b="1" i="1">
                        <a:solidFill>
                          <a:schemeClr val="tx1"/>
                        </a:solidFill>
                        <a:latin typeface="Cambria Math"/>
                        <a:ea typeface="+mn-ea"/>
                        <a:cs typeface="+mn-cs"/>
                      </a:rPr>
                      <m:t>𝑯𝒆𝒂𝒕</m:t>
                    </m:r>
                    <m:r>
                      <a:rPr lang="en-US" sz="1600" b="1" i="1">
                        <a:solidFill>
                          <a:schemeClr val="tx1"/>
                        </a:solidFill>
                        <a:latin typeface="Cambria Math"/>
                        <a:ea typeface="+mn-ea"/>
                        <a:cs typeface="+mn-cs"/>
                      </a:rPr>
                      <m:t> </m:t>
                    </m:r>
                    <m:r>
                      <a:rPr lang="en-US" sz="1600" b="1" i="1">
                        <a:solidFill>
                          <a:schemeClr val="tx1"/>
                        </a:solidFill>
                        <a:latin typeface="Cambria Math"/>
                        <a:ea typeface="+mn-ea"/>
                        <a:cs typeface="+mn-cs"/>
                      </a:rPr>
                      <m:t>𝑹𝒂𝒕𝒆</m:t>
                    </m:r>
                    <m:r>
                      <a:rPr lang="en-US" sz="1600" b="1" i="1">
                        <a:solidFill>
                          <a:schemeClr val="tx1"/>
                        </a:solidFill>
                        <a:latin typeface="Cambria Math"/>
                        <a:ea typeface="+mn-ea"/>
                        <a:cs typeface="+mn-cs"/>
                      </a:rPr>
                      <m:t> ∗ </m:t>
                    </m:r>
                    <m:r>
                      <a:rPr lang="en-US" sz="1600" b="1" i="1">
                        <a:solidFill>
                          <a:schemeClr val="tx1"/>
                        </a:solidFill>
                        <a:latin typeface="Cambria Math"/>
                        <a:ea typeface="+mn-ea"/>
                        <a:cs typeface="+mn-cs"/>
                      </a:rPr>
                      <m:t>𝑮𝑷𝑰</m:t>
                    </m:r>
                  </m:oMath>
                </m:oMathPara>
              </a14:m>
              <a:endParaRPr lang="en-US" sz="1600" b="1" i="1">
                <a:solidFill>
                  <a:schemeClr val="tx1"/>
                </a:solidFill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1333505" y="1063996"/>
              <a:ext cx="3638551" cy="361950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600" b="1" i="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𝑮𝒂𝒔 𝑭𝒍𝒐𝒐𝒓 = 𝑮𝒂𝒔 𝑯𝒆𝒂𝒕 𝑹𝒂𝒕𝒆 ∗ 𝑮𝑷</a:t>
              </a:r>
              <a:r>
                <a:rPr lang="en-US" sz="1600" b="1" i="0">
                  <a:solidFill>
                    <a:schemeClr val="tx1"/>
                  </a:solidFill>
                  <a:latin typeface="Cambria Math"/>
                  <a:ea typeface="+mn-ea"/>
                  <a:cs typeface="+mn-cs"/>
                </a:rPr>
                <a:t>𝑰</a:t>
              </a:r>
              <a:endParaRPr lang="en-US" sz="1600" b="1" i="1">
                <a:solidFill>
                  <a:schemeClr val="tx1"/>
                </a:solidFill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27</xdr:row>
      <xdr:rowOff>44823</xdr:rowOff>
    </xdr:from>
    <xdr:ext cx="15562730" cy="75079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190500" y="7048499"/>
              <a:ext cx="15562730" cy="750795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1" i="1">
                        <a:latin typeface="Cambria Math"/>
                      </a:rPr>
                      <m:t>𝑾𝒆𝒊𝒈𝒉𝒕𝒆𝒅</m:t>
                    </m:r>
                    <m:r>
                      <a:rPr lang="en-US" sz="1400" b="1" i="1">
                        <a:latin typeface="Cambria Math"/>
                      </a:rPr>
                      <m:t> </m:t>
                    </m:r>
                    <m:r>
                      <a:rPr lang="en-US" sz="1400" b="1" i="1">
                        <a:latin typeface="Cambria Math"/>
                      </a:rPr>
                      <m:t>𝑨𝒗𝒆𝒓𝒂𝒈𝒆</m:t>
                    </m:r>
                    <m:r>
                      <a:rPr lang="en-US" sz="1400" b="1" i="1">
                        <a:latin typeface="Cambria Math"/>
                      </a:rPr>
                      <m:t> </m:t>
                    </m:r>
                    <m:r>
                      <a:rPr lang="en-US" sz="1400" b="1" i="1">
                        <a:latin typeface="Cambria Math"/>
                      </a:rPr>
                      <m:t>𝑷𝒓𝒊𝒄𝒆</m:t>
                    </m:r>
                    <m:r>
                      <a:rPr lang="en-US" sz="1400" b="1" i="1">
                        <a:latin typeface="Cambria Math"/>
                      </a:rPr>
                      <m:t> = </m:t>
                    </m:r>
                    <m:f>
                      <m:fPr>
                        <m:ctrlPr>
                          <a:rPr lang="en-US" sz="1400" b="1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($ 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𝒐𝒇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𝑯𝒊𝒈𝒉𝒆𝒔𝒕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𝑷𝒓𝒊𝒄𝒆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𝑯𝒖𝒃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∗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𝑻𝒙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𝒕𝒐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𝒕𝒉𝒂𝒕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𝒉𝒖𝒃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+ $ 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𝑵𝒆𝒙𝒕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𝑯𝒊𝒈𝒉𝒆𝒔𝒕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𝑯𝒖𝒃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∗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𝑻𝒙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𝒕𝒐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𝒕𝒉𝒂𝒕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𝒉𝒖𝒃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+…+$ 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𝒐𝒇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𝑳𝒐𝒘𝒆𝒔𝒕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𝑷𝒓𝒊𝒄𝒆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𝑯𝒖𝒃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∗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𝒓𝒆𝒎𝒂𝒊𝒏𝒅𝒆𝒓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𝒐𝒇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𝒕𝒉𝒆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𝒓𝒆𝒔𝒐𝒖𝒓𝒄𝒆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)</m:t>
                        </m:r>
                      </m:num>
                      <m:den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𝑹𝒆𝒔𝒐𝒖𝒓𝒄𝒆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400" b="1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𝑺𝒊𝒛𝒆</m:t>
                        </m:r>
                        <m:r>
                          <m:rPr>
                            <m:nor/>
                          </m:rPr>
                          <a:rPr lang="en-US" sz="1400" b="1">
                            <a:effectLst/>
                          </a:rPr>
                          <m:t> </m:t>
                        </m:r>
                      </m:den>
                    </m:f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190500" y="7048499"/>
              <a:ext cx="15562730" cy="750795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400" b="1" i="0">
                  <a:latin typeface="Cambria Math"/>
                </a:rPr>
                <a:t>𝑾𝒆𝒊𝒈𝒉𝒕𝒆𝒅 𝑨𝒗𝒆𝒓𝒂𝒈𝒆 𝑷𝒓𝒊𝒄𝒆 =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($ 𝒐𝒇 𝑯𝒊𝒈𝒉𝒆𝒔𝒕 𝑷𝒓𝒊𝒄𝒆 𝑯𝒖𝒃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∗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𝑻𝒙 𝒕𝒐 𝒕𝒉𝒂𝒕 𝒉𝒖𝒃 + $ 𝑵𝒆𝒙𝒕 𝑯𝒊𝒈𝒉𝒆𝒔𝒕 𝑯𝒖𝒃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∗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𝑻𝒙 𝒕𝒐 𝒕𝒉𝒂𝒕 𝒉𝒖𝒃+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…+$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𝒐𝒇 𝑳𝒐𝒘𝒆𝒔𝒕 𝑷𝒓𝒊𝒄𝒆 𝑯𝒖𝒃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∗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𝒓𝒆𝒎𝒂𝒊𝒏𝒅𝒆𝒓 𝒐𝒇 𝒕𝒉𝒆 𝒓𝒆𝒔𝒐𝒖𝒓𝒄𝒆)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)/(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𝑹𝒆𝒔𝒐𝒖𝒓𝒄𝒆 𝑺𝒊𝒛𝒆"</a:t>
              </a:r>
              <a:r>
                <a:rPr lang="en-US" sz="1400" b="1" i="0">
                  <a:effectLst/>
                </a:rPr>
                <a:t> </a:t>
              </a:r>
              <a:r>
                <a:rPr lang="en-US" sz="1400" b="1" i="0">
                  <a:effectLst/>
                  <a:latin typeface="Cambria Math"/>
                </a:rPr>
                <a:t>" )</a:t>
              </a:r>
              <a:endParaRPr lang="en-US" sz="1100" b="1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759205</xdr:colOff>
      <xdr:row>9</xdr:row>
      <xdr:rowOff>38100</xdr:rowOff>
    </xdr:from>
    <xdr:ext cx="9062277" cy="3427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759205" y="1842247"/>
              <a:ext cx="9062277" cy="342786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marL="0" indent="0" algn="l"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𝐿𝑇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𝐷𝐸𝐵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 = 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𝑀𝐴𝑋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(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𝑆𝑇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𝐷𝐸𝐵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, 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𝑀𝐴𝑋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(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𝑀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𝐼𝑛𝑑𝑒𝑥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+4 , 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𝑀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𝐼𝑛𝑑𝑒𝑥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+5 + 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𝑀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𝐼𝑛𝑑𝑒𝑥</m:t>
                    </m:r>
                    <m:r>
                      <m:rPr>
                        <m:nor/>
                      </m:rPr>
                      <a:rPr lang="en-US" sz="1600" b="1" i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+6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) </m:t>
                    </m:r>
                    <m:r>
                      <m:rPr>
                        <m:nor/>
                      </m:rPr>
                      <a:rPr lang="en-US" sz="1600" b="1" i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∗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en-US" sz="1600" b="1" i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LT</m:t>
                    </m:r>
                    <m:r>
                      <m:rPr>
                        <m:nor/>
                      </m:rPr>
                      <a:rPr lang="en-US" sz="1600" b="1" i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en-US" sz="1600" b="1" i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Scalar</m:t>
                    </m:r>
                    <m:r>
                      <m:rPr>
                        <m:nor/>
                      </m:rPr>
                      <a:rPr lang="en-US" sz="1600" b="1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n-US" sz="2000" b="1">
                <a:solidFill>
                  <a:schemeClr val="tx1"/>
                </a:solidFill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759205" y="1842247"/>
              <a:ext cx="9062277" cy="342786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marL="0" indent="0" algn="l"/>
              <a:r>
                <a:rPr lang="en-US" sz="1600" b="1" i="0">
                  <a:solidFill>
                    <a:schemeClr val="tx1"/>
                  </a:solidFill>
                  <a:latin typeface="Cambria Math"/>
                  <a:ea typeface="+mn-ea"/>
                  <a:cs typeface="+mn-cs"/>
                </a:rPr>
                <a:t>"𝐿𝑇 𝐷𝐸𝐵 = 𝑀𝐴𝑋(𝑆𝑇 𝐷𝐸𝐵, 𝑀𝐴𝑋(𝑀 𝐼𝑛𝑑𝑒𝑥+4 , 𝑀 𝐼𝑛𝑑𝑒𝑥+5 + 𝑀 𝐼𝑛𝑑𝑒𝑥+6) ∗ LT Scalar)</a:t>
              </a:r>
              <a:r>
                <a:rPr lang="en-US" sz="1600" b="1" i="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en-US" sz="2000" b="1">
                <a:solidFill>
                  <a:schemeClr val="tx1"/>
                </a:solidFill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0</xdr:col>
      <xdr:colOff>759205</xdr:colOff>
      <xdr:row>3</xdr:row>
      <xdr:rowOff>38100</xdr:rowOff>
    </xdr:from>
    <xdr:ext cx="10668000" cy="3427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759205" y="654424"/>
              <a:ext cx="10668000" cy="342786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l"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n-US" sz="1600" baseline="0"/>
                      <m:t>𝑆</m:t>
                    </m:r>
                    <m:r>
                      <m:rPr>
                        <m:nor/>
                      </m:rPr>
                      <a:rPr lang="en-US" sz="1600" b="1" baseline="0"/>
                      <m:t>𝑇</m:t>
                    </m:r>
                    <m:r>
                      <m:rPr>
                        <m:nor/>
                      </m:rPr>
                      <a:rPr lang="en-US" sz="1600" b="1" baseline="0"/>
                      <m:t> </m:t>
                    </m:r>
                    <m:r>
                      <m:rPr>
                        <m:nor/>
                      </m:rPr>
                      <a:rPr lang="en-US" sz="1600" b="1" baseline="0"/>
                      <m:t>𝐷𝐸𝐵</m:t>
                    </m:r>
                    <m:r>
                      <m:rPr>
                        <m:nor/>
                      </m:rPr>
                      <a:rPr lang="en-US" sz="1600" b="1" baseline="0"/>
                      <m:t> = </m:t>
                    </m:r>
                    <m:r>
                      <m:rPr>
                        <m:nor/>
                      </m:rPr>
                      <a:rPr lang="en-US" sz="1600" b="1" baseline="0"/>
                      <m:t>𝑀𝐴𝑋</m:t>
                    </m:r>
                    <m:d>
                      <m:dPr>
                        <m:begChr m:val="["/>
                        <m:endChr m:val="]"/>
                        <m:ctrlPr>
                          <a:rPr lang="en-US" sz="1600" b="1" i="1" baseline="0">
                            <a:latin typeface="Cambria Math"/>
                          </a:rPr>
                        </m:ctrlPr>
                      </m:dPr>
                      <m:e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accent6">
                                <a:lumMod val="75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𝐺𝑎𝑠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accent6">
                                <a:lumMod val="75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accent6">
                                <a:lumMod val="75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𝐹𝑙𝑜𝑜𝑟</m:t>
                        </m:r>
                        <m:r>
                          <m:rPr>
                            <m:nor/>
                          </m:rPr>
                          <a:rPr lang="en-US" sz="1600" b="1" i="0" baseline="0">
                            <a:solidFill>
                              <a:schemeClr val="accent6">
                                <a:lumMod val="75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∗ 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accent6">
                                <a:lumMod val="75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Gas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accent6">
                                <a:lumMod val="75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accent6">
                                <a:lumMod val="75000"/>
                              </a:schemeClr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Scalar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,</m:t>
                        </m:r>
                        <m:r>
                          <m:rPr>
                            <m:nor/>
                          </m:rPr>
                          <a:rPr lang="en-US" sz="1600" b="1" i="0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MAX</m:t>
                        </m:r>
                        <m:r>
                          <m:rPr>
                            <m:nor/>
                          </m:rPr>
                          <a:rPr lang="en-US" sz="1600" b="1" i="0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𝐷𝐴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𝐼𝑛𝑑𝑒𝑥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,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𝐵𝑂𝑀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𝐼𝑛𝑑𝑒𝑥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,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𝑀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𝐼𝑛𝑑𝑒𝑥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+1,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𝑀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𝐼𝑛𝑑𝑒𝑥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+2,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𝑀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𝐼𝑛𝑑𝑒𝑥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+3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600" b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)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∗ 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ST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600" b="1" i="1" baseline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Scalar</m:t>
                        </m:r>
                        <m:r>
                          <m:rPr>
                            <m:nor/>
                          </m:rPr>
                          <a:rPr lang="en-US" sz="1600" i="1" baseline="0">
                            <a:effectLst/>
                          </a:rPr>
                          <m:t> </m:t>
                        </m:r>
                      </m:e>
                    </m:d>
                  </m:oMath>
                </m:oMathPara>
              </a14:m>
              <a:endParaRPr lang="en-US" sz="1600" b="1" baseline="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759205" y="654424"/>
              <a:ext cx="10668000" cy="342786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l"/>
              <a:r>
                <a:rPr lang="en-US" sz="1600" i="0" baseline="0">
                  <a:latin typeface="Cambria Math"/>
                </a:rPr>
                <a:t>"𝑆</a:t>
              </a:r>
              <a:r>
                <a:rPr lang="en-US" sz="1600" b="1" i="0" baseline="0">
                  <a:latin typeface="Cambria Math"/>
                </a:rPr>
                <a:t>𝑇 𝐷𝐸𝐵 = 𝑀𝐴𝑋" [</a:t>
              </a:r>
              <a:r>
                <a:rPr lang="en-US" sz="1600" b="1" i="0" baseline="0">
                  <a:solidFill>
                    <a:schemeClr val="accent6">
                      <a:lumMod val="75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"𝐺𝑎𝑠 𝐹𝑙𝑜𝑜𝑟 ∗ Gas Scalar</a:t>
              </a:r>
              <a:r>
                <a:rPr lang="en-US" sz="1600" b="1" i="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,MAX(𝐷𝐴 𝐼𝑛𝑑𝑒𝑥, 𝐵𝑂𝑀 𝐼𝑛𝑑𝑒𝑥, 𝑀 𝐼𝑛𝑑𝑒𝑥+1, 𝑀 𝐼𝑛𝑑𝑒𝑥+2, 𝑀 𝐼𝑛𝑑𝑒𝑥+3 ) ∗ ST Scalar</a:t>
              </a:r>
              <a:r>
                <a:rPr lang="en-US" sz="1600" i="0" baseline="0">
                  <a:effectLst/>
                </a:rPr>
                <a:t> </a:t>
              </a:r>
              <a:r>
                <a:rPr lang="en-US" sz="1600" b="1" i="0" baseline="0">
                  <a:effectLst/>
                  <a:latin typeface="Cambria Math"/>
                </a:rPr>
                <a:t>" ]</a:t>
              </a:r>
              <a:endParaRPr lang="en-US" sz="1600" b="1" baseline="0"/>
            </a:p>
          </xdr:txBody>
        </xdr:sp>
      </mc:Fallback>
    </mc:AlternateContent>
    <xdr:clientData/>
  </xdr:oneCellAnchor>
  <xdr:oneCellAnchor>
    <xdr:from>
      <xdr:col>2</xdr:col>
      <xdr:colOff>10654</xdr:colOff>
      <xdr:row>5</xdr:row>
      <xdr:rowOff>70038</xdr:rowOff>
    </xdr:from>
    <xdr:ext cx="3638551" cy="3619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1377772" y="1067362"/>
              <a:ext cx="3638551" cy="361950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n-US" sz="1600" b="1" i="1">
                        <a:solidFill>
                          <a:schemeClr val="tx1"/>
                        </a:solidFill>
                        <a:latin typeface="Cambria Math"/>
                        <a:ea typeface="+mn-ea"/>
                        <a:cs typeface="+mn-cs"/>
                      </a:rPr>
                      <m:t>𝑮𝒂𝒔</m:t>
                    </m:r>
                    <m:r>
                      <a:rPr lang="en-US" sz="1600" b="1" i="1">
                        <a:solidFill>
                          <a:schemeClr val="tx1"/>
                        </a:solidFill>
                        <a:latin typeface="Cambria Math"/>
                        <a:ea typeface="+mn-ea"/>
                        <a:cs typeface="+mn-cs"/>
                      </a:rPr>
                      <m:t> </m:t>
                    </m:r>
                    <m:r>
                      <a:rPr lang="en-US" sz="1600" b="1" i="1">
                        <a:solidFill>
                          <a:schemeClr val="tx1"/>
                        </a:solidFill>
                        <a:latin typeface="Cambria Math"/>
                        <a:ea typeface="+mn-ea"/>
                        <a:cs typeface="+mn-cs"/>
                      </a:rPr>
                      <m:t>𝑭𝒍𝒐𝒐𝒓</m:t>
                    </m:r>
                    <m:r>
                      <a:rPr lang="en-US" sz="1600" b="1" i="1">
                        <a:solidFill>
                          <a:schemeClr val="tx1"/>
                        </a:solidFill>
                        <a:latin typeface="Cambria Math"/>
                        <a:ea typeface="+mn-ea"/>
                        <a:cs typeface="+mn-cs"/>
                      </a:rPr>
                      <m:t> = </m:t>
                    </m:r>
                    <m:r>
                      <a:rPr lang="en-US" sz="1600" b="1" i="1">
                        <a:solidFill>
                          <a:schemeClr val="tx1"/>
                        </a:solidFill>
                        <a:latin typeface="Cambria Math"/>
                        <a:ea typeface="+mn-ea"/>
                        <a:cs typeface="+mn-cs"/>
                      </a:rPr>
                      <m:t>𝑮𝒂𝒔</m:t>
                    </m:r>
                    <m:r>
                      <a:rPr lang="en-US" sz="1600" b="1" i="1">
                        <a:solidFill>
                          <a:schemeClr val="tx1"/>
                        </a:solidFill>
                        <a:latin typeface="Cambria Math"/>
                        <a:ea typeface="+mn-ea"/>
                        <a:cs typeface="+mn-cs"/>
                      </a:rPr>
                      <m:t> </m:t>
                    </m:r>
                    <m:r>
                      <a:rPr lang="en-US" sz="1600" b="1" i="1">
                        <a:solidFill>
                          <a:schemeClr val="tx1"/>
                        </a:solidFill>
                        <a:latin typeface="Cambria Math"/>
                        <a:ea typeface="+mn-ea"/>
                        <a:cs typeface="+mn-cs"/>
                      </a:rPr>
                      <m:t>𝑯𝒆𝒂𝒕</m:t>
                    </m:r>
                    <m:r>
                      <a:rPr lang="en-US" sz="1600" b="1" i="1">
                        <a:solidFill>
                          <a:schemeClr val="tx1"/>
                        </a:solidFill>
                        <a:latin typeface="Cambria Math"/>
                        <a:ea typeface="+mn-ea"/>
                        <a:cs typeface="+mn-cs"/>
                      </a:rPr>
                      <m:t> </m:t>
                    </m:r>
                    <m:r>
                      <a:rPr lang="en-US" sz="1600" b="1" i="1">
                        <a:solidFill>
                          <a:schemeClr val="tx1"/>
                        </a:solidFill>
                        <a:latin typeface="Cambria Math"/>
                        <a:ea typeface="+mn-ea"/>
                        <a:cs typeface="+mn-cs"/>
                      </a:rPr>
                      <m:t>𝑹𝒂𝒕𝒆</m:t>
                    </m:r>
                    <m:r>
                      <a:rPr lang="en-US" sz="1600" b="1" i="1">
                        <a:solidFill>
                          <a:schemeClr val="tx1"/>
                        </a:solidFill>
                        <a:latin typeface="Cambria Math"/>
                        <a:ea typeface="+mn-ea"/>
                        <a:cs typeface="+mn-cs"/>
                      </a:rPr>
                      <m:t> ∗ </m:t>
                    </m:r>
                    <m:r>
                      <a:rPr lang="en-US" sz="1600" b="1" i="1">
                        <a:solidFill>
                          <a:schemeClr val="tx1"/>
                        </a:solidFill>
                        <a:latin typeface="Cambria Math"/>
                        <a:ea typeface="+mn-ea"/>
                        <a:cs typeface="+mn-cs"/>
                      </a:rPr>
                      <m:t>𝑮𝑷𝑰</m:t>
                    </m:r>
                  </m:oMath>
                </m:oMathPara>
              </a14:m>
              <a:endParaRPr lang="en-US" sz="1600" b="1" i="1">
                <a:solidFill>
                  <a:schemeClr val="tx1"/>
                </a:solidFill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1377772" y="1067362"/>
              <a:ext cx="3638551" cy="361950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600" b="1" i="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𝑮𝒂𝒔 𝑭𝒍𝒐𝒐𝒓 = 𝑮𝒂𝒔 𝑯𝒆𝒂𝒕 𝑹𝒂𝒕𝒆 ∗ 𝑮𝑷</a:t>
              </a:r>
              <a:r>
                <a:rPr lang="en-US" sz="1600" b="1" i="0">
                  <a:solidFill>
                    <a:schemeClr val="tx1"/>
                  </a:solidFill>
                  <a:latin typeface="Cambria Math"/>
                  <a:ea typeface="+mn-ea"/>
                  <a:cs typeface="+mn-cs"/>
                </a:rPr>
                <a:t>𝑰</a:t>
              </a:r>
              <a:endParaRPr lang="en-US" sz="1600" b="1" i="1">
                <a:solidFill>
                  <a:schemeClr val="tx1"/>
                </a:solidFill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4</xdr:col>
      <xdr:colOff>1580037</xdr:colOff>
      <xdr:row>5</xdr:row>
      <xdr:rowOff>79620</xdr:rowOff>
    </xdr:from>
    <xdr:ext cx="4818530" cy="3427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6152037" y="1076944"/>
              <a:ext cx="4818530" cy="342786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n-US" sz="1600" b="1" i="1">
                        <a:solidFill>
                          <a:schemeClr val="tx1"/>
                        </a:solidFill>
                        <a:latin typeface="Cambria Math"/>
                        <a:ea typeface="+mn-ea"/>
                        <a:cs typeface="+mn-cs"/>
                      </a:rPr>
                      <m:t>𝑮𝑷𝑰</m:t>
                    </m:r>
                    <m:r>
                      <a:rPr lang="en-US" sz="1600" b="1" i="1">
                        <a:solidFill>
                          <a:schemeClr val="tx1"/>
                        </a:solidFill>
                        <a:latin typeface="Cambria Math"/>
                        <a:ea typeface="+mn-ea"/>
                        <a:cs typeface="+mn-cs"/>
                      </a:rPr>
                      <m:t>=</m:t>
                    </m:r>
                    <m:r>
                      <a:rPr lang="en-US" sz="1600" b="1" i="1">
                        <a:solidFill>
                          <a:schemeClr val="tx1"/>
                        </a:solidFill>
                        <a:latin typeface="Cambria Math"/>
                        <a:ea typeface="+mn-ea"/>
                        <a:cs typeface="+mn-cs"/>
                      </a:rPr>
                      <m:t>𝑴𝑨𝑿</m:t>
                    </m:r>
                    <m:d>
                      <m:dPr>
                        <m:ctrlPr>
                          <a:rPr lang="en-US" sz="1600" b="1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US" sz="1600" b="1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𝑫𝑨</m:t>
                        </m:r>
                        <m:r>
                          <a:rPr lang="en-US" sz="1600" b="1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  </m:t>
                        </m:r>
                        <m:r>
                          <a:rPr lang="en-US" sz="1600" b="1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𝑮𝒂𝒔</m:t>
                        </m:r>
                        <m:r>
                          <a:rPr lang="en-US" sz="1600" b="1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600" b="1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𝑰𝒏𝒅𝒆𝒙</m:t>
                        </m:r>
                        <m:r>
                          <a:rPr lang="en-US" sz="1600" b="1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, </m:t>
                        </m:r>
                        <m:r>
                          <a:rPr lang="en-US" sz="1600" b="1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𝑩𝑶𝑴</m:t>
                        </m:r>
                        <m:r>
                          <a:rPr lang="en-US" sz="1600" b="1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600" b="1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𝑮𝒂𝒔</m:t>
                        </m:r>
                        <m:r>
                          <a:rPr lang="en-US" sz="1600" b="1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600" b="1" i="1">
                            <a:solidFill>
                              <a:schemeClr val="tx1"/>
                            </a:solidFill>
                            <a:latin typeface="Cambria Math"/>
                            <a:ea typeface="+mn-ea"/>
                            <a:cs typeface="+mn-cs"/>
                          </a:rPr>
                          <m:t>𝑰𝒏𝒅𝒆𝒙</m:t>
                        </m:r>
                      </m:e>
                    </m:d>
                  </m:oMath>
                </m:oMathPara>
              </a14:m>
              <a:endParaRPr lang="en-US" sz="1600" b="1" i="1">
                <a:solidFill>
                  <a:schemeClr val="tx1"/>
                </a:solidFill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6152037" y="1076944"/>
              <a:ext cx="4818530" cy="342786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600" b="1" i="0">
                  <a:solidFill>
                    <a:schemeClr val="tx1"/>
                  </a:solidFill>
                  <a:latin typeface="Cambria Math"/>
                  <a:ea typeface="+mn-ea"/>
                  <a:cs typeface="+mn-cs"/>
                </a:rPr>
                <a:t>𝑮𝑷𝑰=𝑴𝑨𝑿(𝑫𝑨  𝑮𝒂𝒔 𝑰𝒏𝒅𝒆𝒙, 𝑩𝑶𝑴 𝑮𝒂𝒔 𝑰𝒏𝒅𝒆𝒙)</a:t>
              </a:r>
              <a:endParaRPr lang="en-US" sz="1600" b="1" i="1">
                <a:solidFill>
                  <a:schemeClr val="tx1"/>
                </a:solidFill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53"/>
  <sheetViews>
    <sheetView tabSelected="1" view="pageLayout" zoomScaleNormal="100" workbookViewId="0">
      <selection activeCell="G16" sqref="G16"/>
    </sheetView>
  </sheetViews>
  <sheetFormatPr defaultRowHeight="15" x14ac:dyDescent="0.25"/>
  <cols>
    <col min="1" max="1" width="11.42578125" customWidth="1"/>
    <col min="3" max="3" width="22.85546875" customWidth="1"/>
    <col min="4" max="4" width="25.28515625" customWidth="1"/>
    <col min="5" max="5" width="26.5703125" bestFit="1" customWidth="1"/>
    <col min="6" max="6" width="26.85546875" bestFit="1" customWidth="1"/>
    <col min="7" max="7" width="26.7109375" bestFit="1" customWidth="1"/>
    <col min="8" max="8" width="26" bestFit="1" customWidth="1"/>
    <col min="9" max="9" width="26.28515625" bestFit="1" customWidth="1"/>
    <col min="10" max="10" width="11" bestFit="1" customWidth="1"/>
    <col min="11" max="11" width="14.5703125" bestFit="1" customWidth="1"/>
    <col min="12" max="12" width="13.7109375" customWidth="1"/>
  </cols>
  <sheetData>
    <row r="1" spans="1:10" s="7" customFormat="1" ht="18.75" x14ac:dyDescent="0.3">
      <c r="A1" s="101" t="s">
        <v>103</v>
      </c>
    </row>
    <row r="2" spans="1:10" ht="33.75" x14ac:dyDescent="0.5">
      <c r="A2" s="16"/>
      <c r="B2" s="17" t="s">
        <v>97</v>
      </c>
      <c r="C2" s="16"/>
      <c r="D2" s="16"/>
      <c r="E2" s="16"/>
      <c r="F2" s="16"/>
      <c r="G2" s="16"/>
      <c r="H2" s="16"/>
      <c r="I2" s="16"/>
      <c r="J2" s="16"/>
    </row>
    <row r="3" spans="1:10" s="7" customForma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18.75" x14ac:dyDescent="0.3">
      <c r="A6" s="16"/>
      <c r="B6" s="16"/>
      <c r="C6" s="16"/>
      <c r="D6" s="18"/>
      <c r="E6" s="16"/>
      <c r="F6" s="16"/>
      <c r="G6" s="16"/>
      <c r="H6" s="16"/>
      <c r="I6" s="16"/>
      <c r="J6" s="16"/>
    </row>
    <row r="7" spans="1:10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x14ac:dyDescent="0.25">
      <c r="A8" s="16"/>
      <c r="B8" s="16"/>
      <c r="C8" s="16"/>
      <c r="D8" s="16"/>
      <c r="E8" s="16"/>
      <c r="F8" s="16"/>
      <c r="G8" s="16"/>
      <c r="H8" s="16"/>
      <c r="I8" s="19"/>
      <c r="J8" s="16"/>
    </row>
    <row r="9" spans="1:10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21" x14ac:dyDescent="0.35">
      <c r="A13" s="16"/>
      <c r="B13" s="16"/>
      <c r="C13" s="43" t="s">
        <v>75</v>
      </c>
      <c r="D13" s="16"/>
      <c r="E13" s="16"/>
      <c r="F13" s="16"/>
      <c r="G13" s="16"/>
      <c r="H13" s="16"/>
      <c r="I13" s="16"/>
      <c r="J13" s="16"/>
    </row>
    <row r="14" spans="1:10" ht="21" x14ac:dyDescent="0.35">
      <c r="A14" s="16"/>
      <c r="B14" s="16"/>
      <c r="C14" s="20" t="s">
        <v>53</v>
      </c>
      <c r="D14" s="21"/>
      <c r="E14" s="22" t="s">
        <v>52</v>
      </c>
      <c r="F14" s="16"/>
      <c r="G14" s="20" t="s">
        <v>61</v>
      </c>
      <c r="I14" s="16"/>
      <c r="J14" s="16"/>
    </row>
    <row r="15" spans="1:10" ht="18.75" x14ac:dyDescent="0.3">
      <c r="A15" s="16"/>
      <c r="B15" s="21" t="s">
        <v>37</v>
      </c>
      <c r="C15" s="15"/>
      <c r="D15" s="21" t="s">
        <v>39</v>
      </c>
      <c r="E15" s="15"/>
      <c r="F15" s="21" t="s">
        <v>60</v>
      </c>
      <c r="G15" s="31">
        <v>1.1000000000000001</v>
      </c>
      <c r="I15" s="16"/>
      <c r="J15" s="16"/>
    </row>
    <row r="16" spans="1:10" ht="18.75" x14ac:dyDescent="0.3">
      <c r="A16" s="16"/>
      <c r="B16" s="21" t="s">
        <v>0</v>
      </c>
      <c r="C16" s="15"/>
      <c r="D16" s="21" t="s">
        <v>40</v>
      </c>
      <c r="E16" s="15"/>
      <c r="F16" s="21" t="s">
        <v>73</v>
      </c>
      <c r="G16" s="31">
        <v>1.35</v>
      </c>
      <c r="I16" s="16"/>
      <c r="J16" s="16"/>
    </row>
    <row r="17" spans="1:10" ht="18.75" x14ac:dyDescent="0.3">
      <c r="A17" s="16"/>
      <c r="B17" s="16"/>
      <c r="C17" s="16"/>
      <c r="D17" s="21" t="s">
        <v>42</v>
      </c>
      <c r="E17" s="15"/>
      <c r="F17" s="21" t="s">
        <v>74</v>
      </c>
      <c r="G17" s="31">
        <v>1.1000000000000001</v>
      </c>
      <c r="I17" s="16"/>
      <c r="J17" s="16"/>
    </row>
    <row r="18" spans="1:10" ht="18.75" x14ac:dyDescent="0.3">
      <c r="A18" s="16"/>
      <c r="B18" s="21"/>
      <c r="C18" s="16"/>
      <c r="D18" s="21" t="s">
        <v>41</v>
      </c>
      <c r="E18" s="15"/>
      <c r="F18" s="16"/>
      <c r="G18" s="16"/>
      <c r="I18" s="16"/>
      <c r="J18" s="16"/>
    </row>
    <row r="19" spans="1:10" ht="18.75" x14ac:dyDescent="0.3">
      <c r="A19" s="16"/>
      <c r="B19" s="21" t="s">
        <v>34</v>
      </c>
      <c r="C19" s="96">
        <f>MAX(C15:C16)</f>
        <v>0</v>
      </c>
      <c r="D19" s="21" t="s">
        <v>43</v>
      </c>
      <c r="E19" s="15"/>
      <c r="F19" s="16"/>
      <c r="G19" s="16"/>
      <c r="I19" s="16"/>
      <c r="J19" s="16"/>
    </row>
    <row r="20" spans="1:10" ht="18.75" x14ac:dyDescent="0.3">
      <c r="A20" s="16"/>
      <c r="B20" s="21"/>
      <c r="C20" s="22"/>
      <c r="D20" s="21" t="s">
        <v>45</v>
      </c>
      <c r="E20" s="15"/>
      <c r="F20" s="16"/>
      <c r="G20" s="16"/>
      <c r="I20" s="16"/>
      <c r="J20" s="16"/>
    </row>
    <row r="21" spans="1:10" s="7" customFormat="1" ht="18.75" x14ac:dyDescent="0.3">
      <c r="A21" s="16"/>
      <c r="B21" s="21" t="s">
        <v>36</v>
      </c>
      <c r="C21" s="34"/>
      <c r="D21" s="21" t="s">
        <v>46</v>
      </c>
      <c r="E21" s="15"/>
      <c r="F21" s="16"/>
      <c r="G21" s="16"/>
      <c r="I21" s="16"/>
      <c r="J21" s="16"/>
    </row>
    <row r="22" spans="1:10" s="7" customFormat="1" ht="18.75" x14ac:dyDescent="0.3">
      <c r="A22" s="16"/>
      <c r="B22" s="16"/>
      <c r="C22" s="16"/>
      <c r="D22" s="21" t="s">
        <v>50</v>
      </c>
      <c r="E22" s="15"/>
      <c r="F22" s="16"/>
      <c r="G22" s="16"/>
      <c r="I22" s="16"/>
      <c r="J22" s="16"/>
    </row>
    <row r="23" spans="1:10" s="7" customFormat="1" ht="18.75" x14ac:dyDescent="0.3">
      <c r="A23" s="16"/>
      <c r="B23" s="21"/>
      <c r="C23" s="16"/>
      <c r="D23" s="16"/>
      <c r="E23" s="16"/>
      <c r="F23" s="16"/>
      <c r="G23" s="16"/>
      <c r="H23" s="16"/>
      <c r="I23" s="16"/>
      <c r="J23" s="16"/>
    </row>
    <row r="24" spans="1:10" ht="18.75" x14ac:dyDescent="0.3">
      <c r="A24" s="16"/>
      <c r="B24" s="21" t="s">
        <v>35</v>
      </c>
      <c r="C24" s="22">
        <f>C19*C21</f>
        <v>0</v>
      </c>
      <c r="E24" s="16"/>
      <c r="F24" s="16"/>
      <c r="G24" s="16"/>
      <c r="H24" s="16"/>
      <c r="I24" s="16"/>
      <c r="J24" s="16"/>
    </row>
    <row r="25" spans="1:10" ht="18.75" x14ac:dyDescent="0.3">
      <c r="A25" s="16"/>
      <c r="B25" s="16"/>
      <c r="C25" s="23"/>
      <c r="E25" s="16"/>
      <c r="F25" s="16"/>
      <c r="G25" s="16"/>
      <c r="H25" s="16"/>
      <c r="I25" s="16"/>
      <c r="J25" s="16"/>
    </row>
    <row r="26" spans="1:10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39" x14ac:dyDescent="0.25">
      <c r="A27" s="99" t="s">
        <v>58</v>
      </c>
      <c r="B27" s="16"/>
      <c r="C27" s="16"/>
      <c r="D27" s="98" t="s">
        <v>80</v>
      </c>
      <c r="E27" s="98" t="s">
        <v>81</v>
      </c>
      <c r="F27" s="98" t="s">
        <v>82</v>
      </c>
      <c r="G27" s="98" t="s">
        <v>83</v>
      </c>
      <c r="H27" s="98" t="s">
        <v>84</v>
      </c>
      <c r="I27" s="98" t="s">
        <v>93</v>
      </c>
      <c r="J27" s="16"/>
    </row>
    <row r="28" spans="1:10" ht="18.75" x14ac:dyDescent="0.3">
      <c r="A28" s="16"/>
      <c r="B28" s="16"/>
      <c r="C28" s="24" t="s">
        <v>38</v>
      </c>
      <c r="D28" s="35">
        <f>C24*Gas_Scalar</f>
        <v>0</v>
      </c>
      <c r="E28" s="35">
        <f>(E15)*ST_Scalar</f>
        <v>0</v>
      </c>
      <c r="F28" s="35">
        <f>(E16)*ST_Scalar</f>
        <v>0</v>
      </c>
      <c r="G28" s="35">
        <f>(E17)*ST_Scalar</f>
        <v>0</v>
      </c>
      <c r="H28" s="35">
        <f>(E18)*ST_Scalar</f>
        <v>0</v>
      </c>
      <c r="I28" s="35">
        <f>(E19)*ST_Scalar</f>
        <v>0</v>
      </c>
      <c r="J28" s="25" t="s">
        <v>44</v>
      </c>
    </row>
    <row r="29" spans="1:10" ht="19.5" thickBot="1" x14ac:dyDescent="0.35">
      <c r="A29" s="16"/>
      <c r="B29" s="16"/>
      <c r="C29" s="24"/>
      <c r="D29" s="24"/>
      <c r="E29" s="24"/>
      <c r="F29" s="24"/>
      <c r="G29" s="24"/>
      <c r="H29" s="24"/>
      <c r="I29" s="24"/>
      <c r="J29" s="24"/>
    </row>
    <row r="30" spans="1:10" ht="21.75" thickBot="1" x14ac:dyDescent="0.4">
      <c r="A30" s="16"/>
      <c r="B30" s="16"/>
      <c r="C30" s="26" t="s">
        <v>47</v>
      </c>
      <c r="D30" s="27">
        <f>MAX(D28:I28)</f>
        <v>0</v>
      </c>
      <c r="E30" s="24"/>
      <c r="F30" s="24"/>
      <c r="G30" s="24"/>
      <c r="H30" s="24"/>
      <c r="I30" s="24"/>
      <c r="J30" s="24"/>
    </row>
    <row r="31" spans="1:10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39" x14ac:dyDescent="0.25">
      <c r="A32" s="99" t="s">
        <v>59</v>
      </c>
      <c r="B32" s="16"/>
      <c r="C32" s="16"/>
      <c r="D32" s="98" t="s">
        <v>49</v>
      </c>
      <c r="E32" s="98" t="s">
        <v>85</v>
      </c>
      <c r="F32" s="98" t="s">
        <v>86</v>
      </c>
      <c r="G32" s="98" t="s">
        <v>87</v>
      </c>
      <c r="H32" s="16"/>
      <c r="I32" s="16"/>
      <c r="J32" s="16"/>
    </row>
    <row r="33" spans="1:10" ht="18.75" x14ac:dyDescent="0.3">
      <c r="A33" s="16"/>
      <c r="B33" s="16"/>
      <c r="C33" s="24" t="s">
        <v>48</v>
      </c>
      <c r="D33" s="28">
        <f>D30</f>
        <v>0</v>
      </c>
      <c r="E33" s="28">
        <f>$E20*LT_Scalar</f>
        <v>0</v>
      </c>
      <c r="F33" s="28">
        <f>E21*LT_Scalar</f>
        <v>0</v>
      </c>
      <c r="G33" s="28">
        <f>E22*LT_Scalar</f>
        <v>0</v>
      </c>
      <c r="H33" s="25" t="s">
        <v>44</v>
      </c>
      <c r="I33" s="16"/>
      <c r="J33" s="16"/>
    </row>
    <row r="34" spans="1:10" ht="19.5" thickBot="1" x14ac:dyDescent="0.35">
      <c r="A34" s="16"/>
      <c r="B34" s="16"/>
      <c r="C34" s="24"/>
      <c r="D34" s="24"/>
      <c r="E34" s="24"/>
      <c r="F34" s="24"/>
      <c r="G34" s="24"/>
      <c r="H34" s="16"/>
      <c r="I34" s="16"/>
      <c r="J34" s="16"/>
    </row>
    <row r="35" spans="1:10" ht="21.75" thickBot="1" x14ac:dyDescent="0.4">
      <c r="A35" s="16"/>
      <c r="B35" s="16"/>
      <c r="C35" s="26" t="s">
        <v>51</v>
      </c>
      <c r="D35" s="27">
        <f>MAX(D33:G33)</f>
        <v>0</v>
      </c>
      <c r="E35" s="16"/>
      <c r="F35" s="16"/>
      <c r="G35" s="16"/>
      <c r="H35" s="16"/>
      <c r="I35" s="16"/>
      <c r="J35" s="16"/>
    </row>
    <row r="36" spans="1:10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52" spans="1:1" ht="18.75" x14ac:dyDescent="0.3">
      <c r="A52" s="101"/>
    </row>
    <row r="53" spans="1:1" ht="18.75" x14ac:dyDescent="0.3">
      <c r="A53" s="101"/>
    </row>
  </sheetData>
  <sheetProtection sheet="1" objects="1" scenarios="1"/>
  <conditionalFormatting sqref="D28">
    <cfRule type="colorScale" priority="4">
      <colorScale>
        <cfvo type="min"/>
        <cfvo type="max"/>
        <color rgb="FFFCFCFF"/>
        <color rgb="FF63BE7B"/>
      </colorScale>
    </cfRule>
  </conditionalFormatting>
  <conditionalFormatting sqref="D33:G33">
    <cfRule type="colorScale" priority="3">
      <colorScale>
        <cfvo type="min"/>
        <cfvo type="max"/>
        <color rgb="FFFCFCFF"/>
        <color rgb="FF63BE7B"/>
      </colorScale>
    </cfRule>
  </conditionalFormatting>
  <conditionalFormatting sqref="E28:I28">
    <cfRule type="colorScale" priority="2">
      <colorScale>
        <cfvo type="min"/>
        <cfvo type="max"/>
        <color rgb="FFFCFCFF"/>
        <color rgb="FF63BE7B"/>
      </colorScale>
    </cfRule>
  </conditionalFormatting>
  <conditionalFormatting sqref="D28:I28">
    <cfRule type="colorScale" priority="1">
      <colorScale>
        <cfvo type="min"/>
        <cfvo type="max"/>
        <color rgb="FFFCFCFF"/>
        <color rgb="FF63BE7B"/>
      </colorScale>
    </cfRule>
  </conditionalFormatting>
  <pageMargins left="0.25" right="0.25" top="0.75" bottom="0.75" header="0.3" footer="0.3"/>
  <pageSetup scale="63" orientation="landscape" r:id="rId1"/>
  <headerFooter>
    <oddHeader>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XFD56"/>
  <sheetViews>
    <sheetView view="pageBreakPreview" topLeftCell="G1" zoomScale="60" zoomScaleNormal="100" workbookViewId="0">
      <selection activeCell="S3" sqref="S3"/>
    </sheetView>
  </sheetViews>
  <sheetFormatPr defaultRowHeight="15" x14ac:dyDescent="0.25"/>
  <cols>
    <col min="1" max="1" width="14.28515625" customWidth="1"/>
    <col min="2" max="3" width="13" customWidth="1"/>
    <col min="4" max="4" width="19.28515625" customWidth="1"/>
    <col min="5" max="5" width="13.42578125" customWidth="1"/>
    <col min="6" max="6" width="7.28515625" customWidth="1"/>
    <col min="7" max="7" width="13.140625" customWidth="1"/>
    <col min="8" max="8" width="13.5703125" customWidth="1"/>
    <col min="9" max="10" width="13" customWidth="1"/>
    <col min="11" max="11" width="13.85546875" bestFit="1" customWidth="1"/>
    <col min="12" max="12" width="16.7109375" customWidth="1"/>
    <col min="13" max="13" width="15.7109375" bestFit="1" customWidth="1"/>
    <col min="14" max="15" width="13" customWidth="1"/>
    <col min="16" max="16" width="5.140625" customWidth="1"/>
    <col min="17" max="20" width="13" customWidth="1"/>
    <col min="21" max="21" width="5.140625" customWidth="1"/>
    <col min="22" max="22" width="14" customWidth="1"/>
    <col min="23" max="23" width="10.85546875" bestFit="1" customWidth="1"/>
    <col min="25" max="25" width="12.5703125" bestFit="1" customWidth="1"/>
    <col min="28" max="28" width="4.42578125" customWidth="1"/>
    <col min="33" max="33" width="4.42578125" customWidth="1"/>
  </cols>
  <sheetData>
    <row r="1" spans="1:31" s="7" customFormat="1" ht="18.75" x14ac:dyDescent="0.3">
      <c r="A1" s="101" t="s">
        <v>103</v>
      </c>
    </row>
    <row r="2" spans="1:31" ht="33.75" x14ac:dyDescent="0.5">
      <c r="A2" s="16"/>
      <c r="B2" s="17" t="s">
        <v>99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ht="21" x14ac:dyDescent="0.35">
      <c r="A4" s="103" t="s">
        <v>23</v>
      </c>
      <c r="B4" s="104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1:3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ht="21" x14ac:dyDescent="0.35">
      <c r="A6" s="36" t="s">
        <v>20</v>
      </c>
      <c r="B6" s="32">
        <v>1000</v>
      </c>
      <c r="C6" s="37" t="s">
        <v>3</v>
      </c>
      <c r="D6" s="97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s="7" customFormat="1" ht="21" x14ac:dyDescent="0.35">
      <c r="A7" s="36"/>
      <c r="B7" s="36"/>
      <c r="C7" s="3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1" ht="21" x14ac:dyDescent="0.35">
      <c r="A8" s="16"/>
      <c r="B8" s="38" t="s">
        <v>76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29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x14ac:dyDescent="0.25">
      <c r="A9" s="16"/>
      <c r="B9" s="29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ht="18.75" x14ac:dyDescent="0.3">
      <c r="A10" s="16"/>
      <c r="B10" s="39" t="s">
        <v>29</v>
      </c>
      <c r="C10" s="40" t="s">
        <v>1</v>
      </c>
      <c r="D10" s="40" t="s">
        <v>2</v>
      </c>
      <c r="E10" s="40" t="s">
        <v>54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21" x14ac:dyDescent="0.35">
      <c r="A11" s="36"/>
      <c r="B11" s="33">
        <f>ResourceMW</f>
        <v>1000</v>
      </c>
      <c r="C11" s="32">
        <v>200</v>
      </c>
      <c r="D11" s="32">
        <v>500</v>
      </c>
      <c r="E11" s="32">
        <v>250</v>
      </c>
      <c r="F11" s="41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x14ac:dyDescent="0.25">
      <c r="A12" s="16"/>
      <c r="B12" s="42" t="s">
        <v>7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x14ac:dyDescent="0.25">
      <c r="A13" s="16"/>
      <c r="B13" s="42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s="7" customFormat="1" ht="21" x14ac:dyDescent="0.35">
      <c r="A15" s="16"/>
      <c r="B15" s="43" t="s">
        <v>75</v>
      </c>
      <c r="C15" s="44"/>
      <c r="D15" s="4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s="7" customFormat="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16384" ht="21" x14ac:dyDescent="0.35">
      <c r="A17" s="16"/>
      <c r="B17" s="38" t="s">
        <v>30</v>
      </c>
      <c r="C17" s="16"/>
      <c r="D17" s="16"/>
      <c r="E17" s="16"/>
      <c r="F17" s="16"/>
      <c r="G17" s="38" t="s">
        <v>8</v>
      </c>
      <c r="H17" s="16"/>
      <c r="I17" s="16"/>
      <c r="J17" s="16"/>
      <c r="K17" s="16"/>
      <c r="L17" s="38" t="s">
        <v>9</v>
      </c>
      <c r="M17" s="38"/>
      <c r="N17" s="16"/>
      <c r="O17" s="16"/>
      <c r="P17" s="16"/>
      <c r="Q17" s="38" t="s">
        <v>14</v>
      </c>
      <c r="R17" s="38"/>
      <c r="S17" s="16"/>
      <c r="T17" s="16"/>
      <c r="U17" s="16"/>
      <c r="V17" s="38" t="s">
        <v>19</v>
      </c>
      <c r="W17" s="16"/>
      <c r="X17" s="16"/>
      <c r="Y17" s="16"/>
      <c r="Z17" s="16"/>
      <c r="AA17" s="38"/>
      <c r="AB17" s="38"/>
      <c r="AC17" s="16"/>
      <c r="AD17" s="16"/>
      <c r="AE17" s="16"/>
    </row>
    <row r="18" spans="1:16384" s="4" customFormat="1" ht="18.75" x14ac:dyDescent="0.3">
      <c r="A18" s="19"/>
      <c r="B18" s="39" t="str">
        <f>B10</f>
        <v>Mid C</v>
      </c>
      <c r="C18" s="40" t="str">
        <f>C10</f>
        <v>NP</v>
      </c>
      <c r="D18" s="40" t="str">
        <f>D10</f>
        <v>SP</v>
      </c>
      <c r="E18" s="40" t="str">
        <f>E10</f>
        <v>Palo Verde</v>
      </c>
      <c r="F18" s="19"/>
      <c r="G18" s="46" t="s">
        <v>10</v>
      </c>
      <c r="H18" s="46" t="s">
        <v>11</v>
      </c>
      <c r="I18" s="46" t="s">
        <v>12</v>
      </c>
      <c r="J18" s="46" t="s">
        <v>13</v>
      </c>
      <c r="K18" s="19"/>
      <c r="L18" s="46" t="s">
        <v>10</v>
      </c>
      <c r="M18" s="46" t="s">
        <v>11</v>
      </c>
      <c r="N18" s="46" t="s">
        <v>12</v>
      </c>
      <c r="O18" s="46" t="s">
        <v>13</v>
      </c>
      <c r="P18" s="19"/>
      <c r="Q18" s="46" t="s">
        <v>15</v>
      </c>
      <c r="R18" s="46" t="s">
        <v>16</v>
      </c>
      <c r="S18" s="46" t="s">
        <v>17</v>
      </c>
      <c r="T18" s="46" t="s">
        <v>18</v>
      </c>
      <c r="U18" s="19"/>
      <c r="V18" s="46" t="s">
        <v>57</v>
      </c>
      <c r="W18" s="19"/>
      <c r="X18" s="19"/>
      <c r="Y18" s="19"/>
      <c r="Z18" s="19"/>
      <c r="AA18" s="19"/>
      <c r="AB18" s="19"/>
      <c r="AC18" s="19"/>
      <c r="AD18" s="19"/>
      <c r="AE18" s="19"/>
      <c r="AF18" s="5"/>
    </row>
    <row r="19" spans="1:16384" ht="18.75" x14ac:dyDescent="0.3">
      <c r="A19" s="21" t="s">
        <v>39</v>
      </c>
      <c r="B19" s="30">
        <f>'Single HUB DEB Calculation'!E15</f>
        <v>0</v>
      </c>
      <c r="C19" s="13"/>
      <c r="D19" s="13"/>
      <c r="E19" s="13"/>
      <c r="F19" s="16"/>
      <c r="G19" s="47">
        <f>LARGE($B19:$E19,1)</f>
        <v>0</v>
      </c>
      <c r="H19" s="48" t="e">
        <f>LARGE($B19:$E19,2)</f>
        <v>#NUM!</v>
      </c>
      <c r="I19" s="48" t="e">
        <f>LARGE($B19:$E19,3)</f>
        <v>#NUM!</v>
      </c>
      <c r="J19" s="48" t="e">
        <f>LARGE($B19:$E19,4)</f>
        <v>#NUM!</v>
      </c>
      <c r="K19" s="16"/>
      <c r="L19" s="49" t="str">
        <f t="shared" ref="L19:L25" si="0">INDEX(HubNames,1,MATCH(G19,$B19:$E19,0))</f>
        <v>Mid C</v>
      </c>
      <c r="M19" s="49" t="e">
        <f t="shared" ref="M19:M25" si="1">INDEX(HubNames,1,MATCH(H19,$B19:$E19,0))</f>
        <v>#NUM!</v>
      </c>
      <c r="N19" s="49" t="e">
        <f t="shared" ref="N19:N25" si="2">INDEX(HubNames,1,MATCH(I19,$B19:$E19,0))</f>
        <v>#NUM!</v>
      </c>
      <c r="O19" s="49" t="e">
        <f t="shared" ref="O19:O25" si="3">INDEX(HubNames,1,MATCH(J19,$B19:$E19,0))</f>
        <v>#NUM!</v>
      </c>
      <c r="P19" s="16"/>
      <c r="Q19" s="50">
        <f t="shared" ref="Q19:Q25" si="4">MIN(ResourceMW,HLOOKUP(L19,HubTx,2,))</f>
        <v>1000</v>
      </c>
      <c r="R19" s="50" t="e">
        <f>MAX(0,MIN(HLOOKUP(M19,HubTx,2,),ResourceMW-SUM($Q19:Q19)))</f>
        <v>#NUM!</v>
      </c>
      <c r="S19" s="50" t="e">
        <f>MAX(0,MIN(HLOOKUP(N19,HubTx,2,),ResourceMW-SUM($Q19:R19)))</f>
        <v>#NUM!</v>
      </c>
      <c r="T19" s="50" t="e">
        <f>MAX(0,MIN(HLOOKUP(O19,$B$10:$E$11,2,),ResourceMW-SUM($Q19:S19)))</f>
        <v>#NUM!</v>
      </c>
      <c r="U19" s="51"/>
      <c r="V19" s="52" t="e">
        <f t="shared" ref="V19:V25" si="5">SUMPRODUCT(G19:J19,Q19:T19)/ResourceMW</f>
        <v>#NUM!</v>
      </c>
      <c r="W19" s="16"/>
      <c r="X19" s="16"/>
      <c r="Y19" s="16"/>
      <c r="Z19" s="16"/>
      <c r="AA19" s="16"/>
      <c r="AB19" s="16"/>
      <c r="AC19" s="16"/>
      <c r="AD19" s="16"/>
      <c r="AE19" s="16"/>
    </row>
    <row r="20" spans="1:16384" ht="18.75" x14ac:dyDescent="0.3">
      <c r="A20" s="21" t="s">
        <v>40</v>
      </c>
      <c r="B20" s="30">
        <f>'Single HUB DEB Calculation'!E16</f>
        <v>0</v>
      </c>
      <c r="C20" s="13"/>
      <c r="D20" s="13"/>
      <c r="E20" s="13"/>
      <c r="F20" s="16"/>
      <c r="G20" s="47">
        <f t="shared" ref="G20:G26" si="6">LARGE($B20:$E20,1)</f>
        <v>0</v>
      </c>
      <c r="H20" s="48" t="e">
        <f t="shared" ref="H20:H26" si="7">LARGE($B20:$E20,2)</f>
        <v>#NUM!</v>
      </c>
      <c r="I20" s="48" t="e">
        <f t="shared" ref="I20:I26" si="8">LARGE($B20:$E20,3)</f>
        <v>#NUM!</v>
      </c>
      <c r="J20" s="48" t="e">
        <f t="shared" ref="J20:J26" si="9">LARGE($B20:$E20,4)</f>
        <v>#NUM!</v>
      </c>
      <c r="K20" s="16"/>
      <c r="L20" s="49" t="str">
        <f t="shared" si="0"/>
        <v>Mid C</v>
      </c>
      <c r="M20" s="49" t="e">
        <f t="shared" si="1"/>
        <v>#NUM!</v>
      </c>
      <c r="N20" s="49" t="e">
        <f t="shared" si="2"/>
        <v>#NUM!</v>
      </c>
      <c r="O20" s="49" t="e">
        <f t="shared" si="3"/>
        <v>#NUM!</v>
      </c>
      <c r="P20" s="16"/>
      <c r="Q20" s="50">
        <f t="shared" si="4"/>
        <v>1000</v>
      </c>
      <c r="R20" s="50" t="e">
        <f>MAX(0,MIN(HLOOKUP(M20,HubTx,2,),ResourceMW-SUM($Q20:Q20)))</f>
        <v>#NUM!</v>
      </c>
      <c r="S20" s="50" t="e">
        <f>MAX(0,MIN(HLOOKUP(N20,HubTx,2,),ResourceMW-SUM($Q20:R20)))</f>
        <v>#NUM!</v>
      </c>
      <c r="T20" s="50" t="e">
        <f>MAX(0,MIN(HLOOKUP(O20,$B$10:$E$11,2,),ResourceMW-SUM($Q20:S20)))</f>
        <v>#NUM!</v>
      </c>
      <c r="U20" s="51"/>
      <c r="V20" s="52" t="e">
        <f t="shared" si="5"/>
        <v>#NUM!</v>
      </c>
      <c r="W20" s="16"/>
      <c r="X20" s="16"/>
      <c r="Y20" s="16"/>
      <c r="Z20" s="16"/>
      <c r="AA20" s="16"/>
      <c r="AB20" s="16"/>
      <c r="AC20" s="16"/>
      <c r="AD20" s="16"/>
      <c r="AE20" s="16"/>
    </row>
    <row r="21" spans="1:16384" s="3" customFormat="1" ht="18.75" x14ac:dyDescent="0.3">
      <c r="A21" s="21" t="s">
        <v>42</v>
      </c>
      <c r="B21" s="30">
        <f>'Single HUB DEB Calculation'!E17</f>
        <v>0</v>
      </c>
      <c r="C21" s="13"/>
      <c r="D21" s="13"/>
      <c r="E21" s="13"/>
      <c r="F21" s="29"/>
      <c r="G21" s="53">
        <f t="shared" si="6"/>
        <v>0</v>
      </c>
      <c r="H21" s="54" t="e">
        <f t="shared" si="7"/>
        <v>#NUM!</v>
      </c>
      <c r="I21" s="54" t="e">
        <f t="shared" si="8"/>
        <v>#NUM!</v>
      </c>
      <c r="J21" s="54" t="e">
        <f t="shared" si="9"/>
        <v>#NUM!</v>
      </c>
      <c r="K21" s="29"/>
      <c r="L21" s="55" t="str">
        <f t="shared" si="0"/>
        <v>Mid C</v>
      </c>
      <c r="M21" s="55" t="e">
        <f t="shared" si="1"/>
        <v>#NUM!</v>
      </c>
      <c r="N21" s="55" t="e">
        <f t="shared" si="2"/>
        <v>#NUM!</v>
      </c>
      <c r="O21" s="55" t="e">
        <f t="shared" si="3"/>
        <v>#NUM!</v>
      </c>
      <c r="P21" s="29"/>
      <c r="Q21" s="56">
        <f t="shared" si="4"/>
        <v>1000</v>
      </c>
      <c r="R21" s="56" t="e">
        <f>MAX(0,MIN(HLOOKUP(M21,HubTx,2,),ResourceMW-SUM($Q21:Q21)))</f>
        <v>#NUM!</v>
      </c>
      <c r="S21" s="56" t="e">
        <f>MAX(0,MIN(HLOOKUP(N21,HubTx,2,),ResourceMW-SUM($Q21:R21)))</f>
        <v>#NUM!</v>
      </c>
      <c r="T21" s="56" t="e">
        <f>MAX(0,MIN(HLOOKUP(O21,$B$10:$E$11,2,),ResourceMW-SUM($Q21:S21)))</f>
        <v>#NUM!</v>
      </c>
      <c r="U21" s="57"/>
      <c r="V21" s="52" t="e">
        <f t="shared" si="5"/>
        <v>#NUM!</v>
      </c>
      <c r="W21" s="29"/>
      <c r="X21" s="29"/>
      <c r="Y21" s="29"/>
      <c r="Z21" s="29"/>
      <c r="AA21" s="29"/>
      <c r="AB21" s="29"/>
      <c r="AC21" s="29"/>
      <c r="AD21" s="29"/>
      <c r="AE21" s="29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  <c r="WUL21" s="1"/>
      <c r="WUM21" s="1"/>
      <c r="WUN21" s="1"/>
      <c r="WUO21" s="1"/>
      <c r="WUP21" s="1"/>
      <c r="WUQ21" s="1"/>
      <c r="WUR21" s="1"/>
      <c r="WUS21" s="1"/>
      <c r="WUT21" s="1"/>
      <c r="WUU21" s="1"/>
      <c r="WUV21" s="1"/>
      <c r="WUW21" s="1"/>
      <c r="WUX21" s="1"/>
      <c r="WUY21" s="1"/>
      <c r="WUZ21" s="1"/>
      <c r="WVA21" s="1"/>
      <c r="WVB21" s="1"/>
      <c r="WVC21" s="1"/>
      <c r="WVD21" s="1"/>
      <c r="WVE21" s="1"/>
      <c r="WVF21" s="1"/>
      <c r="WVG21" s="1"/>
      <c r="WVH21" s="1"/>
      <c r="WVI21" s="1"/>
      <c r="WVJ21" s="1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1"/>
      <c r="WWM21" s="1"/>
      <c r="WWN21" s="1"/>
      <c r="WWO21" s="1"/>
      <c r="WWP21" s="1"/>
      <c r="WWQ21" s="1"/>
      <c r="WWR21" s="1"/>
      <c r="WWS21" s="1"/>
      <c r="WWT21" s="1"/>
      <c r="WWU21" s="1"/>
      <c r="WWV21" s="1"/>
      <c r="WWW21" s="1"/>
      <c r="WWX21" s="1"/>
      <c r="WWY21" s="1"/>
      <c r="WWZ21" s="1"/>
      <c r="WXA21" s="1"/>
      <c r="WXB21" s="1"/>
      <c r="WXC21" s="1"/>
      <c r="WXD21" s="1"/>
      <c r="WXE21" s="1"/>
      <c r="WXF21" s="1"/>
      <c r="WXG21" s="1"/>
      <c r="WXH21" s="1"/>
      <c r="WXI21" s="1"/>
      <c r="WXJ21" s="1"/>
      <c r="WXK21" s="1"/>
      <c r="WXL21" s="1"/>
      <c r="WXM21" s="1"/>
      <c r="WXN21" s="1"/>
      <c r="WXO21" s="1"/>
      <c r="WXP21" s="1"/>
      <c r="WXQ21" s="1"/>
      <c r="WXR21" s="1"/>
      <c r="WXS21" s="1"/>
      <c r="WXT21" s="1"/>
      <c r="WXU21" s="1"/>
      <c r="WXV21" s="1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1"/>
      <c r="WYY21" s="1"/>
      <c r="WYZ21" s="1"/>
      <c r="WZA21" s="1"/>
      <c r="WZB21" s="1"/>
      <c r="WZC21" s="1"/>
      <c r="WZD21" s="1"/>
      <c r="WZE21" s="1"/>
      <c r="WZF21" s="1"/>
      <c r="WZG21" s="1"/>
      <c r="WZH21" s="1"/>
      <c r="WZI21" s="1"/>
      <c r="WZJ21" s="1"/>
      <c r="WZK21" s="1"/>
      <c r="WZL21" s="1"/>
      <c r="WZM21" s="1"/>
      <c r="WZN21" s="1"/>
      <c r="WZO21" s="1"/>
      <c r="WZP21" s="1"/>
      <c r="WZQ21" s="1"/>
      <c r="WZR21" s="1"/>
      <c r="WZS21" s="1"/>
      <c r="WZT21" s="1"/>
      <c r="WZU21" s="1"/>
      <c r="WZV21" s="1"/>
      <c r="WZW21" s="1"/>
      <c r="WZX21" s="1"/>
      <c r="WZY21" s="1"/>
      <c r="WZZ21" s="1"/>
      <c r="XAA21" s="1"/>
      <c r="XAB21" s="1"/>
      <c r="XAC21" s="1"/>
      <c r="XAD21" s="1"/>
      <c r="XAE21" s="1"/>
      <c r="XAF21" s="1"/>
      <c r="XAG21" s="1"/>
      <c r="XAH21" s="1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1"/>
      <c r="XBK21" s="1"/>
      <c r="XBL21" s="1"/>
      <c r="XBM21" s="1"/>
      <c r="XBN21" s="1"/>
      <c r="XBO21" s="1"/>
      <c r="XBP21" s="1"/>
      <c r="XBQ21" s="1"/>
      <c r="XBR21" s="1"/>
      <c r="XBS21" s="1"/>
      <c r="XBT21" s="1"/>
      <c r="XBU21" s="1"/>
      <c r="XBV21" s="1"/>
      <c r="XBW21" s="1"/>
      <c r="XBX21" s="1"/>
      <c r="XBY21" s="1"/>
      <c r="XBZ21" s="1"/>
      <c r="XCA21" s="1"/>
      <c r="XCB21" s="1"/>
      <c r="XCC21" s="1"/>
      <c r="XCD21" s="1"/>
      <c r="XCE21" s="1"/>
      <c r="XCF21" s="1"/>
      <c r="XCG21" s="1"/>
      <c r="XCH21" s="1"/>
      <c r="XCI21" s="1"/>
      <c r="XCJ21" s="1"/>
      <c r="XCK21" s="1"/>
      <c r="XCL21" s="1"/>
      <c r="XCM21" s="1"/>
      <c r="XCN21" s="1"/>
      <c r="XCO21" s="1"/>
      <c r="XCP21" s="1"/>
      <c r="XCQ21" s="1"/>
      <c r="XCR21" s="1"/>
      <c r="XCS21" s="1"/>
      <c r="XCT21" s="1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1"/>
      <c r="XDU21" s="1"/>
      <c r="XDV21" s="1"/>
      <c r="XDW21" s="1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  <c r="XEQ21" s="1"/>
      <c r="XER21" s="1"/>
      <c r="XES21" s="1"/>
      <c r="XET21" s="1"/>
      <c r="XEU21" s="1"/>
      <c r="XEV21" s="1"/>
      <c r="XEW21" s="1"/>
      <c r="XEX21" s="1"/>
      <c r="XEY21" s="1"/>
      <c r="XEZ21" s="1"/>
      <c r="XFA21" s="1"/>
      <c r="XFB21" s="1"/>
      <c r="XFC21" s="1"/>
      <c r="XFD21" s="1"/>
    </row>
    <row r="22" spans="1:16384" ht="18.75" x14ac:dyDescent="0.3">
      <c r="A22" s="21" t="s">
        <v>41</v>
      </c>
      <c r="B22" s="30">
        <f>'Single HUB DEB Calculation'!E18</f>
        <v>0</v>
      </c>
      <c r="C22" s="14"/>
      <c r="D22" s="14"/>
      <c r="E22" s="14"/>
      <c r="F22" s="58"/>
      <c r="G22" s="59">
        <f t="shared" si="6"/>
        <v>0</v>
      </c>
      <c r="H22" s="59" t="e">
        <f t="shared" si="7"/>
        <v>#NUM!</v>
      </c>
      <c r="I22" s="59" t="e">
        <f t="shared" si="8"/>
        <v>#NUM!</v>
      </c>
      <c r="J22" s="59" t="e">
        <f t="shared" si="9"/>
        <v>#NUM!</v>
      </c>
      <c r="K22" s="58"/>
      <c r="L22" s="60" t="str">
        <f t="shared" si="0"/>
        <v>Mid C</v>
      </c>
      <c r="M22" s="60" t="e">
        <f t="shared" si="1"/>
        <v>#NUM!</v>
      </c>
      <c r="N22" s="60" t="e">
        <f t="shared" si="2"/>
        <v>#NUM!</v>
      </c>
      <c r="O22" s="60" t="e">
        <f t="shared" si="3"/>
        <v>#NUM!</v>
      </c>
      <c r="P22" s="58"/>
      <c r="Q22" s="61">
        <f t="shared" si="4"/>
        <v>1000</v>
      </c>
      <c r="R22" s="61" t="e">
        <f>MAX(0,MIN(HLOOKUP(M22,HubTx,2,),ResourceMW-SUM($Q22:Q22)))</f>
        <v>#NUM!</v>
      </c>
      <c r="S22" s="61" t="e">
        <f>MAX(0,MIN(HLOOKUP(N22,HubTx,2,),ResourceMW-SUM($Q22:R22)))</f>
        <v>#NUM!</v>
      </c>
      <c r="T22" s="61" t="e">
        <f>MAX(0,MIN(HLOOKUP(O22,$B$10:$E$11,2,),ResourceMW-SUM($Q22:S22)))</f>
        <v>#NUM!</v>
      </c>
      <c r="U22" s="62"/>
      <c r="V22" s="63" t="e">
        <f t="shared" si="5"/>
        <v>#NUM!</v>
      </c>
      <c r="W22" s="16"/>
      <c r="X22" s="16"/>
      <c r="Y22" s="16"/>
      <c r="Z22" s="16"/>
      <c r="AA22" s="16"/>
      <c r="AB22" s="16"/>
      <c r="AC22" s="16"/>
      <c r="AD22" s="16"/>
      <c r="AE22" s="16"/>
    </row>
    <row r="23" spans="1:16384" ht="18.75" x14ac:dyDescent="0.3">
      <c r="A23" s="21" t="s">
        <v>43</v>
      </c>
      <c r="B23" s="30">
        <f>'Single HUB DEB Calculation'!E19</f>
        <v>0</v>
      </c>
      <c r="C23" s="13"/>
      <c r="D23" s="13"/>
      <c r="E23" s="13"/>
      <c r="F23" s="16"/>
      <c r="G23" s="47">
        <f t="shared" si="6"/>
        <v>0</v>
      </c>
      <c r="H23" s="48" t="e">
        <f t="shared" si="7"/>
        <v>#NUM!</v>
      </c>
      <c r="I23" s="48" t="e">
        <f t="shared" si="8"/>
        <v>#NUM!</v>
      </c>
      <c r="J23" s="48" t="e">
        <f t="shared" si="9"/>
        <v>#NUM!</v>
      </c>
      <c r="K23" s="16"/>
      <c r="L23" s="49" t="str">
        <f t="shared" si="0"/>
        <v>Mid C</v>
      </c>
      <c r="M23" s="49" t="e">
        <f t="shared" si="1"/>
        <v>#NUM!</v>
      </c>
      <c r="N23" s="49" t="e">
        <f t="shared" si="2"/>
        <v>#NUM!</v>
      </c>
      <c r="O23" s="49" t="e">
        <f t="shared" si="3"/>
        <v>#NUM!</v>
      </c>
      <c r="P23" s="16"/>
      <c r="Q23" s="50">
        <f t="shared" si="4"/>
        <v>1000</v>
      </c>
      <c r="R23" s="50" t="e">
        <f>MAX(0,MIN(HLOOKUP(M23,HubTx,2,),ResourceMW-SUM($Q23:Q23)))</f>
        <v>#NUM!</v>
      </c>
      <c r="S23" s="50" t="e">
        <f>MAX(0,MIN(HLOOKUP(N23,HubTx,2,),ResourceMW-SUM($Q23:R23)))</f>
        <v>#NUM!</v>
      </c>
      <c r="T23" s="50" t="e">
        <f>MAX(0,MIN(HLOOKUP(O23,$B$10:$E$11,2,),ResourceMW-SUM($Q23:S23)))</f>
        <v>#NUM!</v>
      </c>
      <c r="U23" s="51"/>
      <c r="V23" s="52" t="e">
        <f t="shared" si="5"/>
        <v>#NUM!</v>
      </c>
      <c r="W23" s="16"/>
      <c r="X23" s="16"/>
      <c r="Y23" s="16"/>
      <c r="Z23" s="16"/>
      <c r="AA23" s="16"/>
      <c r="AB23" s="16"/>
      <c r="AC23" s="51"/>
      <c r="AD23" s="51"/>
      <c r="AE23" s="16"/>
      <c r="AF23" s="2"/>
    </row>
    <row r="24" spans="1:16384" ht="18.75" x14ac:dyDescent="0.3">
      <c r="A24" s="21" t="s">
        <v>45</v>
      </c>
      <c r="B24" s="30">
        <f>'Single HUB DEB Calculation'!E20</f>
        <v>0</v>
      </c>
      <c r="C24" s="13"/>
      <c r="D24" s="13"/>
      <c r="E24" s="13"/>
      <c r="F24" s="16"/>
      <c r="G24" s="47">
        <f t="shared" si="6"/>
        <v>0</v>
      </c>
      <c r="H24" s="48" t="e">
        <f t="shared" si="7"/>
        <v>#NUM!</v>
      </c>
      <c r="I24" s="48" t="e">
        <f t="shared" si="8"/>
        <v>#NUM!</v>
      </c>
      <c r="J24" s="48" t="e">
        <f t="shared" si="9"/>
        <v>#NUM!</v>
      </c>
      <c r="K24" s="16"/>
      <c r="L24" s="49" t="str">
        <f t="shared" si="0"/>
        <v>Mid C</v>
      </c>
      <c r="M24" s="49" t="e">
        <f t="shared" si="1"/>
        <v>#NUM!</v>
      </c>
      <c r="N24" s="49" t="e">
        <f t="shared" si="2"/>
        <v>#NUM!</v>
      </c>
      <c r="O24" s="49" t="e">
        <f t="shared" si="3"/>
        <v>#NUM!</v>
      </c>
      <c r="P24" s="16"/>
      <c r="Q24" s="50">
        <f t="shared" si="4"/>
        <v>1000</v>
      </c>
      <c r="R24" s="50" t="e">
        <f>MAX(0,MIN(HLOOKUP(M24,HubTx,2,),ResourceMW-SUM($Q24:Q24)))</f>
        <v>#NUM!</v>
      </c>
      <c r="S24" s="50" t="e">
        <f>MAX(0,MIN(HLOOKUP(N24,HubTx,2,),ResourceMW-SUM($Q24:R24)))</f>
        <v>#NUM!</v>
      </c>
      <c r="T24" s="50" t="e">
        <f>MAX(0,MIN(HLOOKUP(O24,$B$10:$E$11,2,),ResourceMW-SUM($Q24:S24)))</f>
        <v>#NUM!</v>
      </c>
      <c r="U24" s="51"/>
      <c r="V24" s="52" t="e">
        <f t="shared" si="5"/>
        <v>#NUM!</v>
      </c>
      <c r="W24" s="16"/>
      <c r="X24" s="16"/>
      <c r="Y24" s="16"/>
      <c r="Z24" s="16"/>
      <c r="AA24" s="16"/>
      <c r="AB24" s="16"/>
      <c r="AC24" s="51"/>
      <c r="AD24" s="51"/>
      <c r="AE24" s="16"/>
      <c r="AF24" s="2"/>
    </row>
    <row r="25" spans="1:16384" ht="18.75" x14ac:dyDescent="0.3">
      <c r="A25" s="21" t="s">
        <v>46</v>
      </c>
      <c r="B25" s="30">
        <f>'Single HUB DEB Calculation'!E21</f>
        <v>0</v>
      </c>
      <c r="C25" s="13"/>
      <c r="D25" s="13"/>
      <c r="E25" s="13"/>
      <c r="F25" s="16"/>
      <c r="G25" s="47">
        <f t="shared" si="6"/>
        <v>0</v>
      </c>
      <c r="H25" s="48" t="e">
        <f t="shared" si="7"/>
        <v>#NUM!</v>
      </c>
      <c r="I25" s="48" t="e">
        <f t="shared" si="8"/>
        <v>#NUM!</v>
      </c>
      <c r="J25" s="48" t="e">
        <f t="shared" si="9"/>
        <v>#NUM!</v>
      </c>
      <c r="K25" s="16"/>
      <c r="L25" s="49" t="str">
        <f t="shared" si="0"/>
        <v>Mid C</v>
      </c>
      <c r="M25" s="49" t="e">
        <f t="shared" si="1"/>
        <v>#NUM!</v>
      </c>
      <c r="N25" s="49" t="e">
        <f t="shared" si="2"/>
        <v>#NUM!</v>
      </c>
      <c r="O25" s="49" t="e">
        <f t="shared" si="3"/>
        <v>#NUM!</v>
      </c>
      <c r="P25" s="16"/>
      <c r="Q25" s="50">
        <f t="shared" si="4"/>
        <v>1000</v>
      </c>
      <c r="R25" s="50" t="e">
        <f>MAX(0,MIN(HLOOKUP(M25,HubTx,2,),ResourceMW-SUM($Q25:Q25)))</f>
        <v>#NUM!</v>
      </c>
      <c r="S25" s="50" t="e">
        <f>MAX(0,MIN(HLOOKUP(N25,HubTx,2,),ResourceMW-SUM($Q25:R25)))</f>
        <v>#NUM!</v>
      </c>
      <c r="T25" s="50" t="e">
        <f>MAX(0,MIN(HLOOKUP(O25,$B$10:$E$11,2,),ResourceMW-SUM($Q25:S25)))</f>
        <v>#NUM!</v>
      </c>
      <c r="U25" s="51"/>
      <c r="V25" s="52" t="e">
        <f t="shared" si="5"/>
        <v>#NUM!</v>
      </c>
      <c r="W25" s="16"/>
      <c r="X25" s="16"/>
      <c r="Y25" s="16"/>
      <c r="Z25" s="16"/>
      <c r="AA25" s="16"/>
      <c r="AB25" s="16"/>
      <c r="AC25" s="51"/>
      <c r="AD25" s="51"/>
      <c r="AE25" s="16"/>
      <c r="AF25" s="2"/>
    </row>
    <row r="26" spans="1:16384" ht="18.75" x14ac:dyDescent="0.3">
      <c r="A26" s="21" t="s">
        <v>50</v>
      </c>
      <c r="B26" s="30">
        <f>'Single HUB DEB Calculation'!E22</f>
        <v>0</v>
      </c>
      <c r="C26" s="13"/>
      <c r="D26" s="13"/>
      <c r="E26" s="13"/>
      <c r="F26" s="16"/>
      <c r="G26" s="47">
        <f t="shared" si="6"/>
        <v>0</v>
      </c>
      <c r="H26" s="48" t="e">
        <f t="shared" si="7"/>
        <v>#NUM!</v>
      </c>
      <c r="I26" s="48" t="e">
        <f t="shared" si="8"/>
        <v>#NUM!</v>
      </c>
      <c r="J26" s="48" t="e">
        <f t="shared" si="9"/>
        <v>#NUM!</v>
      </c>
      <c r="K26" s="16"/>
      <c r="L26" s="49" t="str">
        <f t="shared" ref="L26" si="10">INDEX(HubNames,1,MATCH(G26,$B26:$E26,0))</f>
        <v>Mid C</v>
      </c>
      <c r="M26" s="49" t="e">
        <f t="shared" ref="M26" si="11">INDEX(HubNames,1,MATCH(H26,$B26:$E26,0))</f>
        <v>#NUM!</v>
      </c>
      <c r="N26" s="49" t="e">
        <f t="shared" ref="N26" si="12">INDEX(HubNames,1,MATCH(I26,$B26:$E26,0))</f>
        <v>#NUM!</v>
      </c>
      <c r="O26" s="49" t="e">
        <f t="shared" ref="O26" si="13">INDEX(HubNames,1,MATCH(J26,$B26:$E26,0))</f>
        <v>#NUM!</v>
      </c>
      <c r="P26" s="16"/>
      <c r="Q26" s="50">
        <f t="shared" ref="Q26" si="14">MIN(ResourceMW,HLOOKUP(L26,HubTx,2,))</f>
        <v>1000</v>
      </c>
      <c r="R26" s="50" t="e">
        <f>MAX(0,MIN(HLOOKUP(M26,HubTx,2,),ResourceMW-SUM($Q26:Q26)))</f>
        <v>#NUM!</v>
      </c>
      <c r="S26" s="50" t="e">
        <f>MAX(0,MIN(HLOOKUP(N26,HubTx,2,),ResourceMW-SUM($Q26:R26)))</f>
        <v>#NUM!</v>
      </c>
      <c r="T26" s="50" t="e">
        <f>MAX(0,MIN(HLOOKUP(O26,$B$10:$E$11,2,),ResourceMW-SUM($Q26:S26)))</f>
        <v>#NUM!</v>
      </c>
      <c r="U26" s="51"/>
      <c r="V26" s="52" t="e">
        <f t="shared" ref="V26" si="15">SUMPRODUCT(G26:J26,Q26:T26)/ResourceMW</f>
        <v>#NUM!</v>
      </c>
      <c r="W26" s="16"/>
      <c r="X26" s="16"/>
      <c r="Y26" s="16"/>
      <c r="Z26" s="16"/>
      <c r="AA26" s="16"/>
      <c r="AB26" s="16"/>
      <c r="AC26" s="16"/>
      <c r="AD26" s="16"/>
      <c r="AE26" s="16"/>
    </row>
    <row r="27" spans="1:16384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16384" ht="21" x14ac:dyDescent="0.35">
      <c r="A28" s="3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16384" s="7" customFormat="1" ht="21" x14ac:dyDescent="0.35">
      <c r="A29" s="38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16384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16384" s="7" customFormat="1" ht="15.75" thickBot="1" x14ac:dyDescent="0.3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16384" ht="18.75" x14ac:dyDescent="0.3">
      <c r="A32" s="16"/>
      <c r="B32" s="64"/>
      <c r="C32" s="65"/>
      <c r="D32" s="66"/>
      <c r="E32" s="67"/>
      <c r="F32" s="67"/>
      <c r="G32" s="67"/>
      <c r="H32" s="67"/>
      <c r="I32" s="67"/>
      <c r="J32" s="67"/>
      <c r="K32" s="67"/>
      <c r="L32" s="67"/>
      <c r="M32" s="67"/>
      <c r="N32" s="68"/>
      <c r="O32" s="37"/>
      <c r="P32" s="37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8.75" x14ac:dyDescent="0.3">
      <c r="A33" s="16"/>
      <c r="B33" s="69" t="s">
        <v>55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1"/>
      <c r="O33" s="37"/>
      <c r="P33" s="37"/>
      <c r="Q33" s="16"/>
      <c r="R33" s="16"/>
      <c r="S33" s="16"/>
      <c r="T33" s="16"/>
      <c r="U33" s="16"/>
      <c r="V33" s="16"/>
      <c r="W33" s="16"/>
      <c r="X33" s="72"/>
      <c r="Y33" s="16"/>
      <c r="Z33" s="16"/>
      <c r="AA33" s="16"/>
      <c r="AB33" s="16"/>
      <c r="AC33" s="16"/>
      <c r="AD33" s="16"/>
      <c r="AE33" s="16"/>
    </row>
    <row r="34" spans="1:31" ht="18.75" x14ac:dyDescent="0.3">
      <c r="A34" s="16"/>
      <c r="B34" s="73"/>
      <c r="C34" s="74"/>
      <c r="D34" s="74"/>
      <c r="E34" s="70"/>
      <c r="F34" s="70"/>
      <c r="G34" s="70"/>
      <c r="H34" s="70"/>
      <c r="I34" s="75" t="str">
        <f>L22</f>
        <v>Mid C</v>
      </c>
      <c r="J34" s="75" t="e">
        <f>M22</f>
        <v>#NUM!</v>
      </c>
      <c r="K34" s="75" t="e">
        <f>N22</f>
        <v>#NUM!</v>
      </c>
      <c r="L34" s="75" t="e">
        <f>O22</f>
        <v>#NUM!</v>
      </c>
      <c r="M34" s="16"/>
      <c r="N34" s="71"/>
      <c r="O34" s="37"/>
      <c r="P34" s="37"/>
      <c r="Q34" s="16"/>
      <c r="R34" s="16"/>
      <c r="S34" s="76"/>
      <c r="T34" s="16"/>
      <c r="U34" s="16"/>
      <c r="V34" s="16"/>
      <c r="W34" s="16"/>
      <c r="X34" s="76"/>
      <c r="Y34" s="16"/>
      <c r="Z34" s="16"/>
      <c r="AA34" s="16"/>
      <c r="AB34" s="16"/>
      <c r="AC34" s="16"/>
      <c r="AD34" s="16"/>
      <c r="AE34" s="16"/>
    </row>
    <row r="35" spans="1:31" ht="18.75" x14ac:dyDescent="0.3">
      <c r="A35" s="16"/>
      <c r="B35" s="77">
        <v>1</v>
      </c>
      <c r="C35" s="70" t="s">
        <v>31</v>
      </c>
      <c r="D35" s="74"/>
      <c r="E35" s="70"/>
      <c r="F35" s="70"/>
      <c r="G35" s="70"/>
      <c r="H35" s="70"/>
      <c r="I35" s="78">
        <f>G22</f>
        <v>0</v>
      </c>
      <c r="J35" s="78" t="e">
        <f>H22</f>
        <v>#NUM!</v>
      </c>
      <c r="K35" s="78" t="e">
        <f>I22</f>
        <v>#NUM!</v>
      </c>
      <c r="L35" s="78" t="e">
        <f>J22</f>
        <v>#NUM!</v>
      </c>
      <c r="M35" s="16"/>
      <c r="N35" s="71"/>
      <c r="O35" s="37"/>
      <c r="P35" s="37"/>
      <c r="Q35" s="16"/>
      <c r="R35" s="16"/>
      <c r="S35" s="76"/>
      <c r="T35" s="16"/>
      <c r="U35" s="16"/>
      <c r="V35" s="16"/>
      <c r="W35" s="16"/>
      <c r="X35" s="76"/>
      <c r="Y35" s="16"/>
      <c r="Z35" s="16"/>
      <c r="AA35" s="16"/>
      <c r="AB35" s="16"/>
      <c r="AC35" s="16"/>
      <c r="AD35" s="16"/>
      <c r="AE35" s="16"/>
    </row>
    <row r="36" spans="1:31" ht="18.75" x14ac:dyDescent="0.3">
      <c r="A36" s="16"/>
      <c r="B36" s="77">
        <v>2</v>
      </c>
      <c r="C36" s="70" t="s">
        <v>21</v>
      </c>
      <c r="D36" s="74"/>
      <c r="E36" s="70"/>
      <c r="F36" s="70"/>
      <c r="G36" s="70"/>
      <c r="H36" s="70"/>
      <c r="I36" s="79">
        <f>Q22</f>
        <v>1000</v>
      </c>
      <c r="J36" s="79" t="e">
        <f>R22</f>
        <v>#NUM!</v>
      </c>
      <c r="K36" s="79" t="e">
        <f>S22</f>
        <v>#NUM!</v>
      </c>
      <c r="L36" s="79" t="e">
        <f>T22</f>
        <v>#NUM!</v>
      </c>
      <c r="M36" s="16"/>
      <c r="N36" s="71"/>
      <c r="O36" s="37"/>
      <c r="P36" s="37"/>
      <c r="Q36" s="16"/>
      <c r="R36" s="16"/>
      <c r="S36" s="76"/>
      <c r="T36" s="16"/>
      <c r="U36" s="16"/>
      <c r="V36" s="16"/>
      <c r="W36" s="16"/>
      <c r="X36" s="76"/>
      <c r="Y36" s="16"/>
      <c r="Z36" s="16"/>
      <c r="AA36" s="16"/>
      <c r="AB36" s="16"/>
      <c r="AC36" s="16"/>
      <c r="AD36" s="16"/>
      <c r="AE36" s="16"/>
    </row>
    <row r="37" spans="1:31" ht="18.75" x14ac:dyDescent="0.3">
      <c r="A37" s="16"/>
      <c r="B37" s="77">
        <v>3</v>
      </c>
      <c r="C37" s="70" t="s">
        <v>6</v>
      </c>
      <c r="D37" s="70"/>
      <c r="E37" s="70"/>
      <c r="F37" s="70"/>
      <c r="G37" s="70"/>
      <c r="H37" s="70"/>
      <c r="I37" s="70"/>
      <c r="J37" s="74"/>
      <c r="K37" s="74"/>
      <c r="L37" s="74"/>
      <c r="M37" s="74"/>
      <c r="N37" s="71"/>
      <c r="O37" s="37"/>
      <c r="P37" s="37"/>
      <c r="Q37" s="16"/>
      <c r="R37" s="16"/>
      <c r="S37" s="76"/>
      <c r="T37" s="16"/>
      <c r="U37" s="16"/>
      <c r="V37" s="16"/>
      <c r="W37" s="16"/>
      <c r="X37" s="76"/>
      <c r="Y37" s="16"/>
      <c r="Z37" s="16"/>
      <c r="AA37" s="16"/>
      <c r="AB37" s="16"/>
      <c r="AC37" s="16"/>
      <c r="AD37" s="16"/>
      <c r="AE37" s="16"/>
    </row>
    <row r="38" spans="1:31" ht="18.75" x14ac:dyDescent="0.3">
      <c r="A38" s="16"/>
      <c r="B38" s="73"/>
      <c r="C38" s="74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  <c r="O38" s="37"/>
      <c r="P38" s="37"/>
      <c r="Q38" s="16"/>
      <c r="R38" s="16"/>
      <c r="S38" s="76"/>
      <c r="T38" s="16"/>
      <c r="U38" s="16"/>
      <c r="V38" s="16"/>
      <c r="W38" s="16"/>
      <c r="X38" s="76"/>
      <c r="Y38" s="16"/>
      <c r="Z38" s="16"/>
      <c r="AA38" s="16"/>
      <c r="AB38" s="16"/>
      <c r="AC38" s="16"/>
      <c r="AD38" s="16"/>
      <c r="AE38" s="16"/>
    </row>
    <row r="39" spans="1:31" ht="18.75" x14ac:dyDescent="0.3">
      <c r="A39" s="16"/>
      <c r="B39" s="73"/>
      <c r="C39" s="70"/>
      <c r="D39" s="80">
        <f>I36</f>
        <v>1000</v>
      </c>
      <c r="E39" s="70" t="s">
        <v>4</v>
      </c>
      <c r="F39" s="74"/>
      <c r="G39" s="81" t="str">
        <f>I34&amp;" at a price of "</f>
        <v xml:space="preserve">Mid C at a price of </v>
      </c>
      <c r="H39" s="82"/>
      <c r="I39" s="83">
        <f>I35</f>
        <v>0</v>
      </c>
      <c r="J39" s="74" t="s">
        <v>32</v>
      </c>
      <c r="K39" s="84">
        <f>D39*I39</f>
        <v>0</v>
      </c>
      <c r="L39" s="16"/>
      <c r="M39" s="74"/>
      <c r="N39" s="85"/>
      <c r="O39" s="16"/>
      <c r="P39" s="16"/>
      <c r="Q39" s="16"/>
      <c r="R39" s="16"/>
      <c r="S39" s="76"/>
      <c r="T39" s="16"/>
      <c r="U39" s="16"/>
      <c r="V39" s="16"/>
      <c r="W39" s="16"/>
      <c r="X39" s="76"/>
      <c r="Y39" s="16"/>
      <c r="Z39" s="16"/>
      <c r="AA39" s="16"/>
      <c r="AB39" s="16"/>
      <c r="AC39" s="16"/>
      <c r="AD39" s="16"/>
      <c r="AE39" s="16"/>
    </row>
    <row r="40" spans="1:31" ht="18.75" x14ac:dyDescent="0.3">
      <c r="A40" s="16"/>
      <c r="B40" s="73"/>
      <c r="C40" s="70"/>
      <c r="D40" s="80" t="e">
        <f>J36</f>
        <v>#NUM!</v>
      </c>
      <c r="E40" s="70" t="s">
        <v>4</v>
      </c>
      <c r="F40" s="74"/>
      <c r="G40" s="81" t="e">
        <f>J34&amp;" at a price of "</f>
        <v>#NUM!</v>
      </c>
      <c r="H40" s="82"/>
      <c r="I40" s="83" t="e">
        <f>J35</f>
        <v>#NUM!</v>
      </c>
      <c r="J40" s="74" t="s">
        <v>32</v>
      </c>
      <c r="K40" s="84" t="e">
        <f>D40*I40</f>
        <v>#NUM!</v>
      </c>
      <c r="L40" s="16"/>
      <c r="M40" s="74"/>
      <c r="N40" s="85"/>
      <c r="O40" s="16"/>
      <c r="P40" s="16"/>
      <c r="Q40" s="16"/>
      <c r="R40" s="16"/>
      <c r="S40" s="76"/>
      <c r="T40" s="16"/>
      <c r="U40" s="16"/>
      <c r="V40" s="16"/>
      <c r="W40" s="16"/>
      <c r="X40" s="76"/>
      <c r="Y40" s="16"/>
      <c r="Z40" s="16"/>
      <c r="AA40" s="16"/>
      <c r="AB40" s="16"/>
      <c r="AC40" s="16"/>
      <c r="AD40" s="16"/>
      <c r="AE40" s="16"/>
    </row>
    <row r="41" spans="1:31" ht="18.75" x14ac:dyDescent="0.3">
      <c r="A41" s="16"/>
      <c r="B41" s="73"/>
      <c r="C41" s="70"/>
      <c r="D41" s="80" t="e">
        <f>K36</f>
        <v>#NUM!</v>
      </c>
      <c r="E41" s="70" t="s">
        <v>4</v>
      </c>
      <c r="F41" s="74"/>
      <c r="G41" s="81" t="e">
        <f>K34&amp;" at a price of "</f>
        <v>#NUM!</v>
      </c>
      <c r="H41" s="82"/>
      <c r="I41" s="83" t="e">
        <f>K35</f>
        <v>#NUM!</v>
      </c>
      <c r="J41" s="74" t="s">
        <v>32</v>
      </c>
      <c r="K41" s="84" t="e">
        <f>D41*I41</f>
        <v>#NUM!</v>
      </c>
      <c r="L41" s="16"/>
      <c r="M41" s="74"/>
      <c r="N41" s="85"/>
      <c r="O41" s="16"/>
      <c r="P41" s="16"/>
      <c r="Q41" s="16"/>
      <c r="R41" s="16"/>
      <c r="S41" s="76"/>
      <c r="T41" s="16"/>
      <c r="U41" s="16"/>
      <c r="V41" s="16"/>
      <c r="W41" s="16"/>
      <c r="X41" s="76"/>
      <c r="Y41" s="16"/>
      <c r="Z41" s="16"/>
      <c r="AA41" s="16"/>
      <c r="AB41" s="16"/>
      <c r="AC41" s="16"/>
      <c r="AD41" s="16"/>
      <c r="AE41" s="16"/>
    </row>
    <row r="42" spans="1:31" ht="18.75" x14ac:dyDescent="0.3">
      <c r="A42" s="16"/>
      <c r="B42" s="73"/>
      <c r="C42" s="70"/>
      <c r="D42" s="80" t="e">
        <f>L36</f>
        <v>#NUM!</v>
      </c>
      <c r="E42" s="70" t="s">
        <v>4</v>
      </c>
      <c r="F42" s="74"/>
      <c r="G42" s="81" t="e">
        <f>L34&amp;" at a price of "</f>
        <v>#NUM!</v>
      </c>
      <c r="H42" s="82"/>
      <c r="I42" s="83" t="e">
        <f>L35</f>
        <v>#NUM!</v>
      </c>
      <c r="J42" s="74" t="s">
        <v>32</v>
      </c>
      <c r="K42" s="84" t="e">
        <f>D42*I42</f>
        <v>#NUM!</v>
      </c>
      <c r="L42" s="16"/>
      <c r="M42" s="74"/>
      <c r="N42" s="85"/>
      <c r="O42" s="16"/>
      <c r="P42" s="16"/>
      <c r="Q42" s="16"/>
      <c r="R42" s="16"/>
      <c r="S42" s="76"/>
      <c r="T42" s="16"/>
      <c r="U42" s="16"/>
      <c r="V42" s="16"/>
      <c r="W42" s="16"/>
      <c r="X42" s="76"/>
      <c r="Y42" s="16"/>
      <c r="Z42" s="16"/>
      <c r="AA42" s="16"/>
      <c r="AB42" s="16"/>
      <c r="AC42" s="16"/>
      <c r="AD42" s="16"/>
      <c r="AE42" s="16"/>
    </row>
    <row r="43" spans="1:31" ht="18.75" x14ac:dyDescent="0.3">
      <c r="A43" s="16"/>
      <c r="B43" s="73"/>
      <c r="C43" s="70" t="s">
        <v>5</v>
      </c>
      <c r="D43" s="86" t="e">
        <f>SUM(D39:D42)</f>
        <v>#NUM!</v>
      </c>
      <c r="E43" s="70"/>
      <c r="F43" s="70"/>
      <c r="G43" s="70"/>
      <c r="H43" s="70"/>
      <c r="I43" s="74"/>
      <c r="J43" s="87" t="s">
        <v>5</v>
      </c>
      <c r="K43" s="84" t="e">
        <f>SUM(K39:K42)</f>
        <v>#NUM!</v>
      </c>
      <c r="L43" s="16"/>
      <c r="M43" s="74"/>
      <c r="N43" s="85"/>
      <c r="O43" s="16"/>
      <c r="P43" s="16"/>
      <c r="Q43" s="16"/>
      <c r="R43" s="16"/>
      <c r="S43" s="76"/>
      <c r="T43" s="16"/>
      <c r="U43" s="16"/>
      <c r="V43" s="16"/>
      <c r="W43" s="16"/>
      <c r="X43" s="76"/>
      <c r="Y43" s="16"/>
      <c r="Z43" s="16"/>
      <c r="AA43" s="16"/>
      <c r="AB43" s="16"/>
      <c r="AC43" s="16"/>
      <c r="AD43" s="16"/>
      <c r="AE43" s="16"/>
    </row>
    <row r="44" spans="1:31" x14ac:dyDescent="0.25">
      <c r="A44" s="16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85"/>
      <c r="O44" s="16"/>
      <c r="P44" s="16"/>
      <c r="Q44" s="16"/>
      <c r="R44" s="16"/>
      <c r="S44" s="76"/>
      <c r="T44" s="16"/>
      <c r="U44" s="16"/>
      <c r="V44" s="16"/>
      <c r="W44" s="16"/>
      <c r="X44" s="76"/>
      <c r="Y44" s="16"/>
      <c r="Z44" s="16"/>
      <c r="AA44" s="16"/>
      <c r="AB44" s="16"/>
      <c r="AC44" s="16"/>
      <c r="AD44" s="16"/>
      <c r="AE44" s="16"/>
    </row>
    <row r="45" spans="1:31" x14ac:dyDescent="0.25">
      <c r="A45" s="16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85"/>
      <c r="O45" s="16"/>
      <c r="P45" s="16"/>
      <c r="Q45" s="16"/>
      <c r="R45" s="16"/>
      <c r="S45" s="76"/>
      <c r="T45" s="16"/>
      <c r="U45" s="16"/>
      <c r="V45" s="16"/>
      <c r="W45" s="16"/>
      <c r="X45" s="76"/>
      <c r="Y45" s="16"/>
      <c r="Z45" s="16"/>
      <c r="AA45" s="16"/>
      <c r="AB45" s="16"/>
      <c r="AC45" s="16"/>
      <c r="AD45" s="16"/>
      <c r="AE45" s="16"/>
    </row>
    <row r="46" spans="1:31" ht="18.75" x14ac:dyDescent="0.3">
      <c r="A46" s="16"/>
      <c r="B46" s="73"/>
      <c r="C46" s="70" t="s">
        <v>22</v>
      </c>
      <c r="D46" s="88"/>
      <c r="E46" s="89" t="e">
        <f>K43</f>
        <v>#NUM!</v>
      </c>
      <c r="F46" s="90" t="s">
        <v>32</v>
      </c>
      <c r="G46" s="83" t="e">
        <f>E46/E47</f>
        <v>#NUM!</v>
      </c>
      <c r="H46" s="74"/>
      <c r="I46" s="74"/>
      <c r="J46" s="74"/>
      <c r="K46" s="74"/>
      <c r="L46" s="74"/>
      <c r="M46" s="74"/>
      <c r="N46" s="85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1:31" ht="19.5" thickBot="1" x14ac:dyDescent="0.35">
      <c r="A47" s="16"/>
      <c r="B47" s="91"/>
      <c r="C47" s="92"/>
      <c r="D47" s="92"/>
      <c r="E47" s="93" t="e">
        <f>D43</f>
        <v>#NUM!</v>
      </c>
      <c r="F47" s="92"/>
      <c r="G47" s="92"/>
      <c r="H47" s="92"/>
      <c r="I47" s="92"/>
      <c r="J47" s="92"/>
      <c r="K47" s="92"/>
      <c r="L47" s="92"/>
      <c r="M47" s="92"/>
      <c r="N47" s="94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1:31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</row>
    <row r="49" spans="1:31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</row>
    <row r="50" spans="1:31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</row>
    <row r="51" spans="1:31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</row>
    <row r="52" spans="1:31" x14ac:dyDescent="0.2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</row>
    <row r="53" spans="1:31" ht="18.75" x14ac:dyDescent="0.3">
      <c r="A53" s="10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</row>
    <row r="54" spans="1:31" x14ac:dyDescent="0.25">
      <c r="A54" s="16"/>
      <c r="B54" s="16"/>
      <c r="C54" s="16"/>
      <c r="D54" s="16"/>
      <c r="E54" s="95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</row>
    <row r="55" spans="1:31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</row>
    <row r="56" spans="1:31" x14ac:dyDescent="0.25">
      <c r="A56" s="16"/>
      <c r="B56" s="16"/>
      <c r="C56" s="16"/>
      <c r="D56" s="16"/>
      <c r="E56" s="16"/>
      <c r="F56" s="16"/>
      <c r="G56" s="29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</row>
  </sheetData>
  <sheetProtection sheet="1" objects="1" scenarios="1"/>
  <mergeCells count="1">
    <mergeCell ref="A4:B4"/>
  </mergeCells>
  <conditionalFormatting sqref="G19:J26">
    <cfRule type="colorScale" priority="2">
      <colorScale>
        <cfvo type="min"/>
        <cfvo type="max"/>
        <color rgb="FFFCFCFF"/>
        <color rgb="FF63BE7B"/>
      </colorScale>
    </cfRule>
  </conditionalFormatting>
  <conditionalFormatting sqref="I35:L35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scale="4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J39"/>
  <sheetViews>
    <sheetView zoomScaleNormal="100" workbookViewId="0">
      <selection activeCell="H26" sqref="H26"/>
    </sheetView>
  </sheetViews>
  <sheetFormatPr defaultRowHeight="15" x14ac:dyDescent="0.25"/>
  <cols>
    <col min="1" max="1" width="11.42578125" style="7" customWidth="1"/>
    <col min="2" max="2" width="9.140625" style="7"/>
    <col min="3" max="3" width="22.85546875" style="7" bestFit="1" customWidth="1"/>
    <col min="4" max="4" width="25.28515625" style="7" customWidth="1"/>
    <col min="5" max="5" width="26.5703125" style="7" bestFit="1" customWidth="1"/>
    <col min="6" max="6" width="26.85546875" style="7" bestFit="1" customWidth="1"/>
    <col min="7" max="7" width="26.7109375" style="7" bestFit="1" customWidth="1"/>
    <col min="8" max="8" width="26" style="7" bestFit="1" customWidth="1"/>
    <col min="9" max="9" width="26.28515625" style="7" customWidth="1"/>
    <col min="10" max="10" width="11" style="7" bestFit="1" customWidth="1"/>
    <col min="11" max="11" width="14.5703125" style="7" bestFit="1" customWidth="1"/>
    <col min="12" max="12" width="13.7109375" style="7" customWidth="1"/>
    <col min="13" max="16384" width="9.140625" style="7"/>
  </cols>
  <sheetData>
    <row r="1" spans="1:10" ht="18.75" x14ac:dyDescent="0.3">
      <c r="A1" s="101" t="s">
        <v>103</v>
      </c>
    </row>
    <row r="2" spans="1:10" ht="33.75" x14ac:dyDescent="0.5">
      <c r="A2" s="16"/>
      <c r="B2" s="17" t="s">
        <v>98</v>
      </c>
      <c r="C2" s="16"/>
      <c r="D2" s="16"/>
      <c r="E2" s="16"/>
      <c r="F2" s="16"/>
      <c r="G2" s="16"/>
      <c r="H2" s="16"/>
      <c r="I2" s="16"/>
      <c r="J2" s="16"/>
    </row>
    <row r="3" spans="1:10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18.75" x14ac:dyDescent="0.3">
      <c r="A6" s="16"/>
      <c r="B6" s="16"/>
      <c r="C6" s="16"/>
      <c r="D6" s="18"/>
      <c r="E6" s="16"/>
      <c r="F6" s="16"/>
      <c r="G6" s="16"/>
      <c r="H6" s="16"/>
      <c r="I6" s="16"/>
      <c r="J6" s="16"/>
    </row>
    <row r="7" spans="1:10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x14ac:dyDescent="0.25">
      <c r="A8" s="16"/>
      <c r="B8" s="16"/>
      <c r="C8" s="16"/>
      <c r="D8" s="16"/>
      <c r="E8" s="16"/>
      <c r="F8" s="16"/>
      <c r="G8" s="16"/>
      <c r="H8" s="16"/>
      <c r="I8" s="19"/>
      <c r="J8" s="16"/>
    </row>
    <row r="9" spans="1:10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21" x14ac:dyDescent="0.35">
      <c r="A13" s="16"/>
      <c r="B13" s="16"/>
      <c r="C13" s="43" t="s">
        <v>75</v>
      </c>
      <c r="D13" s="16"/>
      <c r="E13" s="16"/>
      <c r="F13" s="16"/>
      <c r="G13" s="16"/>
      <c r="H13" s="16"/>
      <c r="I13" s="16"/>
      <c r="J13" s="16"/>
    </row>
    <row r="14" spans="1:10" ht="21" x14ac:dyDescent="0.35">
      <c r="A14" s="16"/>
      <c r="B14" s="16"/>
      <c r="C14" s="20" t="str">
        <f>'Single HUB DEB Calculation'!C14</f>
        <v>Sumas Gas Prices</v>
      </c>
      <c r="D14" s="21"/>
      <c r="E14" s="22" t="s">
        <v>56</v>
      </c>
      <c r="F14" s="16"/>
      <c r="G14" s="20" t="str">
        <f>'Single HUB DEB Calculation'!G14</f>
        <v>Scalars</v>
      </c>
      <c r="I14" s="16"/>
      <c r="J14" s="16"/>
    </row>
    <row r="15" spans="1:10" ht="18.75" x14ac:dyDescent="0.3">
      <c r="A15" s="16"/>
      <c r="B15" s="21" t="str">
        <f>'Single HUB DEB Calculation'!B15</f>
        <v>DA</v>
      </c>
      <c r="C15" s="15">
        <f>'Single HUB DEB Calculation'!C15</f>
        <v>0</v>
      </c>
      <c r="D15" s="21" t="s">
        <v>66</v>
      </c>
      <c r="E15" s="15" t="e">
        <f>'Multiple Hub WAP Calculation'!V19</f>
        <v>#NUM!</v>
      </c>
      <c r="F15" s="21" t="str">
        <f>'Single HUB DEB Calculation'!F15</f>
        <v xml:space="preserve">Gas </v>
      </c>
      <c r="G15" s="31">
        <f>Gas_Scalar</f>
        <v>1.1000000000000001</v>
      </c>
      <c r="I15" s="16"/>
      <c r="J15" s="16"/>
    </row>
    <row r="16" spans="1:10" ht="18.75" x14ac:dyDescent="0.3">
      <c r="A16" s="16"/>
      <c r="B16" s="21" t="str">
        <f>'Single HUB DEB Calculation'!B16</f>
        <v>BOM</v>
      </c>
      <c r="C16" s="15">
        <f>'Single HUB DEB Calculation'!C16</f>
        <v>0</v>
      </c>
      <c r="D16" s="21" t="s">
        <v>67</v>
      </c>
      <c r="E16" s="15" t="e">
        <f>'Multiple Hub WAP Calculation'!V20</f>
        <v>#NUM!</v>
      </c>
      <c r="F16" s="21" t="str">
        <f>'Single HUB DEB Calculation'!F16</f>
        <v xml:space="preserve">Short Term </v>
      </c>
      <c r="G16" s="31">
        <f>ST_Scalar</f>
        <v>1.35</v>
      </c>
      <c r="I16" s="16"/>
      <c r="J16" s="16"/>
    </row>
    <row r="17" spans="1:10" ht="18.75" x14ac:dyDescent="0.3">
      <c r="A17" s="16"/>
      <c r="B17" s="16"/>
      <c r="C17" s="16"/>
      <c r="D17" s="21" t="s">
        <v>65</v>
      </c>
      <c r="E17" s="15" t="e">
        <f>'Multiple Hub WAP Calculation'!V21</f>
        <v>#NUM!</v>
      </c>
      <c r="F17" s="21" t="str">
        <f>'Single HUB DEB Calculation'!F17</f>
        <v xml:space="preserve">Long Term </v>
      </c>
      <c r="G17" s="31">
        <f>LT_Scalar</f>
        <v>1.1000000000000001</v>
      </c>
      <c r="I17" s="16"/>
      <c r="J17" s="16"/>
    </row>
    <row r="18" spans="1:10" ht="18.75" x14ac:dyDescent="0.3">
      <c r="A18" s="16"/>
      <c r="B18" s="21"/>
      <c r="C18" s="16"/>
      <c r="D18" s="21" t="s">
        <v>68</v>
      </c>
      <c r="E18" s="15" t="e">
        <f>'Multiple Hub WAP Calculation'!V22</f>
        <v>#NUM!</v>
      </c>
      <c r="F18" s="16"/>
      <c r="G18" s="16"/>
      <c r="I18" s="16"/>
      <c r="J18" s="16"/>
    </row>
    <row r="19" spans="1:10" ht="18.75" x14ac:dyDescent="0.3">
      <c r="A19" s="16"/>
      <c r="B19" s="21" t="str">
        <f>'Single HUB DEB Calculation'!B19</f>
        <v>GPI =</v>
      </c>
      <c r="C19" s="96">
        <f>'Single HUB DEB Calculation'!C19</f>
        <v>0</v>
      </c>
      <c r="D19" s="21" t="s">
        <v>69</v>
      </c>
      <c r="E19" s="15" t="e">
        <f>'Multiple Hub WAP Calculation'!V23</f>
        <v>#NUM!</v>
      </c>
      <c r="F19" s="16"/>
      <c r="G19" s="16"/>
      <c r="I19" s="16"/>
      <c r="J19" s="16"/>
    </row>
    <row r="20" spans="1:10" ht="18.75" x14ac:dyDescent="0.3">
      <c r="A20" s="16"/>
      <c r="B20" s="21"/>
      <c r="C20" s="22"/>
      <c r="D20" s="21" t="s">
        <v>70</v>
      </c>
      <c r="E20" s="15" t="e">
        <f>'Multiple Hub WAP Calculation'!V24</f>
        <v>#NUM!</v>
      </c>
      <c r="F20" s="16"/>
      <c r="G20" s="16"/>
      <c r="I20" s="16"/>
      <c r="J20" s="16"/>
    </row>
    <row r="21" spans="1:10" ht="18.75" x14ac:dyDescent="0.3">
      <c r="A21" s="16"/>
      <c r="B21" s="21" t="str">
        <f>'Single HUB DEB Calculation'!B21</f>
        <v xml:space="preserve">Gas Heat Rate= </v>
      </c>
      <c r="C21" s="34">
        <f>'Single HUB DEB Calculation'!C21</f>
        <v>0</v>
      </c>
      <c r="D21" s="21" t="s">
        <v>71</v>
      </c>
      <c r="E21" s="15" t="e">
        <f>'Multiple Hub WAP Calculation'!V25</f>
        <v>#NUM!</v>
      </c>
      <c r="F21" s="16"/>
      <c r="G21" s="16"/>
      <c r="I21" s="16"/>
      <c r="J21" s="16"/>
    </row>
    <row r="22" spans="1:10" ht="18.75" x14ac:dyDescent="0.3">
      <c r="A22" s="16"/>
      <c r="B22" s="16"/>
      <c r="C22" s="16"/>
      <c r="D22" s="21" t="s">
        <v>72</v>
      </c>
      <c r="E22" s="15" t="e">
        <f>'Multiple Hub WAP Calculation'!V26</f>
        <v>#NUM!</v>
      </c>
      <c r="F22" s="16"/>
      <c r="G22" s="16"/>
      <c r="I22" s="16"/>
      <c r="J22" s="16"/>
    </row>
    <row r="23" spans="1:10" ht="18.75" x14ac:dyDescent="0.3">
      <c r="A23" s="16"/>
      <c r="B23" s="21"/>
      <c r="C23" s="16"/>
      <c r="D23" s="16"/>
      <c r="E23" s="16"/>
      <c r="F23" s="16"/>
      <c r="G23" s="16"/>
      <c r="H23" s="16"/>
      <c r="I23" s="16"/>
      <c r="J23" s="16"/>
    </row>
    <row r="24" spans="1:10" ht="18.75" x14ac:dyDescent="0.3">
      <c r="A24" s="16"/>
      <c r="B24" s="21" t="str">
        <f>'Single HUB DEB Calculation'!B24</f>
        <v>Gas Floor =</v>
      </c>
      <c r="C24" s="22">
        <f>'Single HUB DEB Calculation'!C24</f>
        <v>0</v>
      </c>
      <c r="E24" s="16"/>
      <c r="F24" s="16"/>
      <c r="G24" s="16"/>
      <c r="H24" s="16"/>
      <c r="I24" s="16"/>
      <c r="J24" s="16"/>
    </row>
    <row r="25" spans="1:10" ht="18.75" x14ac:dyDescent="0.3">
      <c r="A25" s="16"/>
      <c r="B25" s="16"/>
      <c r="C25" s="23"/>
      <c r="E25" s="16"/>
      <c r="F25" s="16"/>
      <c r="G25" s="16"/>
      <c r="H25" s="16"/>
      <c r="I25" s="16"/>
      <c r="J25" s="16"/>
    </row>
    <row r="26" spans="1:10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39" x14ac:dyDescent="0.25">
      <c r="A27" s="99" t="s">
        <v>77</v>
      </c>
      <c r="B27" s="16"/>
      <c r="C27" s="16"/>
      <c r="D27" s="98" t="s">
        <v>80</v>
      </c>
      <c r="E27" s="98" t="s">
        <v>88</v>
      </c>
      <c r="F27" s="98" t="s">
        <v>89</v>
      </c>
      <c r="G27" s="98" t="s">
        <v>90</v>
      </c>
      <c r="H27" s="98" t="s">
        <v>91</v>
      </c>
      <c r="I27" s="98" t="s">
        <v>92</v>
      </c>
      <c r="J27" s="16"/>
    </row>
    <row r="28" spans="1:10" ht="18.75" x14ac:dyDescent="0.3">
      <c r="A28" s="16"/>
      <c r="B28" s="16"/>
      <c r="C28" s="24" t="s">
        <v>38</v>
      </c>
      <c r="D28" s="35">
        <f>C24</f>
        <v>0</v>
      </c>
      <c r="E28" s="35" t="e">
        <f>(E15)*ST_Scalar</f>
        <v>#NUM!</v>
      </c>
      <c r="F28" s="35" t="e">
        <f>(E16)*ST_Scalar</f>
        <v>#NUM!</v>
      </c>
      <c r="G28" s="35" t="e">
        <f>(E17)*ST_Scalar</f>
        <v>#NUM!</v>
      </c>
      <c r="H28" s="35" t="e">
        <f>(E18)*ST_Scalar</f>
        <v>#NUM!</v>
      </c>
      <c r="I28" s="35" t="e">
        <f>(E19)*ST_Scalar</f>
        <v>#NUM!</v>
      </c>
      <c r="J28" s="25" t="s">
        <v>44</v>
      </c>
    </row>
    <row r="29" spans="1:10" ht="19.5" thickBot="1" x14ac:dyDescent="0.35">
      <c r="A29" s="16"/>
      <c r="B29" s="16"/>
      <c r="C29" s="24"/>
      <c r="D29" s="24"/>
      <c r="E29" s="24"/>
      <c r="F29" s="24"/>
      <c r="G29" s="24"/>
      <c r="H29" s="24"/>
      <c r="I29" s="24"/>
      <c r="J29" s="24"/>
    </row>
    <row r="30" spans="1:10" ht="21.75" thickBot="1" x14ac:dyDescent="0.4">
      <c r="A30" s="16"/>
      <c r="B30" s="16"/>
      <c r="C30" s="26" t="s">
        <v>62</v>
      </c>
      <c r="D30" s="27" t="e">
        <f>MAX(D28:I28)</f>
        <v>#NUM!</v>
      </c>
      <c r="E30" s="24"/>
      <c r="F30" s="24"/>
      <c r="G30" s="24"/>
      <c r="H30" s="24"/>
      <c r="I30" s="24"/>
      <c r="J30" s="24"/>
    </row>
    <row r="31" spans="1:10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39" x14ac:dyDescent="0.25">
      <c r="A32" s="99" t="s">
        <v>78</v>
      </c>
      <c r="B32" s="100"/>
      <c r="C32" s="100"/>
      <c r="D32" s="98" t="s">
        <v>63</v>
      </c>
      <c r="E32" s="98" t="s">
        <v>94</v>
      </c>
      <c r="F32" s="98" t="s">
        <v>95</v>
      </c>
      <c r="G32" s="98" t="s">
        <v>96</v>
      </c>
      <c r="H32" s="16"/>
      <c r="I32" s="16"/>
      <c r="J32" s="16"/>
    </row>
    <row r="33" spans="1:10" ht="18.75" x14ac:dyDescent="0.3">
      <c r="A33" s="16"/>
      <c r="B33" s="16"/>
      <c r="C33" s="24" t="s">
        <v>48</v>
      </c>
      <c r="D33" s="28" t="e">
        <f>D30</f>
        <v>#NUM!</v>
      </c>
      <c r="E33" s="28" t="e">
        <f>E20*LT_Scalar</f>
        <v>#NUM!</v>
      </c>
      <c r="F33" s="28" t="e">
        <f>E21*LT_Scalar</f>
        <v>#NUM!</v>
      </c>
      <c r="G33" s="28" t="e">
        <f>E22*LT_Scalar</f>
        <v>#NUM!</v>
      </c>
      <c r="H33" s="25" t="s">
        <v>44</v>
      </c>
      <c r="I33" s="16"/>
      <c r="J33" s="16"/>
    </row>
    <row r="34" spans="1:10" ht="19.5" thickBot="1" x14ac:dyDescent="0.35">
      <c r="A34" s="16"/>
      <c r="B34" s="16"/>
      <c r="C34" s="24"/>
      <c r="D34" s="24"/>
      <c r="E34" s="24"/>
      <c r="F34" s="24"/>
      <c r="G34" s="24"/>
      <c r="H34" s="16"/>
      <c r="I34" s="16"/>
      <c r="J34" s="16"/>
    </row>
    <row r="35" spans="1:10" ht="21.75" thickBot="1" x14ac:dyDescent="0.4">
      <c r="A35" s="16"/>
      <c r="B35" s="16"/>
      <c r="C35" s="26" t="s">
        <v>79</v>
      </c>
      <c r="D35" s="27" t="e">
        <f>MAX(D33:G33)</f>
        <v>#NUM!</v>
      </c>
      <c r="E35" s="16"/>
      <c r="F35" s="16"/>
      <c r="G35" s="16"/>
      <c r="H35" s="16"/>
      <c r="I35" s="16"/>
      <c r="J35" s="16"/>
    </row>
    <row r="36" spans="1:10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9" spans="1:10" ht="18.75" x14ac:dyDescent="0.3">
      <c r="A39" s="101"/>
    </row>
  </sheetData>
  <sheetProtection sheet="1" objects="1" scenarios="1"/>
  <conditionalFormatting sqref="D28">
    <cfRule type="colorScale" priority="4">
      <colorScale>
        <cfvo type="min"/>
        <cfvo type="max"/>
        <color rgb="FFFCFCFF"/>
        <color rgb="FF63BE7B"/>
      </colorScale>
    </cfRule>
  </conditionalFormatting>
  <conditionalFormatting sqref="D33:G33">
    <cfRule type="colorScale" priority="3">
      <colorScale>
        <cfvo type="min"/>
        <cfvo type="max"/>
        <color rgb="FFFCFCFF"/>
        <color rgb="FF63BE7B"/>
      </colorScale>
    </cfRule>
  </conditionalFormatting>
  <conditionalFormatting sqref="E28:I28">
    <cfRule type="colorScale" priority="2">
      <colorScale>
        <cfvo type="min"/>
        <cfvo type="max"/>
        <color rgb="FFFCFCFF"/>
        <color rgb="FF63BE7B"/>
      </colorScale>
    </cfRule>
  </conditionalFormatting>
  <conditionalFormatting sqref="D28:I28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scale="58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view="pageBreakPreview" zoomScale="60" zoomScaleNormal="100" workbookViewId="0">
      <selection activeCell="D11" sqref="D11"/>
    </sheetView>
  </sheetViews>
  <sheetFormatPr defaultRowHeight="15" x14ac:dyDescent="0.25"/>
  <cols>
    <col min="3" max="3" width="21.140625" bestFit="1" customWidth="1"/>
  </cols>
  <sheetData>
    <row r="1" spans="1:8" s="7" customFormat="1" ht="18.75" x14ac:dyDescent="0.3">
      <c r="A1" s="101" t="s">
        <v>103</v>
      </c>
    </row>
    <row r="5" spans="1:8" ht="69.75" customHeight="1" x14ac:dyDescent="0.25">
      <c r="C5" s="105" t="s">
        <v>102</v>
      </c>
      <c r="D5" s="105"/>
      <c r="E5" s="105"/>
      <c r="F5" s="105"/>
      <c r="G5" s="105"/>
      <c r="H5" s="105"/>
    </row>
    <row r="7" spans="1:8" ht="23.25" x14ac:dyDescent="0.35">
      <c r="C7" s="102" t="s">
        <v>100</v>
      </c>
      <c r="D7" s="8" t="s">
        <v>101</v>
      </c>
      <c r="E7" s="12"/>
      <c r="F7" s="9"/>
    </row>
    <row r="8" spans="1:8" ht="23.25" x14ac:dyDescent="0.35">
      <c r="C8" s="10" t="s">
        <v>24</v>
      </c>
      <c r="D8" s="11" t="s">
        <v>28</v>
      </c>
      <c r="E8" s="9"/>
      <c r="F8" s="9"/>
    </row>
    <row r="9" spans="1:8" ht="23.25" x14ac:dyDescent="0.35">
      <c r="C9" s="10" t="s">
        <v>25</v>
      </c>
      <c r="D9" s="11" t="s">
        <v>33</v>
      </c>
      <c r="E9" s="9"/>
      <c r="F9" s="9"/>
    </row>
    <row r="10" spans="1:8" ht="23.25" x14ac:dyDescent="0.35">
      <c r="C10" s="10" t="s">
        <v>26</v>
      </c>
      <c r="D10" s="11" t="s">
        <v>27</v>
      </c>
      <c r="E10" s="9"/>
      <c r="F10" s="9"/>
    </row>
    <row r="11" spans="1:8" ht="23.25" x14ac:dyDescent="0.35">
      <c r="B11" s="6"/>
      <c r="C11" s="10" t="s">
        <v>104</v>
      </c>
      <c r="D11" s="11" t="s">
        <v>105</v>
      </c>
      <c r="E11" s="9"/>
      <c r="F11" s="9"/>
    </row>
  </sheetData>
  <mergeCells count="1">
    <mergeCell ref="C5:H5"/>
  </mergeCells>
  <pageMargins left="0.7" right="0.7" top="0.75" bottom="0.75" header="0.3" footer="0.3"/>
  <pageSetup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558D17C5424438ED9E058A452A00D" ma:contentTypeVersion="1" ma:contentTypeDescription="Create a new document." ma:contentTypeScope="" ma:versionID="58968a46a1bad65155eeaa79ec003be2">
  <xsd:schema xmlns:xsd="http://www.w3.org/2001/XMLSchema" xmlns:xs="http://www.w3.org/2001/XMLSchema" xmlns:p="http://schemas.microsoft.com/office/2006/metadata/properties" xmlns:ns2="2613f182-e424-487f-ac7f-33bed2fc986a" targetNamespace="http://schemas.microsoft.com/office/2006/metadata/properties" ma:root="true" ma:fieldsID="6c900d0cb3a38c97dc51f7485df35394" ns2:_="">
    <xsd:import namespace="2613f182-e424-487f-ac7f-33bed2fc986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A2C327-C726-43FC-AF74-1A7953B10F5C}"/>
</file>

<file path=customXml/itemProps2.xml><?xml version="1.0" encoding="utf-8"?>
<ds:datastoreItem xmlns:ds="http://schemas.openxmlformats.org/officeDocument/2006/customXml" ds:itemID="{F52F5A87-AE71-4E90-BF97-7761AF7EFF44}"/>
</file>

<file path=customXml/itemProps3.xml><?xml version="1.0" encoding="utf-8"?>
<ds:datastoreItem xmlns:ds="http://schemas.openxmlformats.org/officeDocument/2006/customXml" ds:itemID="{F7DC1974-F9E2-4991-BF95-C33F45FFD4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Single HUB DEB Calculation</vt:lpstr>
      <vt:lpstr>Multiple Hub WAP Calculation</vt:lpstr>
      <vt:lpstr>Multiple Hub DEB Calculation</vt:lpstr>
      <vt:lpstr>Inputs</vt:lpstr>
      <vt:lpstr>Gas_Scalar</vt:lpstr>
      <vt:lpstr>HubNames</vt:lpstr>
      <vt:lpstr>HubTx</vt:lpstr>
      <vt:lpstr>LT_Scalar</vt:lpstr>
      <vt:lpstr>Inputs!Print_Area</vt:lpstr>
      <vt:lpstr>'Multiple Hub WAP Calculation'!Print_Area</vt:lpstr>
      <vt:lpstr>ResourceMW</vt:lpstr>
      <vt:lpstr>ST_Scalar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Powerex Default Energy Bid Calculation Examples - Local Market Power Mitigation Enhancements</dc:title>
  <dc:creator/>
  <cp:lastModifiedBy/>
  <dcterms:created xsi:type="dcterms:W3CDTF">2018-12-05T20:18:18Z</dcterms:created>
  <dcterms:modified xsi:type="dcterms:W3CDTF">2018-12-06T22:41:44Z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0x0101003C4558D17C5424438ED9E058A452A00D</vt:lpwstr>
  </property>
  <property fmtid="{D5CDD505-2E9C-101B-9397-08002B2CF9AE}" pid="3" name="ISOArchive">
    <vt:lpwstr/>
  </property>
  <property fmtid="{D5CDD505-2E9C-101B-9397-08002B2CF9AE}" pid="4" name="ISOGroup">
    <vt:lpwstr/>
  </property>
  <property fmtid="{D5CDD505-2E9C-101B-9397-08002B2CF9AE}" pid="5" name="ISOTopic">
    <vt:lpwstr>5;#Stakeholder processes|71659ab1-dac7-419e-9529-abc47c232b66</vt:lpwstr>
  </property>
  <property fmtid="{D5CDD505-2E9C-101B-9397-08002B2CF9AE}" pid="6" name="ISOKeywords">
    <vt:lpwstr/>
  </property>
</Properties>
</file>