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060" windowHeight="8835" activeTab="0"/>
  </bookViews>
  <sheets>
    <sheet name="Appendix_A" sheetId="1" r:id="rId1"/>
    <sheet name="Appendix_B_HR" sheetId="2" r:id="rId2"/>
    <sheet name="Appendix_B_CFO" sheetId="3" r:id="rId3"/>
    <sheet name="Appendix_B_CIO" sheetId="4" r:id="rId4"/>
    <sheet name="Appendix_B_COO" sheetId="5" r:id="rId5"/>
    <sheet name="Appendix_B_GC" sheetId="6" r:id="rId6"/>
    <sheet name="Appendix_B_CS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Titles" localSheetId="0">'Appendix_A'!$A:$D</definedName>
  </definedNames>
  <calcPr fullCalcOnLoad="1"/>
</workbook>
</file>

<file path=xl/sharedStrings.xml><?xml version="1.0" encoding="utf-8"?>
<sst xmlns="http://schemas.openxmlformats.org/spreadsheetml/2006/main" count="274" uniqueCount="71">
  <si>
    <t>HR/CEO:1100/1200</t>
  </si>
  <si>
    <t>CFO:1300</t>
  </si>
  <si>
    <t>CIO: 1400</t>
  </si>
  <si>
    <t>COO: 1500</t>
  </si>
  <si>
    <t>General Counsel:1600</t>
  </si>
  <si>
    <t>CS: 1700</t>
  </si>
  <si>
    <t>%</t>
  </si>
  <si>
    <t>Salaries and Benefits</t>
  </si>
  <si>
    <t>Building, Lease &amp; Facility Costs</t>
  </si>
  <si>
    <t>Insurance</t>
  </si>
  <si>
    <t>Third Party Vendor Contracts</t>
  </si>
  <si>
    <t>Professional &amp; Consulting Services</t>
  </si>
  <si>
    <t xml:space="preserve">Audit, Legal  &amp;  Regulatory </t>
  </si>
  <si>
    <t>Training and Travel</t>
  </si>
  <si>
    <t>Miscellaneous</t>
  </si>
  <si>
    <t>Contingency</t>
  </si>
  <si>
    <t>FERC Fees</t>
  </si>
  <si>
    <t>Subtotal</t>
  </si>
  <si>
    <t xml:space="preserve">Headcount: </t>
  </si>
  <si>
    <t xml:space="preserve"> Budgeted $</t>
  </si>
  <si>
    <t xml:space="preserve"> Budgeted Headcount</t>
  </si>
  <si>
    <t xml:space="preserve">     Initial 1998 Budgeted Headcount</t>
  </si>
  <si>
    <t>California Independent System Operator</t>
  </si>
  <si>
    <t>$D</t>
  </si>
  <si>
    <t>%D</t>
  </si>
  <si>
    <t>NA</t>
  </si>
  <si>
    <t>&gt;100%</t>
  </si>
  <si>
    <t>Significant reduction due to lower relocation costs in 1999.</t>
  </si>
  <si>
    <t>Elimination of Internal Auditor from budgeted headcount.</t>
  </si>
  <si>
    <t>Minor change reflecting actual salaries.</t>
  </si>
  <si>
    <t>Additional staff allocated to Ops .</t>
  </si>
  <si>
    <t>Additional staff for market surveillence, legal, and Board Liason.</t>
  </si>
  <si>
    <t>Existing personnel salaries lower due to transfer of 2 heads to Operations during 1998.</t>
  </si>
  <si>
    <t xml:space="preserve">P/Tax from CFO budget $230K.  Costs of new Folsom buildings included for 1999. </t>
  </si>
  <si>
    <t>N/A</t>
  </si>
  <si>
    <t>Phase II Comm. hardware leases; annualization of 1998 Equip leases;  new 1999 equip leases; offsite tape storage.</t>
  </si>
  <si>
    <t>Increase in E&amp;O coverage elected during 1998 $218K</t>
  </si>
  <si>
    <t xml:space="preserve">Phase II comm. Circuit costs.  Hardware maint and software maint for products acquired in 1998;  offset by reductions in IBM &amp; MCI costs.  </t>
  </si>
  <si>
    <t>Alliance maintenance contract:  In 1998, was included in infrastructure budget.  Must pay in operating budget for 1999.  $1.3 million.</t>
  </si>
  <si>
    <t>Significant contractor work in Settlements.  Alliance maintenance contract on BBS:  In 1998, was included in infrastructure budget.  Must pay in operating budget for 1999:  $400K.</t>
  </si>
  <si>
    <t>Increase is due to security consulting for 1999, and inclusion of fees for CEO budget, previously budgeted elsewhere.</t>
  </si>
  <si>
    <t>Minor change</t>
  </si>
  <si>
    <t>Operating System admin; System mgmt; Data modeling; Finance &amp; HR system sypport; Y2K planning &amp; testing; Database admin; QA support; Info security certificate admin.</t>
  </si>
  <si>
    <t>Significant number of studies and consulting projects to be performed in Operations &amp; Engineering.</t>
  </si>
  <si>
    <t>Decrease due to cost saving efforts.</t>
  </si>
  <si>
    <t>No significant change.</t>
  </si>
  <si>
    <t>Increased cost of operational and SAS 70 audits $230K</t>
  </si>
  <si>
    <t xml:space="preserve">Reduction in legal fees due to cost saving efforts and eventual move from startup to steady state. </t>
  </si>
  <si>
    <t>Reductions based on actual 1998 experience and cost reduction efforts for 1999.</t>
  </si>
  <si>
    <t>Minor change.</t>
  </si>
  <si>
    <t>1998 personal property tax  lower than budgeted ($610K), and moved to H/R ($230K); Market Line of Credit costs reduced ($336K)</t>
  </si>
  <si>
    <t>Cost reductions.</t>
  </si>
  <si>
    <t>Eliminated for 1999</t>
  </si>
  <si>
    <t>CAISO likely to be assessed FERC fees on market volume.</t>
  </si>
  <si>
    <t>1999 Proposed O&amp;M Budget and 1998 O&amp;M Budget</t>
  </si>
  <si>
    <t>$ in 000's</t>
  </si>
  <si>
    <t>1998  O&amp;M Budget</t>
  </si>
  <si>
    <t>Change</t>
  </si>
  <si>
    <t>Explanation</t>
  </si>
  <si>
    <t>Chief Financial Officer</t>
  </si>
  <si>
    <t>Chief Information Officer</t>
  </si>
  <si>
    <t>Chief Operating Officer</t>
  </si>
  <si>
    <t>General Counsel</t>
  </si>
  <si>
    <t>VP Client Services</t>
  </si>
  <si>
    <t>CEO/Human Resources</t>
  </si>
  <si>
    <t>CFO: 1300</t>
  </si>
  <si>
    <t>Total</t>
  </si>
  <si>
    <t>1999  O&amp;M Budget</t>
  </si>
  <si>
    <t>Differences from 1998</t>
  </si>
  <si>
    <t xml:space="preserve">                  CFO/11-10-98   PROPOSED 1999 BUDGET   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</si>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</sst>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8"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2" fontId="0" fillId="0" borderId="5" xfId="0" applyNumberFormat="1" applyFont="1" applyBorder="1" applyAlignment="1">
      <alignment/>
    </xf>
    <xf numFmtId="9" fontId="0" fillId="0" borderId="6" xfId="0" applyNumberFormat="1" applyFont="1" applyBorder="1" applyAlignment="1">
      <alignment horizontal="center"/>
    </xf>
    <xf numFmtId="41" fontId="0" fillId="0" borderId="0" xfId="15" applyNumberFormat="1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41" fontId="0" fillId="0" borderId="7" xfId="0" applyNumberFormat="1" applyFont="1" applyBorder="1" applyAlignment="1">
      <alignment vertical="top"/>
    </xf>
    <xf numFmtId="41" fontId="0" fillId="0" borderId="0" xfId="0" applyNumberFormat="1" applyFont="1" applyAlignment="1">
      <alignment vertical="top"/>
    </xf>
    <xf numFmtId="164" fontId="0" fillId="0" borderId="7" xfId="15" applyNumberFormat="1" applyFont="1" applyBorder="1" applyAlignment="1">
      <alignment vertical="top"/>
    </xf>
    <xf numFmtId="42" fontId="0" fillId="0" borderId="0" xfId="0" applyNumberFormat="1" applyFont="1" applyBorder="1" applyAlignment="1">
      <alignment/>
    </xf>
    <xf numFmtId="9" fontId="0" fillId="0" borderId="0" xfId="19" applyFont="1" applyBorder="1" applyAlignment="1">
      <alignment/>
    </xf>
    <xf numFmtId="0" fontId="0" fillId="0" borderId="0" xfId="0" applyBorder="1" applyAlignment="1">
      <alignment vertical="top" wrapText="1"/>
    </xf>
    <xf numFmtId="0" fontId="5" fillId="0" borderId="8" xfId="0" applyFont="1" applyBorder="1" applyAlignment="1">
      <alignment/>
    </xf>
    <xf numFmtId="0" fontId="0" fillId="0" borderId="9" xfId="0" applyFont="1" applyBorder="1" applyAlignment="1">
      <alignment/>
    </xf>
    <xf numFmtId="165" fontId="0" fillId="0" borderId="9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165" fontId="0" fillId="0" borderId="0" xfId="17" applyNumberFormat="1" applyFont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17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0" fillId="0" borderId="6" xfId="19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42" fontId="0" fillId="0" borderId="7" xfId="0" applyNumberFormat="1" applyFont="1" applyBorder="1" applyAlignment="1">
      <alignment vertical="top"/>
    </xf>
    <xf numFmtId="9" fontId="0" fillId="0" borderId="13" xfId="19" applyFont="1" applyBorder="1" applyAlignment="1">
      <alignment horizontal="center" vertical="top"/>
    </xf>
    <xf numFmtId="42" fontId="0" fillId="0" borderId="7" xfId="15" applyNumberFormat="1" applyFont="1" applyBorder="1" applyAlignment="1">
      <alignment horizontal="right" vertical="top"/>
    </xf>
    <xf numFmtId="9" fontId="0" fillId="0" borderId="14" xfId="19" applyFont="1" applyBorder="1" applyAlignment="1">
      <alignment horizontal="center" vertical="top"/>
    </xf>
    <xf numFmtId="165" fontId="0" fillId="0" borderId="7" xfId="17" applyNumberFormat="1" applyFont="1" applyBorder="1" applyAlignment="1">
      <alignment vertical="top"/>
    </xf>
    <xf numFmtId="9" fontId="0" fillId="0" borderId="13" xfId="19" applyNumberFormat="1" applyFont="1" applyBorder="1" applyAlignment="1">
      <alignment horizontal="center" vertical="top"/>
    </xf>
    <xf numFmtId="164" fontId="0" fillId="0" borderId="7" xfId="15" applyNumberFormat="1" applyFont="1" applyBorder="1" applyAlignment="1">
      <alignment horizontal="right" vertical="top"/>
    </xf>
    <xf numFmtId="42" fontId="0" fillId="0" borderId="0" xfId="0" applyNumberFormat="1" applyFont="1" applyAlignment="1">
      <alignment vertical="top"/>
    </xf>
    <xf numFmtId="165" fontId="0" fillId="0" borderId="15" xfId="17" applyNumberFormat="1" applyFont="1" applyBorder="1" applyAlignment="1">
      <alignment vertical="top"/>
    </xf>
    <xf numFmtId="42" fontId="0" fillId="0" borderId="5" xfId="0" applyNumberFormat="1" applyFont="1" applyBorder="1" applyAlignment="1">
      <alignment vertical="top"/>
    </xf>
    <xf numFmtId="9" fontId="0" fillId="0" borderId="6" xfId="0" applyNumberFormat="1" applyFont="1" applyBorder="1" applyAlignment="1">
      <alignment horizontal="center" vertical="top"/>
    </xf>
    <xf numFmtId="9" fontId="0" fillId="0" borderId="6" xfId="19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Continuous" vertical="top"/>
    </xf>
    <xf numFmtId="0" fontId="0" fillId="2" borderId="2" xfId="0" applyFont="1" applyFill="1" applyBorder="1" applyAlignment="1">
      <alignment horizontal="centerContinuous"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Continuous" vertical="top"/>
    </xf>
    <xf numFmtId="0" fontId="3" fillId="0" borderId="3" xfId="0" applyFont="1" applyBorder="1" applyAlignment="1">
      <alignment horizontal="centerContinuous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41" fontId="0" fillId="0" borderId="0" xfId="15" applyNumberFormat="1" applyFont="1" applyAlignment="1">
      <alignment vertical="top"/>
    </xf>
    <xf numFmtId="0" fontId="4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42" fontId="0" fillId="0" borderId="7" xfId="0" applyNumberFormat="1" applyFont="1" applyBorder="1" applyAlignment="1">
      <alignment/>
    </xf>
    <xf numFmtId="9" fontId="0" fillId="0" borderId="13" xfId="19" applyFont="1" applyBorder="1" applyAlignment="1">
      <alignment horizontal="center"/>
    </xf>
    <xf numFmtId="42" fontId="0" fillId="0" borderId="15" xfId="0" applyNumberFormat="1" applyFont="1" applyBorder="1" applyAlignment="1">
      <alignment/>
    </xf>
    <xf numFmtId="9" fontId="0" fillId="0" borderId="14" xfId="19" applyFont="1" applyBorder="1" applyAlignment="1">
      <alignment horizontal="center"/>
    </xf>
    <xf numFmtId="41" fontId="0" fillId="0" borderId="7" xfId="0" applyNumberFormat="1" applyFont="1" applyBorder="1" applyAlignment="1">
      <alignment/>
    </xf>
    <xf numFmtId="164" fontId="0" fillId="0" borderId="7" xfId="15" applyNumberFormat="1" applyFont="1" applyBorder="1" applyAlignment="1">
      <alignment/>
    </xf>
    <xf numFmtId="9" fontId="0" fillId="0" borderId="0" xfId="19" applyFont="1" applyAlignment="1">
      <alignment/>
    </xf>
    <xf numFmtId="0" fontId="4" fillId="2" borderId="2" xfId="0" applyFont="1" applyFill="1" applyBorder="1" applyAlignment="1">
      <alignment horizontal="centerContinuous"/>
    </xf>
    <xf numFmtId="165" fontId="0" fillId="0" borderId="15" xfId="17" applyNumberFormat="1" applyFont="1" applyBorder="1" applyAlignment="1">
      <alignment/>
    </xf>
    <xf numFmtId="164" fontId="0" fillId="0" borderId="7" xfId="15" applyNumberFormat="1" applyFont="1" applyBorder="1" applyAlignment="1">
      <alignment horizontal="right"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R\h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\13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T\14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ps\1500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eg\16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S\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up"/>
      <sheetName val="1100"/>
      <sheetName val="1111"/>
      <sheetName val="1211"/>
      <sheetName val="1221"/>
      <sheetName val="1231"/>
      <sheetName val="facility_costs"/>
    </sheetNames>
    <sheetDataSet>
      <sheetData sheetId="0">
        <row r="11">
          <cell r="I11">
            <v>2489994</v>
          </cell>
        </row>
        <row r="12">
          <cell r="I12">
            <v>4193000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547000</v>
          </cell>
        </row>
        <row r="16">
          <cell r="I16">
            <v>0</v>
          </cell>
        </row>
        <row r="17">
          <cell r="I17">
            <v>199950</v>
          </cell>
        </row>
        <row r="18">
          <cell r="I18">
            <v>153500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llup"/>
      <sheetName val="1300"/>
      <sheetName val="1311"/>
      <sheetName val="1321"/>
      <sheetName val="1331"/>
      <sheetName val="1341"/>
    </sheetNames>
    <sheetDataSet>
      <sheetData sheetId="0">
        <row r="9">
          <cell r="G9">
            <v>1294410</v>
          </cell>
        </row>
        <row r="10">
          <cell r="G10">
            <v>0</v>
          </cell>
        </row>
        <row r="11">
          <cell r="G11">
            <v>768000</v>
          </cell>
        </row>
        <row r="12">
          <cell r="G12">
            <v>0</v>
          </cell>
        </row>
        <row r="13">
          <cell r="G13">
            <v>325000</v>
          </cell>
        </row>
        <row r="14">
          <cell r="G14">
            <v>1030000</v>
          </cell>
        </row>
        <row r="15">
          <cell r="G15">
            <v>103500</v>
          </cell>
        </row>
        <row r="16">
          <cell r="G16">
            <v>227500</v>
          </cell>
        </row>
        <row r="17">
          <cell r="G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llup"/>
      <sheetName val="1400"/>
      <sheetName val="1411"/>
      <sheetName val="1419"/>
      <sheetName val="1421"/>
      <sheetName val="1431"/>
      <sheetName val="1441"/>
      <sheetName val="1451"/>
    </sheetNames>
    <sheetDataSet>
      <sheetData sheetId="0">
        <row r="11">
          <cell r="I11">
            <v>4844695</v>
          </cell>
        </row>
        <row r="12">
          <cell r="I12">
            <v>1972000</v>
          </cell>
        </row>
        <row r="13">
          <cell r="I13">
            <v>0</v>
          </cell>
        </row>
        <row r="14">
          <cell r="I14">
            <v>42506000</v>
          </cell>
        </row>
        <row r="15">
          <cell r="I15">
            <v>4301000</v>
          </cell>
        </row>
        <row r="16">
          <cell r="I16">
            <v>0</v>
          </cell>
        </row>
        <row r="17">
          <cell r="I17">
            <v>314300</v>
          </cell>
        </row>
        <row r="18">
          <cell r="I18">
            <v>160000</v>
          </cell>
        </row>
        <row r="19">
          <cell r="I1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llup"/>
      <sheetName val="1500_sum"/>
      <sheetName val="1511_a"/>
      <sheetName val="1521"/>
      <sheetName val="1531"/>
      <sheetName val="1541"/>
      <sheetName val="1542"/>
      <sheetName val="1543"/>
      <sheetName val="1544"/>
      <sheetName val="1545"/>
      <sheetName val="1546"/>
      <sheetName val="1540_headcount"/>
      <sheetName val="1531_O&amp;M forecast"/>
      <sheetName val="1531_Employee_base"/>
      <sheetName val="1531_contractors"/>
    </sheetNames>
    <sheetDataSet>
      <sheetData sheetId="0">
        <row r="11">
          <cell r="N11">
            <v>20298851.9782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1588236.75</v>
          </cell>
        </row>
        <row r="15">
          <cell r="N15">
            <v>2415400</v>
          </cell>
        </row>
        <row r="16">
          <cell r="N16">
            <v>0</v>
          </cell>
        </row>
        <row r="17">
          <cell r="N17">
            <v>1477580.6</v>
          </cell>
        </row>
        <row r="18">
          <cell r="N18">
            <v>257720</v>
          </cell>
        </row>
        <row r="19">
          <cell r="N1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ollup"/>
      <sheetName val="1600"/>
      <sheetName val="1611"/>
      <sheetName val="1621"/>
      <sheetName val="1631"/>
      <sheetName val="1641"/>
      <sheetName val="1651"/>
      <sheetName val="Board"/>
    </sheetNames>
    <sheetDataSet>
      <sheetData sheetId="0">
        <row r="11">
          <cell r="I11">
            <v>2997339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850000</v>
          </cell>
        </row>
        <row r="16">
          <cell r="I16">
            <v>4000000</v>
          </cell>
        </row>
        <row r="17">
          <cell r="I17">
            <v>439800</v>
          </cell>
        </row>
        <row r="18">
          <cell r="I18">
            <v>748800</v>
          </cell>
        </row>
        <row r="19">
          <cell r="I19">
            <v>0</v>
          </cell>
        </row>
        <row r="20">
          <cell r="I20">
            <v>1500000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llup"/>
      <sheetName val="CS"/>
      <sheetName val="1711"/>
      <sheetName val="1721"/>
      <sheetName val="1722"/>
      <sheetName val="1723"/>
      <sheetName val="1724"/>
      <sheetName val="1725"/>
      <sheetName val="1731"/>
      <sheetName val="1741"/>
      <sheetName val="1724_1725_DETAIL"/>
    </sheetNames>
    <sheetDataSet>
      <sheetData sheetId="0">
        <row r="12">
          <cell r="M12">
            <v>6487379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2365635.25</v>
          </cell>
        </row>
        <row r="16">
          <cell r="M16">
            <v>1094500</v>
          </cell>
        </row>
        <row r="17">
          <cell r="M17">
            <v>0</v>
          </cell>
        </row>
        <row r="18">
          <cell r="M18">
            <v>919000</v>
          </cell>
        </row>
        <row r="19">
          <cell r="M19">
            <v>189500</v>
          </cell>
        </row>
        <row r="20">
          <cell r="M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0"/>
  <sheetViews>
    <sheetView tabSelected="1" workbookViewId="0" topLeftCell="D10">
      <selection activeCell="O38" sqref="O38"/>
    </sheetView>
  </sheetViews>
  <sheetFormatPr defaultColWidth="9.33203125" defaultRowHeight="12.75"/>
  <cols>
    <col min="1" max="1" width="3.33203125" style="2" customWidth="1"/>
    <col min="2" max="2" width="1.66796875" style="2" customWidth="1"/>
    <col min="3" max="3" width="28.33203125" style="2" customWidth="1"/>
    <col min="4" max="4" width="3.5" style="2" customWidth="1"/>
    <col min="5" max="5" width="14.83203125" style="2" customWidth="1"/>
    <col min="6" max="6" width="8.66015625" style="2" customWidth="1"/>
    <col min="7" max="7" width="1.3359375" style="2" customWidth="1"/>
    <col min="8" max="8" width="13.16015625" style="2" customWidth="1"/>
    <col min="9" max="9" width="10.16015625" style="2" customWidth="1"/>
    <col min="10" max="10" width="1.3359375" style="2" customWidth="1"/>
    <col min="11" max="11" width="14.66015625" style="2" customWidth="1"/>
    <col min="12" max="12" width="8.5" style="2" customWidth="1"/>
    <col min="13" max="13" width="1.3359375" style="2" customWidth="1"/>
    <col min="14" max="14" width="14.83203125" style="2" customWidth="1"/>
    <col min="15" max="15" width="7.83203125" style="2" customWidth="1"/>
    <col min="16" max="16" width="1.3359375" style="2" customWidth="1"/>
    <col min="17" max="17" width="14.66015625" style="2" customWidth="1"/>
    <col min="18" max="18" width="10.16015625" style="2" customWidth="1"/>
    <col min="19" max="19" width="1.3359375" style="0" customWidth="1"/>
    <col min="20" max="20" width="14.83203125" style="2" customWidth="1"/>
    <col min="21" max="21" width="10" style="2" customWidth="1"/>
    <col min="22" max="22" width="1.66796875" style="2" customWidth="1"/>
    <col min="23" max="23" width="1.3359375" style="2" customWidth="1"/>
    <col min="24" max="24" width="14" style="2" customWidth="1"/>
    <col min="25" max="26" width="9.33203125" style="2" customWidth="1"/>
    <col min="27" max="27" width="11.5" style="2" customWidth="1"/>
    <col min="28" max="16384" width="9.33203125" style="2" customWidth="1"/>
  </cols>
  <sheetData>
    <row r="1" spans="1:3" ht="15.75">
      <c r="A1" s="1" t="s">
        <v>22</v>
      </c>
      <c r="C1" s="3"/>
    </row>
    <row r="2" spans="1:3" ht="15.75">
      <c r="A2" s="1" t="s">
        <v>54</v>
      </c>
      <c r="C2" s="3"/>
    </row>
    <row r="3" spans="1:14" ht="15.75">
      <c r="A3" s="1" t="s">
        <v>55</v>
      </c>
      <c r="C3" s="3"/>
      <c r="N3" s="4"/>
    </row>
    <row r="4" spans="1:14" ht="12.75">
      <c r="A4" s="3"/>
      <c r="C4" s="3"/>
      <c r="N4" s="4"/>
    </row>
    <row r="5" spans="3:17" ht="13.5">
      <c r="C5" s="3"/>
      <c r="Q5" s="71"/>
    </row>
    <row r="6" spans="3:25" ht="14.25" thickBot="1">
      <c r="C6" s="5" t="s">
        <v>56</v>
      </c>
      <c r="D6" s="5"/>
      <c r="E6" s="6" t="s">
        <v>0</v>
      </c>
      <c r="F6" s="7"/>
      <c r="G6" s="5"/>
      <c r="H6" s="6" t="s">
        <v>65</v>
      </c>
      <c r="I6" s="7"/>
      <c r="J6" s="8"/>
      <c r="K6" s="6" t="s">
        <v>2</v>
      </c>
      <c r="L6" s="7"/>
      <c r="M6" s="9"/>
      <c r="N6" s="6" t="s">
        <v>3</v>
      </c>
      <c r="O6" s="7"/>
      <c r="P6" s="9"/>
      <c r="Q6" s="6" t="s">
        <v>4</v>
      </c>
      <c r="R6" s="7"/>
      <c r="T6" s="6" t="s">
        <v>5</v>
      </c>
      <c r="U6" s="7"/>
      <c r="V6" s="9"/>
      <c r="W6" s="9"/>
      <c r="X6" s="6" t="s">
        <v>66</v>
      </c>
      <c r="Y6" s="7"/>
    </row>
    <row r="7" spans="3:25" ht="14.25" thickTop="1">
      <c r="C7" s="5"/>
      <c r="D7" s="5"/>
      <c r="E7" s="10"/>
      <c r="F7" s="11" t="s">
        <v>6</v>
      </c>
      <c r="G7" s="5"/>
      <c r="H7" s="10"/>
      <c r="I7" s="11" t="s">
        <v>6</v>
      </c>
      <c r="J7" s="8"/>
      <c r="K7" s="10"/>
      <c r="L7" s="11" t="s">
        <v>6</v>
      </c>
      <c r="M7" s="9"/>
      <c r="N7" s="10"/>
      <c r="O7" s="11" t="s">
        <v>6</v>
      </c>
      <c r="P7" s="9"/>
      <c r="Q7" s="10"/>
      <c r="R7" s="11" t="s">
        <v>6</v>
      </c>
      <c r="T7" s="10"/>
      <c r="U7" s="11" t="s">
        <v>6</v>
      </c>
      <c r="V7" s="9"/>
      <c r="W7" s="9"/>
      <c r="X7" s="10"/>
      <c r="Y7" s="11" t="s">
        <v>6</v>
      </c>
    </row>
    <row r="8" spans="1:25" ht="12.75">
      <c r="A8" s="12">
        <v>1</v>
      </c>
      <c r="C8" s="2" t="s">
        <v>7</v>
      </c>
      <c r="E8" s="72">
        <v>4311</v>
      </c>
      <c r="F8" s="73">
        <f aca="true" t="shared" si="0" ref="F8:F16">+E8/E$17</f>
        <v>0.46817984361424847</v>
      </c>
      <c r="H8" s="72">
        <v>1401</v>
      </c>
      <c r="I8" s="73">
        <f>+H8/H$17</f>
        <v>0.2926065162907268</v>
      </c>
      <c r="J8" s="13"/>
      <c r="K8" s="72">
        <v>4367</v>
      </c>
      <c r="L8" s="73">
        <f>+K8/K$17</f>
        <v>0.085832776445615</v>
      </c>
      <c r="M8" s="13"/>
      <c r="N8" s="72">
        <f>17340+15</f>
        <v>17355</v>
      </c>
      <c r="O8" s="73">
        <f>+N8/N$17</f>
        <v>0.7412231997949944</v>
      </c>
      <c r="P8" s="13"/>
      <c r="Q8" s="72">
        <v>2331</v>
      </c>
      <c r="R8" s="73">
        <f aca="true" t="shared" si="1" ref="R8:R16">+Q8/Q$17</f>
        <v>0.2081064190697259</v>
      </c>
      <c r="T8" s="72">
        <f>6678+14</f>
        <v>6692</v>
      </c>
      <c r="U8" s="73">
        <f>+T8/T$17</f>
        <v>0.6830662447688067</v>
      </c>
      <c r="V8" s="13"/>
      <c r="W8" s="13"/>
      <c r="X8" s="74">
        <f aca="true" t="shared" si="2" ref="X8:X16">+H8+K8+N8+T8+E8+Q8</f>
        <v>36457</v>
      </c>
      <c r="Y8" s="75">
        <f>+X8/X$17</f>
        <v>0.3335925919147924</v>
      </c>
    </row>
    <row r="9" spans="1:25" ht="12.75">
      <c r="A9" s="12">
        <v>2</v>
      </c>
      <c r="C9" s="2" t="s">
        <v>8</v>
      </c>
      <c r="E9" s="76">
        <v>3436</v>
      </c>
      <c r="F9" s="73">
        <f t="shared" si="0"/>
        <v>0.3731537793223284</v>
      </c>
      <c r="H9" s="76">
        <v>0</v>
      </c>
      <c r="I9" s="73">
        <f>+H9/H$17</f>
        <v>0</v>
      </c>
      <c r="J9" s="14"/>
      <c r="K9" s="76">
        <v>12</v>
      </c>
      <c r="L9" s="73">
        <f>+K9/K$17</f>
        <v>0.00023585832776445615</v>
      </c>
      <c r="M9" s="14"/>
      <c r="N9" s="76">
        <v>0</v>
      </c>
      <c r="O9" s="73">
        <f>+N9/N$17</f>
        <v>0</v>
      </c>
      <c r="P9" s="14"/>
      <c r="Q9" s="76">
        <v>0</v>
      </c>
      <c r="R9" s="73">
        <f t="shared" si="1"/>
        <v>0</v>
      </c>
      <c r="T9" s="76">
        <v>0</v>
      </c>
      <c r="U9" s="73">
        <f>+T9/T$17</f>
        <v>0</v>
      </c>
      <c r="V9" s="14"/>
      <c r="W9" s="14"/>
      <c r="X9" s="77">
        <f t="shared" si="2"/>
        <v>3448</v>
      </c>
      <c r="Y9" s="73">
        <f>+X9/X$17</f>
        <v>0.03155024431308676</v>
      </c>
    </row>
    <row r="10" spans="1:25" ht="12.75">
      <c r="A10" s="12">
        <v>3</v>
      </c>
      <c r="C10" s="2" t="s">
        <v>9</v>
      </c>
      <c r="E10" s="76">
        <v>0</v>
      </c>
      <c r="F10" s="73">
        <f t="shared" si="0"/>
        <v>0</v>
      </c>
      <c r="H10" s="76">
        <v>550</v>
      </c>
      <c r="I10" s="73">
        <f>+H10/H$17</f>
        <v>0.1148705096073517</v>
      </c>
      <c r="J10" s="14"/>
      <c r="K10" s="76">
        <v>0</v>
      </c>
      <c r="L10" s="73">
        <f>+K10/K$17</f>
        <v>0</v>
      </c>
      <c r="M10" s="14"/>
      <c r="N10" s="76">
        <v>0</v>
      </c>
      <c r="O10" s="73">
        <f>+N10/N$17</f>
        <v>0</v>
      </c>
      <c r="P10" s="14"/>
      <c r="Q10" s="76">
        <v>0</v>
      </c>
      <c r="R10" s="73">
        <f t="shared" si="1"/>
        <v>0</v>
      </c>
      <c r="T10" s="76">
        <v>0</v>
      </c>
      <c r="U10" s="73">
        <f>+T10/T$17</f>
        <v>0</v>
      </c>
      <c r="V10" s="14"/>
      <c r="W10" s="14"/>
      <c r="X10" s="77">
        <f t="shared" si="2"/>
        <v>550</v>
      </c>
      <c r="Y10" s="73">
        <f>+X10/X$17</f>
        <v>0.00503266658126384</v>
      </c>
    </row>
    <row r="11" spans="1:25" ht="12.75">
      <c r="A11" s="12">
        <v>4</v>
      </c>
      <c r="C11" s="2" t="s">
        <v>10</v>
      </c>
      <c r="E11" s="76">
        <f>138-100</f>
        <v>38</v>
      </c>
      <c r="F11" s="73">
        <f t="shared" si="0"/>
        <v>0.0041268462206776714</v>
      </c>
      <c r="H11" s="76">
        <v>0</v>
      </c>
      <c r="I11" s="73">
        <f aca="true" t="shared" si="3" ref="I11:I16">+H11/H$17</f>
        <v>0</v>
      </c>
      <c r="J11" s="14"/>
      <c r="K11" s="76">
        <f>44273-1623+20-200</f>
        <v>42470</v>
      </c>
      <c r="L11" s="73">
        <f aca="true" t="shared" si="4" ref="L11:L16">+K11/K$17</f>
        <v>0.8347419316797043</v>
      </c>
      <c r="M11" s="14"/>
      <c r="N11" s="76">
        <v>772</v>
      </c>
      <c r="O11" s="73">
        <f aca="true" t="shared" si="5" ref="O11:O16">+N11/N$17</f>
        <v>0.03297172631758777</v>
      </c>
      <c r="P11" s="14"/>
      <c r="Q11" s="76">
        <f>100-100</f>
        <v>0</v>
      </c>
      <c r="R11" s="73">
        <f t="shared" si="1"/>
        <v>0</v>
      </c>
      <c r="T11" s="76">
        <f>920-500</f>
        <v>420</v>
      </c>
      <c r="U11" s="73">
        <f aca="true" t="shared" si="6" ref="U11:U16">+T11/T$17</f>
        <v>0.042870266408084105</v>
      </c>
      <c r="V11" s="14"/>
      <c r="W11" s="14"/>
      <c r="X11" s="77">
        <f t="shared" si="2"/>
        <v>43700</v>
      </c>
      <c r="Y11" s="73">
        <f aca="true" t="shared" si="7" ref="Y11:Y16">+X11/X$17</f>
        <v>0.39986823563859963</v>
      </c>
    </row>
    <row r="12" spans="1:25" ht="12.75">
      <c r="A12" s="12">
        <v>5</v>
      </c>
      <c r="C12" s="2" t="s">
        <v>11</v>
      </c>
      <c r="E12" s="76">
        <f>450-100</f>
        <v>350</v>
      </c>
      <c r="F12" s="73">
        <f t="shared" si="0"/>
        <v>0.03801042571676803</v>
      </c>
      <c r="H12" s="76">
        <f>1111-800</f>
        <v>311</v>
      </c>
      <c r="I12" s="73">
        <f t="shared" si="3"/>
        <v>0.06495405179615706</v>
      </c>
      <c r="J12" s="14"/>
      <c r="K12" s="76">
        <f>500+1623+200</f>
        <v>2323</v>
      </c>
      <c r="L12" s="73">
        <f t="shared" si="4"/>
        <v>0.045658241283069306</v>
      </c>
      <c r="M12" s="14"/>
      <c r="N12" s="76">
        <v>2315</v>
      </c>
      <c r="O12" s="73">
        <f t="shared" si="5"/>
        <v>0.09887246946271462</v>
      </c>
      <c r="P12" s="14"/>
      <c r="Q12" s="76">
        <f>700+300</f>
        <v>1000</v>
      </c>
      <c r="R12" s="73">
        <f t="shared" si="1"/>
        <v>0.08927774305865548</v>
      </c>
      <c r="T12" s="76">
        <f>580+350</f>
        <v>930</v>
      </c>
      <c r="U12" s="73">
        <f t="shared" si="6"/>
        <v>0.09492701847504338</v>
      </c>
      <c r="V12" s="14"/>
      <c r="W12" s="14"/>
      <c r="X12" s="77">
        <f t="shared" si="2"/>
        <v>7229</v>
      </c>
      <c r="Y12" s="73">
        <f t="shared" si="7"/>
        <v>0.06614753948355691</v>
      </c>
    </row>
    <row r="13" spans="1:25" ht="12.75">
      <c r="A13" s="12">
        <v>6</v>
      </c>
      <c r="C13" s="2" t="s">
        <v>12</v>
      </c>
      <c r="E13" s="76">
        <v>0</v>
      </c>
      <c r="F13" s="73">
        <f t="shared" si="0"/>
        <v>0</v>
      </c>
      <c r="H13" s="76">
        <v>800</v>
      </c>
      <c r="I13" s="73">
        <f t="shared" si="3"/>
        <v>0.1670843776106934</v>
      </c>
      <c r="J13" s="14"/>
      <c r="K13" s="76">
        <v>0</v>
      </c>
      <c r="L13" s="73">
        <f t="shared" si="4"/>
        <v>0</v>
      </c>
      <c r="M13" s="14"/>
      <c r="N13" s="76">
        <v>0</v>
      </c>
      <c r="O13" s="73">
        <f t="shared" si="5"/>
        <v>0</v>
      </c>
      <c r="P13" s="14"/>
      <c r="Q13" s="76">
        <f>6100-200</f>
        <v>5900</v>
      </c>
      <c r="R13" s="73">
        <f t="shared" si="1"/>
        <v>0.5267386840460673</v>
      </c>
      <c r="T13" s="76">
        <v>0</v>
      </c>
      <c r="U13" s="73">
        <f t="shared" si="6"/>
        <v>0</v>
      </c>
      <c r="V13" s="14"/>
      <c r="W13" s="14"/>
      <c r="X13" s="77">
        <f t="shared" si="2"/>
        <v>6700</v>
      </c>
      <c r="Y13" s="73">
        <f t="shared" si="7"/>
        <v>0.061307029262668594</v>
      </c>
    </row>
    <row r="14" spans="1:25" ht="12.75">
      <c r="A14" s="12">
        <v>7</v>
      </c>
      <c r="C14" s="2" t="s">
        <v>13</v>
      </c>
      <c r="E14" s="76">
        <v>291</v>
      </c>
      <c r="F14" s="73">
        <f t="shared" si="0"/>
        <v>0.031602953953084274</v>
      </c>
      <c r="H14" s="76">
        <v>95</v>
      </c>
      <c r="I14" s="73">
        <f t="shared" si="3"/>
        <v>0.01984126984126984</v>
      </c>
      <c r="J14" s="14"/>
      <c r="K14" s="76">
        <v>425</v>
      </c>
      <c r="L14" s="73">
        <f t="shared" si="4"/>
        <v>0.008353315774991155</v>
      </c>
      <c r="M14" s="14"/>
      <c r="N14" s="76">
        <f>1825-25</f>
        <v>1800</v>
      </c>
      <c r="O14" s="73">
        <f t="shared" si="5"/>
        <v>0.07687708208763987</v>
      </c>
      <c r="P14" s="14"/>
      <c r="Q14" s="76">
        <f>314+250+1</f>
        <v>565</v>
      </c>
      <c r="R14" s="73">
        <f t="shared" si="1"/>
        <v>0.05044192482814035</v>
      </c>
      <c r="T14" s="76">
        <f>910+164</f>
        <v>1074</v>
      </c>
      <c r="U14" s="73">
        <f t="shared" si="6"/>
        <v>0.10962539552924365</v>
      </c>
      <c r="V14" s="14"/>
      <c r="W14" s="14"/>
      <c r="X14" s="77">
        <f t="shared" si="2"/>
        <v>4250</v>
      </c>
      <c r="Y14" s="73">
        <f t="shared" si="7"/>
        <v>0.03888878721885695</v>
      </c>
    </row>
    <row r="15" spans="1:25" ht="12.75">
      <c r="A15" s="12">
        <v>8</v>
      </c>
      <c r="C15" s="2" t="s">
        <v>14</v>
      </c>
      <c r="E15" s="76">
        <v>143</v>
      </c>
      <c r="F15" s="73">
        <f t="shared" si="0"/>
        <v>0.01552997393570808</v>
      </c>
      <c r="H15" s="76">
        <v>1403</v>
      </c>
      <c r="I15" s="73">
        <f t="shared" si="3"/>
        <v>0.2930242272347536</v>
      </c>
      <c r="J15" s="14"/>
      <c r="K15" s="76">
        <f>314-12-21</f>
        <v>281</v>
      </c>
      <c r="L15" s="73">
        <f t="shared" si="4"/>
        <v>0.005523015841817682</v>
      </c>
      <c r="M15" s="14"/>
      <c r="N15" s="76">
        <f>532+25</f>
        <v>557</v>
      </c>
      <c r="O15" s="73">
        <f t="shared" si="5"/>
        <v>0.023789185957119673</v>
      </c>
      <c r="P15" s="14"/>
      <c r="Q15" s="76">
        <f>1122-250</f>
        <v>872</v>
      </c>
      <c r="R15" s="73">
        <f t="shared" si="1"/>
        <v>0.07785019194714758</v>
      </c>
      <c r="T15" s="76">
        <f>229-14</f>
        <v>215</v>
      </c>
      <c r="U15" s="73">
        <f t="shared" si="6"/>
        <v>0.02194549351842401</v>
      </c>
      <c r="V15" s="14"/>
      <c r="W15" s="14"/>
      <c r="X15" s="77">
        <f t="shared" si="2"/>
        <v>3471</v>
      </c>
      <c r="Y15" s="73">
        <f t="shared" si="7"/>
        <v>0.03176070127921234</v>
      </c>
    </row>
    <row r="16" spans="1:25" ht="12.75">
      <c r="A16" s="12">
        <v>9</v>
      </c>
      <c r="C16" s="2" t="s">
        <v>15</v>
      </c>
      <c r="E16" s="76">
        <f>438+100+100+1</f>
        <v>639</v>
      </c>
      <c r="F16" s="73">
        <f t="shared" si="0"/>
        <v>0.06939617723718505</v>
      </c>
      <c r="H16" s="76">
        <v>228</v>
      </c>
      <c r="I16" s="73">
        <f t="shared" si="3"/>
        <v>0.047619047619047616</v>
      </c>
      <c r="J16" s="14"/>
      <c r="K16" s="76">
        <v>1000</v>
      </c>
      <c r="L16" s="73">
        <f t="shared" si="4"/>
        <v>0.019654860647038013</v>
      </c>
      <c r="M16" s="14"/>
      <c r="N16" s="76">
        <v>615</v>
      </c>
      <c r="O16" s="73">
        <f t="shared" si="5"/>
        <v>0.026266336379943623</v>
      </c>
      <c r="P16" s="14"/>
      <c r="Q16" s="76">
        <v>533</v>
      </c>
      <c r="R16" s="73">
        <f t="shared" si="1"/>
        <v>0.04758503705026337</v>
      </c>
      <c r="T16" s="76">
        <v>466</v>
      </c>
      <c r="U16" s="73">
        <f t="shared" si="6"/>
        <v>0.047565581300398084</v>
      </c>
      <c r="V16" s="14"/>
      <c r="W16" s="14"/>
      <c r="X16" s="77">
        <f t="shared" si="2"/>
        <v>3481</v>
      </c>
      <c r="Y16" s="73">
        <f t="shared" si="7"/>
        <v>0.031852204307962595</v>
      </c>
    </row>
    <row r="17" spans="1:25" ht="12.75">
      <c r="A17" s="12"/>
      <c r="C17" s="2" t="s">
        <v>17</v>
      </c>
      <c r="E17" s="15">
        <f>SUM(E8:E16)</f>
        <v>9208</v>
      </c>
      <c r="F17" s="16">
        <v>1</v>
      </c>
      <c r="H17" s="15">
        <f>SUM(H8:H16)</f>
        <v>4788</v>
      </c>
      <c r="I17" s="16">
        <v>1</v>
      </c>
      <c r="J17" s="13"/>
      <c r="K17" s="15">
        <f>SUM(K8:K16)</f>
        <v>50878</v>
      </c>
      <c r="L17" s="16">
        <v>1</v>
      </c>
      <c r="M17" s="13"/>
      <c r="N17" s="15">
        <f>SUM(N8:N16)</f>
        <v>23414</v>
      </c>
      <c r="O17" s="16">
        <v>1</v>
      </c>
      <c r="P17" s="13"/>
      <c r="Q17" s="15">
        <f>SUM(Q8:Q16)</f>
        <v>11201</v>
      </c>
      <c r="R17" s="16">
        <v>1</v>
      </c>
      <c r="T17" s="15">
        <f>SUM(T8:T16)</f>
        <v>9797</v>
      </c>
      <c r="U17" s="16">
        <v>1</v>
      </c>
      <c r="V17" s="13"/>
      <c r="W17" s="13"/>
      <c r="X17" s="15">
        <f>SUM(X8:X16)</f>
        <v>109286</v>
      </c>
      <c r="Y17" s="16">
        <v>1</v>
      </c>
    </row>
    <row r="18" spans="1:25" ht="12.75">
      <c r="A18" s="12"/>
      <c r="E18" s="14"/>
      <c r="F18" s="78">
        <f>+E17/$X17</f>
        <v>0.0842559888732317</v>
      </c>
      <c r="H18" s="14"/>
      <c r="I18" s="78">
        <f>+H17/$X17</f>
        <v>0.04381165016562048</v>
      </c>
      <c r="J18" s="14"/>
      <c r="K18" s="14"/>
      <c r="L18" s="78">
        <f>+K17/$X17</f>
        <v>0.46554910967553026</v>
      </c>
      <c r="M18" s="14"/>
      <c r="N18" s="14"/>
      <c r="O18" s="78">
        <f>+N17/$X17</f>
        <v>0.21424519151583918</v>
      </c>
      <c r="P18" s="14"/>
      <c r="Q18" s="14"/>
      <c r="R18" s="78">
        <f>+Q17/$X17</f>
        <v>0.10249254250315686</v>
      </c>
      <c r="T18" s="14"/>
      <c r="U18" s="78">
        <f>+T17/$X17</f>
        <v>0.08964551726662152</v>
      </c>
      <c r="V18" s="14"/>
      <c r="W18" s="14"/>
      <c r="X18" s="14"/>
      <c r="Y18" s="78">
        <f>+X17/$X17</f>
        <v>1</v>
      </c>
    </row>
    <row r="19" spans="1:24" ht="12.75">
      <c r="A19" s="12"/>
      <c r="E19" s="14"/>
      <c r="F19" s="17"/>
      <c r="H19" s="14"/>
      <c r="I19" s="14"/>
      <c r="J19" s="14"/>
      <c r="K19" s="14"/>
      <c r="L19" s="17"/>
      <c r="M19" s="17"/>
      <c r="N19" s="14"/>
      <c r="O19" s="17"/>
      <c r="P19" s="17"/>
      <c r="Q19" s="14"/>
      <c r="R19" s="17"/>
      <c r="T19" s="13"/>
      <c r="U19" s="17"/>
      <c r="V19" s="17"/>
      <c r="W19" s="17"/>
      <c r="X19" s="14"/>
    </row>
    <row r="20" spans="1:25" ht="14.25" thickBot="1">
      <c r="A20" s="12"/>
      <c r="C20" s="5" t="s">
        <v>67</v>
      </c>
      <c r="D20" s="5"/>
      <c r="E20" s="6" t="s">
        <v>0</v>
      </c>
      <c r="F20" s="7"/>
      <c r="G20" s="5"/>
      <c r="H20" s="6" t="s">
        <v>1</v>
      </c>
      <c r="I20" s="79"/>
      <c r="J20" s="8"/>
      <c r="K20" s="6" t="s">
        <v>2</v>
      </c>
      <c r="L20" s="7"/>
      <c r="M20" s="9"/>
      <c r="N20" s="6" t="s">
        <v>3</v>
      </c>
      <c r="O20" s="7"/>
      <c r="P20" s="9"/>
      <c r="Q20" s="6" t="s">
        <v>4</v>
      </c>
      <c r="R20" s="7"/>
      <c r="T20" s="6" t="s">
        <v>5</v>
      </c>
      <c r="U20" s="7"/>
      <c r="V20" s="9"/>
      <c r="W20" s="9"/>
      <c r="X20" s="6" t="s">
        <v>66</v>
      </c>
      <c r="Y20" s="7"/>
    </row>
    <row r="21" spans="1:25" ht="14.25" thickTop="1">
      <c r="A21" s="12"/>
      <c r="C21" s="5"/>
      <c r="D21" s="5"/>
      <c r="E21" s="10"/>
      <c r="F21" s="11" t="s">
        <v>6</v>
      </c>
      <c r="G21" s="5"/>
      <c r="H21" s="10"/>
      <c r="I21" s="11" t="s">
        <v>6</v>
      </c>
      <c r="J21" s="8"/>
      <c r="K21" s="10"/>
      <c r="L21" s="11" t="s">
        <v>6</v>
      </c>
      <c r="M21" s="9"/>
      <c r="N21" s="10"/>
      <c r="O21" s="11" t="s">
        <v>6</v>
      </c>
      <c r="P21" s="9"/>
      <c r="Q21" s="10"/>
      <c r="R21" s="11" t="s">
        <v>6</v>
      </c>
      <c r="T21" s="10"/>
      <c r="U21" s="11" t="s">
        <v>6</v>
      </c>
      <c r="V21" s="9"/>
      <c r="W21" s="9"/>
      <c r="X21" s="10"/>
      <c r="Y21" s="11" t="s">
        <v>6</v>
      </c>
    </row>
    <row r="22" spans="1:25" ht="12.75">
      <c r="A22" s="12">
        <v>1</v>
      </c>
      <c r="C22" s="2" t="s">
        <v>7</v>
      </c>
      <c r="E22" s="80">
        <f>ROUND(+'[1]rollup'!$I11/1000,0)</f>
        <v>2490</v>
      </c>
      <c r="F22" s="75">
        <f aca="true" t="shared" si="8" ref="F22:F31">+E22/E$32</f>
        <v>0.32832278481012656</v>
      </c>
      <c r="H22" s="80">
        <f>+'[2]rollup'!$G9/1000</f>
        <v>1294.41</v>
      </c>
      <c r="I22" s="75">
        <f>+H22/H$32</f>
        <v>0.3452680714857296</v>
      </c>
      <c r="J22" s="13"/>
      <c r="K22" s="72">
        <f>+'[3]rollup'!$I11/1000</f>
        <v>4844.695</v>
      </c>
      <c r="L22" s="75">
        <f>+K22/K$32</f>
        <v>0.08955405005730341</v>
      </c>
      <c r="M22" s="13"/>
      <c r="N22" s="72">
        <f>+'[4]rollup'!$N11/1000</f>
        <v>20298.8519782</v>
      </c>
      <c r="O22" s="75">
        <f>+N22/N$32</f>
        <v>0.779585681626853</v>
      </c>
      <c r="P22" s="13"/>
      <c r="Q22" s="72">
        <f>+'[5]rollup'!$I11/1000</f>
        <v>2997.339</v>
      </c>
      <c r="R22" s="75">
        <f aca="true" t="shared" si="9" ref="R22:R31">+Q22/Q$32</f>
        <v>0.2844854783599089</v>
      </c>
      <c r="T22" s="72">
        <f>+'[6]rollup'!$M12/1000</f>
        <v>6487.379</v>
      </c>
      <c r="U22" s="75">
        <f>+T22/T$32</f>
        <v>0.5867214434295016</v>
      </c>
      <c r="V22" s="13"/>
      <c r="W22" s="13"/>
      <c r="X22" s="72">
        <f>ROUND(E22,0)+ROUND(H22,0)+ROUND(K22,0)+ROUND(N22,0)+ROUND(Q22,0)+ROUND(T22,0)</f>
        <v>38412</v>
      </c>
      <c r="Y22" s="75">
        <f>+X22/X$32</f>
        <v>0.33974279598804197</v>
      </c>
    </row>
    <row r="23" spans="1:25" ht="12.75">
      <c r="A23" s="12">
        <v>2</v>
      </c>
      <c r="C23" s="2" t="s">
        <v>8</v>
      </c>
      <c r="E23" s="81">
        <f>ROUND(+'[1]rollup'!$I12/1000,0)</f>
        <v>4193</v>
      </c>
      <c r="F23" s="73">
        <f t="shared" si="8"/>
        <v>0.5528744725738397</v>
      </c>
      <c r="H23" s="76">
        <f>+'[2]rollup'!$G10/1000</f>
        <v>0</v>
      </c>
      <c r="I23" s="73">
        <f>+H23/H$32</f>
        <v>0</v>
      </c>
      <c r="J23" s="14"/>
      <c r="K23" s="77">
        <f>+'[3]rollup'!$I12/1000</f>
        <v>1972</v>
      </c>
      <c r="L23" s="73">
        <f>+K23/K$32</f>
        <v>0.036452364227882735</v>
      </c>
      <c r="M23" s="82"/>
      <c r="N23" s="77">
        <f>+'[4]rollup'!$N12/1000</f>
        <v>0</v>
      </c>
      <c r="O23" s="73">
        <f>+N23/N$32</f>
        <v>0</v>
      </c>
      <c r="P23" s="82"/>
      <c r="Q23" s="77">
        <f>+'[5]rollup'!$I12/1000</f>
        <v>0</v>
      </c>
      <c r="R23" s="73">
        <f t="shared" si="9"/>
        <v>0</v>
      </c>
      <c r="T23" s="77">
        <f>+'[6]rollup'!$M13/1000</f>
        <v>0</v>
      </c>
      <c r="U23" s="73">
        <f>+T23/T$32</f>
        <v>0</v>
      </c>
      <c r="V23" s="17"/>
      <c r="W23" s="17"/>
      <c r="X23" s="77">
        <f aca="true" t="shared" si="10" ref="X23:X31">ROUND(E23,0)+ROUND(H23,0)+ROUND(K23,0)+ROUND(N23,0)+ROUND(Q23,0)+ROUND(T23,0)</f>
        <v>6165</v>
      </c>
      <c r="Y23" s="73">
        <f>+X23/X$32</f>
        <v>0.054527604323291644</v>
      </c>
    </row>
    <row r="24" spans="1:25" ht="12.75">
      <c r="A24" s="12">
        <v>3</v>
      </c>
      <c r="C24" s="2" t="s">
        <v>9</v>
      </c>
      <c r="E24" s="81">
        <f>+'[1]rollup'!$I13/1000</f>
        <v>0</v>
      </c>
      <c r="F24" s="73">
        <f t="shared" si="8"/>
        <v>0</v>
      </c>
      <c r="H24" s="76">
        <f>+'[2]rollup'!$G11/1000</f>
        <v>768</v>
      </c>
      <c r="I24" s="73">
        <f aca="true" t="shared" si="11" ref="I24:I31">+H24/H$32</f>
        <v>0.20485462790077355</v>
      </c>
      <c r="J24" s="14"/>
      <c r="K24" s="77">
        <f>+'[3]rollup'!$I13/1000</f>
        <v>0</v>
      </c>
      <c r="L24" s="73">
        <f aca="true" t="shared" si="12" ref="L24:L31">+K24/K$32</f>
        <v>0</v>
      </c>
      <c r="M24" s="82"/>
      <c r="N24" s="77">
        <f>+'[4]rollup'!$N13/1000</f>
        <v>0</v>
      </c>
      <c r="O24" s="73">
        <f aca="true" t="shared" si="13" ref="O24:O31">+N24/N$32</f>
        <v>0</v>
      </c>
      <c r="P24" s="82"/>
      <c r="Q24" s="77">
        <f>+'[5]rollup'!$I13/1000</f>
        <v>0</v>
      </c>
      <c r="R24" s="73">
        <f t="shared" si="9"/>
        <v>0</v>
      </c>
      <c r="T24" s="77">
        <f>+'[6]rollup'!$M14/1000</f>
        <v>0</v>
      </c>
      <c r="U24" s="73">
        <f aca="true" t="shared" si="14" ref="U24:U31">+T24/T$32</f>
        <v>0</v>
      </c>
      <c r="V24" s="17"/>
      <c r="W24" s="17"/>
      <c r="X24" s="77">
        <f t="shared" si="10"/>
        <v>768</v>
      </c>
      <c r="Y24" s="73">
        <f aca="true" t="shared" si="15" ref="Y24:Y31">+X24/X$32</f>
        <v>0.006792733190638765</v>
      </c>
    </row>
    <row r="25" spans="1:25" ht="12.75">
      <c r="A25" s="12">
        <v>4</v>
      </c>
      <c r="C25" s="2" t="s">
        <v>10</v>
      </c>
      <c r="E25" s="81">
        <f>+'[1]rollup'!$I14/1000</f>
        <v>0</v>
      </c>
      <c r="F25" s="73">
        <f t="shared" si="8"/>
        <v>0</v>
      </c>
      <c r="H25" s="76">
        <f>+'[2]rollup'!$G12/1000</f>
        <v>0</v>
      </c>
      <c r="I25" s="73">
        <f t="shared" si="11"/>
        <v>0</v>
      </c>
      <c r="J25" s="14"/>
      <c r="K25" s="77">
        <f>+'[3]rollup'!$I14/1000</f>
        <v>42506</v>
      </c>
      <c r="L25" s="73">
        <f t="shared" si="12"/>
        <v>0.785722207845022</v>
      </c>
      <c r="M25" s="82"/>
      <c r="N25" s="77">
        <f>+'[4]rollup'!$N14/1000</f>
        <v>1588.23675</v>
      </c>
      <c r="O25" s="73">
        <f t="shared" si="13"/>
        <v>0.06099687956064214</v>
      </c>
      <c r="P25" s="82"/>
      <c r="Q25" s="77">
        <f>+'[5]rollup'!$I14/1000</f>
        <v>0</v>
      </c>
      <c r="R25" s="73">
        <f t="shared" si="9"/>
        <v>0</v>
      </c>
      <c r="T25" s="77">
        <f>+'[6]rollup'!$M15/1000</f>
        <v>2365.63525</v>
      </c>
      <c r="U25" s="73">
        <f t="shared" si="14"/>
        <v>0.21394910463959482</v>
      </c>
      <c r="V25" s="17"/>
      <c r="W25" s="17"/>
      <c r="X25" s="77">
        <f t="shared" si="10"/>
        <v>46460</v>
      </c>
      <c r="Y25" s="73">
        <f t="shared" si="15"/>
        <v>0.41092497921494403</v>
      </c>
    </row>
    <row r="26" spans="1:25" ht="12.75">
      <c r="A26" s="12">
        <v>5</v>
      </c>
      <c r="C26" s="2" t="s">
        <v>11</v>
      </c>
      <c r="E26" s="81">
        <f>ROUND(+'[1]rollup'!$I15/1000,0)</f>
        <v>547</v>
      </c>
      <c r="F26" s="73">
        <f t="shared" si="8"/>
        <v>0.07212552742616034</v>
      </c>
      <c r="H26" s="76">
        <f>+'[2]rollup'!$G13/1000</f>
        <v>325</v>
      </c>
      <c r="I26" s="73">
        <f t="shared" si="11"/>
        <v>0.08668978394238464</v>
      </c>
      <c r="J26" s="14"/>
      <c r="K26" s="77">
        <f>+'[3]rollup'!$I15/1000</f>
        <v>4301</v>
      </c>
      <c r="L26" s="73">
        <f t="shared" si="12"/>
        <v>0.07950386335908906</v>
      </c>
      <c r="M26" s="82"/>
      <c r="N26" s="77">
        <f>+'[4]rollup'!$N15/1000</f>
        <v>2415.4</v>
      </c>
      <c r="O26" s="73">
        <f t="shared" si="13"/>
        <v>0.09276442123050926</v>
      </c>
      <c r="P26" s="82"/>
      <c r="Q26" s="77">
        <f>+'[5]rollup'!$I15/1000</f>
        <v>850</v>
      </c>
      <c r="R26" s="73">
        <f t="shared" si="9"/>
        <v>0.08067577828397873</v>
      </c>
      <c r="T26" s="77">
        <f>+'[6]rollup'!$M16/1000</f>
        <v>1094.5</v>
      </c>
      <c r="U26" s="73">
        <f t="shared" si="14"/>
        <v>0.09898706701636972</v>
      </c>
      <c r="V26" s="17"/>
      <c r="W26" s="17"/>
      <c r="X26" s="77">
        <f t="shared" si="10"/>
        <v>9533</v>
      </c>
      <c r="Y26" s="73">
        <f t="shared" si="15"/>
        <v>0.08431656966973873</v>
      </c>
    </row>
    <row r="27" spans="1:25" ht="12.75">
      <c r="A27" s="12">
        <v>6</v>
      </c>
      <c r="C27" s="2" t="s">
        <v>12</v>
      </c>
      <c r="E27" s="81">
        <f>+'[1]rollup'!$I16/1000</f>
        <v>0</v>
      </c>
      <c r="F27" s="73">
        <f t="shared" si="8"/>
        <v>0</v>
      </c>
      <c r="H27" s="76">
        <f>+'[2]rollup'!$G14/1000</f>
        <v>1030</v>
      </c>
      <c r="I27" s="73">
        <f t="shared" si="11"/>
        <v>0.27473993064817287</v>
      </c>
      <c r="J27" s="14"/>
      <c r="K27" s="77">
        <f>+'[3]rollup'!$I16/1000</f>
        <v>0</v>
      </c>
      <c r="L27" s="73">
        <f t="shared" si="12"/>
        <v>0</v>
      </c>
      <c r="M27" s="82"/>
      <c r="N27" s="77">
        <f>+'[4]rollup'!$N16/1000</f>
        <v>0</v>
      </c>
      <c r="O27" s="73">
        <f t="shared" si="13"/>
        <v>0</v>
      </c>
      <c r="P27" s="82"/>
      <c r="Q27" s="77">
        <f>+'[5]rollup'!$I16/1000</f>
        <v>4000</v>
      </c>
      <c r="R27" s="73">
        <f t="shared" si="9"/>
        <v>0.37965072133637057</v>
      </c>
      <c r="T27" s="77">
        <f>+'[6]rollup'!$M17/1000</f>
        <v>0</v>
      </c>
      <c r="U27" s="73">
        <f t="shared" si="14"/>
        <v>0</v>
      </c>
      <c r="V27" s="17"/>
      <c r="W27" s="17"/>
      <c r="X27" s="77">
        <f t="shared" si="10"/>
        <v>5030</v>
      </c>
      <c r="Y27" s="73">
        <f t="shared" si="15"/>
        <v>0.04448886451681378</v>
      </c>
    </row>
    <row r="28" spans="1:25" ht="12.75">
      <c r="A28" s="12">
        <v>7</v>
      </c>
      <c r="C28" s="2" t="s">
        <v>13</v>
      </c>
      <c r="E28" s="81">
        <f>ROUND(+'[1]rollup'!$I17/1000,0)</f>
        <v>200</v>
      </c>
      <c r="F28" s="73">
        <f t="shared" si="8"/>
        <v>0.026371308016877638</v>
      </c>
      <c r="H28" s="76">
        <f>+'[2]rollup'!$G15/1000</f>
        <v>103.5</v>
      </c>
      <c r="I28" s="73">
        <f t="shared" si="11"/>
        <v>0.027607361963190184</v>
      </c>
      <c r="J28" s="14"/>
      <c r="K28" s="77">
        <f>+'[3]rollup'!$I17/1000</f>
        <v>314.3</v>
      </c>
      <c r="L28" s="73">
        <f t="shared" si="12"/>
        <v>0.005809826610965285</v>
      </c>
      <c r="M28" s="82"/>
      <c r="N28" s="77">
        <f>+'[4]rollup'!$N17/1000</f>
        <v>1477.5806</v>
      </c>
      <c r="O28" s="73">
        <f t="shared" si="13"/>
        <v>0.05674708502957217</v>
      </c>
      <c r="P28" s="82"/>
      <c r="Q28" s="77">
        <f>+'[5]rollup'!$I17/1000</f>
        <v>439.8</v>
      </c>
      <c r="R28" s="73">
        <f t="shared" si="9"/>
        <v>0.041742596810933945</v>
      </c>
      <c r="T28" s="77">
        <f>+'[6]rollup'!$M18/1000</f>
        <v>919</v>
      </c>
      <c r="U28" s="73">
        <f t="shared" si="14"/>
        <v>0.08311476892466312</v>
      </c>
      <c r="V28" s="17"/>
      <c r="W28" s="17"/>
      <c r="X28" s="77">
        <f t="shared" si="10"/>
        <v>3455</v>
      </c>
      <c r="Y28" s="73">
        <f t="shared" si="15"/>
        <v>0.03055845465319913</v>
      </c>
    </row>
    <row r="29" spans="1:25" ht="12.75">
      <c r="A29" s="12">
        <v>8</v>
      </c>
      <c r="C29" s="2" t="s">
        <v>14</v>
      </c>
      <c r="E29" s="81">
        <f>ROUND(+'[1]rollup'!$I18/1000,0)</f>
        <v>154</v>
      </c>
      <c r="F29" s="73">
        <f t="shared" si="8"/>
        <v>0.02030590717299578</v>
      </c>
      <c r="H29" s="76">
        <f>+'[2]rollup'!$G16/1000</f>
        <v>227.5</v>
      </c>
      <c r="I29" s="73">
        <f t="shared" si="11"/>
        <v>0.06068284875966924</v>
      </c>
      <c r="J29" s="14"/>
      <c r="K29" s="77">
        <f>+'[3]rollup'!$I18/1000</f>
        <v>160</v>
      </c>
      <c r="L29" s="73">
        <f t="shared" si="12"/>
        <v>0.0029575954748789234</v>
      </c>
      <c r="M29" s="82"/>
      <c r="N29" s="77">
        <f>+'[4]rollup'!$N18/1000</f>
        <v>257.72</v>
      </c>
      <c r="O29" s="73">
        <f t="shared" si="13"/>
        <v>0.009897841616099547</v>
      </c>
      <c r="P29" s="82"/>
      <c r="Q29" s="77">
        <f>+'[5]rollup'!$I18/1000</f>
        <v>748.8</v>
      </c>
      <c r="R29" s="73">
        <f t="shared" si="9"/>
        <v>0.07107061503416856</v>
      </c>
      <c r="T29" s="77">
        <f>+'[6]rollup'!$M19/1000</f>
        <v>189.5</v>
      </c>
      <c r="U29" s="73">
        <f t="shared" si="14"/>
        <v>0.01713846432124446</v>
      </c>
      <c r="V29" s="17"/>
      <c r="W29" s="17"/>
      <c r="X29" s="77">
        <f t="shared" si="10"/>
        <v>1739</v>
      </c>
      <c r="Y29" s="73">
        <f t="shared" si="15"/>
        <v>0.01538094143036564</v>
      </c>
    </row>
    <row r="30" spans="1:25" ht="12.75">
      <c r="A30" s="12">
        <v>9</v>
      </c>
      <c r="C30" s="2" t="s">
        <v>15</v>
      </c>
      <c r="E30" s="81">
        <v>0</v>
      </c>
      <c r="F30" s="73">
        <f t="shared" si="8"/>
        <v>0</v>
      </c>
      <c r="H30" s="76">
        <f>+'[2]rollup'!$G17/1000</f>
        <v>0</v>
      </c>
      <c r="I30" s="73">
        <f t="shared" si="11"/>
        <v>0</v>
      </c>
      <c r="J30" s="14"/>
      <c r="K30" s="77">
        <f>+'[3]rollup'!$I19/1000</f>
        <v>0</v>
      </c>
      <c r="L30" s="73">
        <f t="shared" si="12"/>
        <v>0</v>
      </c>
      <c r="M30" s="82"/>
      <c r="N30" s="77">
        <f>+'[4]rollup'!$N19/1000</f>
        <v>0</v>
      </c>
      <c r="O30" s="73">
        <f t="shared" si="13"/>
        <v>0</v>
      </c>
      <c r="P30" s="82"/>
      <c r="Q30" s="77">
        <f>+'[5]rollup'!$I19/1000</f>
        <v>0</v>
      </c>
      <c r="R30" s="73">
        <f t="shared" si="9"/>
        <v>0</v>
      </c>
      <c r="T30" s="77">
        <f>+'[6]rollup'!$M20/1000</f>
        <v>0</v>
      </c>
      <c r="U30" s="73">
        <f t="shared" si="14"/>
        <v>0</v>
      </c>
      <c r="V30" s="17"/>
      <c r="W30" s="17"/>
      <c r="X30" s="77">
        <f t="shared" si="10"/>
        <v>0</v>
      </c>
      <c r="Y30" s="73">
        <f t="shared" si="15"/>
        <v>0</v>
      </c>
    </row>
    <row r="31" spans="1:25" ht="12.75">
      <c r="A31" s="18">
        <v>10</v>
      </c>
      <c r="B31" s="19"/>
      <c r="C31" s="19" t="s">
        <v>16</v>
      </c>
      <c r="D31" s="19"/>
      <c r="E31" s="81">
        <v>0</v>
      </c>
      <c r="F31" s="73">
        <f t="shared" si="8"/>
        <v>0</v>
      </c>
      <c r="G31" s="19"/>
      <c r="H31" s="76">
        <f>+'[2]rollup'!$G18/1000</f>
        <v>0</v>
      </c>
      <c r="I31" s="73">
        <f t="shared" si="11"/>
        <v>0</v>
      </c>
      <c r="J31" s="21"/>
      <c r="K31" s="77">
        <v>0</v>
      </c>
      <c r="L31" s="73">
        <f t="shared" si="12"/>
        <v>0</v>
      </c>
      <c r="M31" s="83"/>
      <c r="N31" s="77"/>
      <c r="O31" s="73">
        <f t="shared" si="13"/>
        <v>0</v>
      </c>
      <c r="P31" s="83"/>
      <c r="Q31" s="77">
        <f>+'[5]rollup'!$I20/1000</f>
        <v>1500</v>
      </c>
      <c r="R31" s="73">
        <f t="shared" si="9"/>
        <v>0.14236902050113895</v>
      </c>
      <c r="T31" s="77">
        <v>0</v>
      </c>
      <c r="U31" s="73">
        <f t="shared" si="14"/>
        <v>0</v>
      </c>
      <c r="V31" s="68"/>
      <c r="W31" s="68"/>
      <c r="X31" s="77">
        <f t="shared" si="10"/>
        <v>1500</v>
      </c>
      <c r="Y31" s="73">
        <f t="shared" si="15"/>
        <v>0.013267057012966337</v>
      </c>
    </row>
    <row r="32" spans="3:25" ht="12.75">
      <c r="C32" s="2" t="s">
        <v>17</v>
      </c>
      <c r="E32" s="15">
        <f>SUM(E22:E31)</f>
        <v>7584</v>
      </c>
      <c r="F32" s="16">
        <v>1</v>
      </c>
      <c r="H32" s="15">
        <f>ROUND(H22,0)+ROUND(H23,0)+ROUND(H24,0)+ROUND(H25,0)+ROUND(H26,0)+ROUND(H27,0)+ROUND(H28,0)+ROUND(H29,0)+ROUND(H30,0)+ROUND(H31,0)</f>
        <v>3749</v>
      </c>
      <c r="I32" s="16">
        <v>1</v>
      </c>
      <c r="J32" s="13"/>
      <c r="K32" s="15">
        <f>ROUND(K22,0)+ROUND(K23,0)+ROUND(K24,0)+ROUND(K25,0)+ROUND(K26,0)+ROUND(K27,0)+ROUND(K28,0)+ROUND(K29,0)+ROUND(K30,0)+ROUND(K31,0)</f>
        <v>54098</v>
      </c>
      <c r="L32" s="16">
        <v>1</v>
      </c>
      <c r="M32" s="13"/>
      <c r="N32" s="15">
        <f>ROUND(N22,0)+ROUND(N23,0)+ROUND(N24,0)+ROUND(N25,0)+ROUND(N26,0)+ROUND(N27,0)+ROUND(N28,0)+ROUND(N29,0)+ROUND(N30,0)+ROUND(N31,0)</f>
        <v>26038</v>
      </c>
      <c r="O32" s="16">
        <v>1</v>
      </c>
      <c r="P32" s="13"/>
      <c r="Q32" s="15">
        <f>ROUND(Q22,0)+ROUND(Q23,0)+ROUND(Q24,0)+ROUND(Q25,0)+ROUND(Q26,0)+ROUND(Q27,0)+ROUND(Q28,0)+ROUND(Q29,0)+ROUND(Q30,0)+ROUND(Q31,0)</f>
        <v>10536</v>
      </c>
      <c r="R32" s="16">
        <v>1</v>
      </c>
      <c r="T32" s="15">
        <f>ROUND(T22,0)+ROUND(T23,0)+ROUND(T24,0)+ROUND(T25,0)+ROUND(T26,0)+ROUND(T27,0)+ROUND(T28,0)+ROUND(T29,0)+ROUND(T30,0)+ROUND(T31,0)</f>
        <v>11057</v>
      </c>
      <c r="U32" s="16">
        <v>1</v>
      </c>
      <c r="V32" s="68"/>
      <c r="W32" s="13"/>
      <c r="X32" s="15">
        <f>ROUND(X22,0)+ROUND(X23,0)+ROUND(X24,0)+ROUND(X25,0)+ROUND(X26,0)+ROUND(X27,0)+ROUND(X28,0)+ROUND(X29,0)+ROUND(X30,0)+ROUND(X31,0)</f>
        <v>113062</v>
      </c>
      <c r="Y32" s="16">
        <v>1</v>
      </c>
    </row>
    <row r="33" spans="5:27" ht="12.75">
      <c r="E33" s="23"/>
      <c r="F33" s="78">
        <f>+E32/$X32</f>
        <v>0.0670782402575578</v>
      </c>
      <c r="H33" s="23"/>
      <c r="I33" s="78">
        <f>+H32/$X32</f>
        <v>0.03315879782774053</v>
      </c>
      <c r="J33" s="13"/>
      <c r="K33" s="23"/>
      <c r="L33" s="78">
        <f>+K32/$X32</f>
        <v>0.4784808335249686</v>
      </c>
      <c r="M33" s="13"/>
      <c r="N33" s="23"/>
      <c r="O33" s="78">
        <f>+N32/$X32</f>
        <v>0.230298420335745</v>
      </c>
      <c r="P33" s="13"/>
      <c r="Q33" s="23"/>
      <c r="R33" s="78">
        <f>+Q32/$X32</f>
        <v>0.09318780845907555</v>
      </c>
      <c r="T33" s="23"/>
      <c r="U33" s="78">
        <f>+T32/$X32</f>
        <v>0.09779589959491253</v>
      </c>
      <c r="V33" s="13"/>
      <c r="W33" s="13"/>
      <c r="X33" s="13"/>
      <c r="Y33" s="78">
        <f>+X32/$X32</f>
        <v>1</v>
      </c>
      <c r="AA33" s="13" t="s">
        <v>70</v>
      </c>
    </row>
    <row r="34" spans="5:24" ht="12.75">
      <c r="E34" s="23"/>
      <c r="F34" s="13"/>
      <c r="H34" s="23"/>
      <c r="I34" s="13"/>
      <c r="J34" s="13"/>
      <c r="K34" s="23"/>
      <c r="L34" s="13"/>
      <c r="M34" s="13"/>
      <c r="N34" s="23"/>
      <c r="O34" s="13"/>
      <c r="P34" s="13"/>
      <c r="Q34" s="23"/>
      <c r="R34" s="13"/>
      <c r="T34" s="23"/>
      <c r="U34" s="13"/>
      <c r="V34" s="13"/>
      <c r="W34" s="13"/>
      <c r="X34" s="13"/>
    </row>
    <row r="35" spans="3:25" ht="12.75">
      <c r="C35" s="2" t="s">
        <v>68</v>
      </c>
      <c r="E35" s="23">
        <f>+E32-E17</f>
        <v>-1624</v>
      </c>
      <c r="F35" s="24">
        <f>+E35/E17</f>
        <v>-0.17636837532580366</v>
      </c>
      <c r="H35" s="23">
        <f>+H32-H17</f>
        <v>-1039</v>
      </c>
      <c r="I35" s="24">
        <f>+H35/H17</f>
        <v>-0.21700083542188806</v>
      </c>
      <c r="J35" s="23"/>
      <c r="K35" s="23">
        <f>+K32-K17</f>
        <v>3220</v>
      </c>
      <c r="L35" s="24">
        <f>+K35/K17</f>
        <v>0.0632886512834624</v>
      </c>
      <c r="M35" s="23"/>
      <c r="N35" s="23">
        <f>+N32-N17</f>
        <v>2624</v>
      </c>
      <c r="O35" s="24">
        <f>+N35/N17</f>
        <v>0.11206970188775946</v>
      </c>
      <c r="P35" s="23"/>
      <c r="Q35" s="23">
        <f>+Q32-Q17</f>
        <v>-665</v>
      </c>
      <c r="R35" s="24">
        <f>+Q35/Q17</f>
        <v>-0.059369699134005895</v>
      </c>
      <c r="T35" s="23">
        <f>+T32-T17</f>
        <v>1260</v>
      </c>
      <c r="U35" s="24">
        <f>+T35/T17</f>
        <v>0.1286107992242523</v>
      </c>
      <c r="V35" s="23"/>
      <c r="W35" s="23"/>
      <c r="X35" s="23">
        <f>+X32-X17</f>
        <v>3776</v>
      </c>
      <c r="Y35" s="24">
        <f>+X35/X17</f>
        <v>0.034551543656095016</v>
      </c>
    </row>
    <row r="36" spans="5:25" ht="12.75">
      <c r="E36" s="23"/>
      <c r="F36" s="24"/>
      <c r="H36" s="23"/>
      <c r="I36" s="24"/>
      <c r="J36" s="23"/>
      <c r="K36" s="23"/>
      <c r="L36" s="24"/>
      <c r="M36" s="23"/>
      <c r="N36" s="23"/>
      <c r="O36" s="24"/>
      <c r="P36" s="23"/>
      <c r="Q36" s="23"/>
      <c r="R36" s="24"/>
      <c r="T36" s="23"/>
      <c r="U36" s="24"/>
      <c r="V36" s="23"/>
      <c r="W36" s="23"/>
      <c r="X36" s="23"/>
      <c r="Y36" s="24"/>
    </row>
    <row r="37" spans="5:25" ht="12.75">
      <c r="E37" s="23"/>
      <c r="F37" s="24"/>
      <c r="H37" s="23"/>
      <c r="I37" s="24"/>
      <c r="J37" s="23"/>
      <c r="K37" s="23"/>
      <c r="L37" s="24"/>
      <c r="M37" s="23"/>
      <c r="N37" s="23"/>
      <c r="O37" s="24"/>
      <c r="P37" s="23"/>
      <c r="Q37" s="23"/>
      <c r="R37" s="24"/>
      <c r="T37" s="23"/>
      <c r="U37" s="24"/>
      <c r="V37" s="23"/>
      <c r="W37" s="23"/>
      <c r="X37" s="23"/>
      <c r="Y37" s="24"/>
    </row>
    <row r="38" spans="5:25" ht="12.75">
      <c r="E38" s="23"/>
      <c r="F38" s="24"/>
      <c r="H38" s="23"/>
      <c r="I38" s="24"/>
      <c r="J38" s="23"/>
      <c r="K38" s="23"/>
      <c r="L38" s="24"/>
      <c r="M38" s="23"/>
      <c r="N38" s="23"/>
      <c r="O38" s="24"/>
      <c r="P38" s="23"/>
      <c r="Q38" s="23"/>
      <c r="R38" s="24"/>
      <c r="T38" s="23"/>
      <c r="U38" s="24"/>
      <c r="V38" s="23"/>
      <c r="W38" s="23"/>
      <c r="X38" s="23"/>
      <c r="Y38" s="24"/>
    </row>
    <row r="39" spans="5:25" ht="12.75">
      <c r="E39" s="23"/>
      <c r="F39" s="24"/>
      <c r="H39" s="23"/>
      <c r="I39" s="24"/>
      <c r="J39" s="23"/>
      <c r="K39" s="23"/>
      <c r="L39" s="24"/>
      <c r="M39" s="23"/>
      <c r="N39" s="23"/>
      <c r="O39" s="24"/>
      <c r="P39" s="23"/>
      <c r="Q39" s="23"/>
      <c r="R39" s="24"/>
      <c r="T39" s="23"/>
      <c r="U39" s="24"/>
      <c r="V39" s="23"/>
      <c r="W39" s="23"/>
      <c r="X39" s="23"/>
      <c r="Y39" s="24"/>
    </row>
    <row r="40" spans="5:25" ht="12.75">
      <c r="E40" s="23"/>
      <c r="F40" s="24"/>
      <c r="H40" s="23"/>
      <c r="I40" s="24"/>
      <c r="J40" s="23"/>
      <c r="K40" s="19" t="s">
        <v>69</v>
      </c>
      <c r="L40" s="25"/>
      <c r="M40" s="84"/>
      <c r="N40" s="19"/>
      <c r="O40" s="24"/>
      <c r="P40" s="23"/>
      <c r="Q40" s="23"/>
      <c r="R40" s="24"/>
      <c r="T40" s="23"/>
      <c r="U40" s="24"/>
      <c r="V40" s="23"/>
      <c r="W40" s="23"/>
      <c r="X40" s="23"/>
      <c r="Y40" s="24"/>
    </row>
  </sheetData>
  <printOptions/>
  <pageMargins left="0.75" right="0.75" top="0.7" bottom="0.32" header="0.5" footer="0.29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21"/>
  <sheetViews>
    <sheetView workbookViewId="0" topLeftCell="A1">
      <selection activeCell="A2" sqref="A2"/>
    </sheetView>
  </sheetViews>
  <sheetFormatPr defaultColWidth="9.33203125" defaultRowHeight="12.75"/>
  <cols>
    <col min="1" max="1" width="3.33203125" style="2" customWidth="1"/>
    <col min="2" max="2" width="1.66796875" style="2" customWidth="1"/>
    <col min="3" max="3" width="28.33203125" style="2" customWidth="1"/>
    <col min="4" max="4" width="3.5" style="2" customWidth="1"/>
    <col min="5" max="5" width="14.83203125" style="2" customWidth="1"/>
    <col min="6" max="6" width="8.66015625" style="2" customWidth="1"/>
    <col min="7" max="7" width="1.3359375" style="2" customWidth="1"/>
    <col min="8" max="8" width="11.83203125" style="2" customWidth="1"/>
    <col min="9" max="9" width="9.33203125" style="2" customWidth="1"/>
    <col min="10" max="10" width="2.33203125" style="2" customWidth="1"/>
    <col min="11" max="11" width="12" style="2" customWidth="1"/>
    <col min="12" max="12" width="9.33203125" style="2" customWidth="1"/>
    <col min="13" max="13" width="3.33203125" style="2" customWidth="1"/>
    <col min="14" max="14" width="9.33203125" style="2" customWidth="1"/>
    <col min="15" max="15" width="17.66015625" style="2" customWidth="1"/>
    <col min="16" max="16384" width="9.33203125" style="2" customWidth="1"/>
  </cols>
  <sheetData>
    <row r="1" spans="1:3" ht="15.75">
      <c r="A1" s="1" t="s">
        <v>22</v>
      </c>
      <c r="C1" s="3"/>
    </row>
    <row r="2" spans="1:3" ht="15.75">
      <c r="A2" s="1" t="s">
        <v>54</v>
      </c>
      <c r="C2" s="3"/>
    </row>
    <row r="3" spans="1:3" ht="15.75">
      <c r="A3" s="1" t="s">
        <v>55</v>
      </c>
      <c r="C3" s="3"/>
    </row>
    <row r="4" spans="1:9" ht="14.25" thickBot="1">
      <c r="A4" s="3" t="s">
        <v>64</v>
      </c>
      <c r="C4" s="3"/>
      <c r="H4" s="6" t="s">
        <v>0</v>
      </c>
      <c r="I4" s="7"/>
    </row>
    <row r="5" ht="13.5" thickTop="1">
      <c r="C5" s="3"/>
    </row>
    <row r="6" spans="3:15" ht="14.25" thickBot="1">
      <c r="C6" s="5" t="s">
        <v>56</v>
      </c>
      <c r="D6" s="5"/>
      <c r="E6" s="6">
        <v>1998</v>
      </c>
      <c r="F6" s="7"/>
      <c r="G6" s="5"/>
      <c r="H6" s="6">
        <v>1999</v>
      </c>
      <c r="I6" s="7"/>
      <c r="K6" s="6" t="s">
        <v>57</v>
      </c>
      <c r="L6" s="7"/>
      <c r="N6" s="6" t="s">
        <v>58</v>
      </c>
      <c r="O6" s="7"/>
    </row>
    <row r="7" spans="3:12" ht="14.25" thickTop="1">
      <c r="C7" s="5"/>
      <c r="D7" s="5"/>
      <c r="E7" s="10"/>
      <c r="F7" s="11" t="s">
        <v>6</v>
      </c>
      <c r="G7" s="5"/>
      <c r="H7" s="10"/>
      <c r="I7" s="11" t="s">
        <v>6</v>
      </c>
      <c r="K7" s="40" t="s">
        <v>23</v>
      </c>
      <c r="L7" s="41" t="s">
        <v>24</v>
      </c>
    </row>
    <row r="8" spans="1:15" ht="42.75" customHeight="1">
      <c r="A8" s="18">
        <v>1</v>
      </c>
      <c r="B8" s="19"/>
      <c r="C8" s="19" t="s">
        <v>7</v>
      </c>
      <c r="D8" s="19"/>
      <c r="E8" s="44">
        <v>4311</v>
      </c>
      <c r="F8" s="45">
        <v>0.46817984361424847</v>
      </c>
      <c r="G8" s="19"/>
      <c r="H8" s="46">
        <v>2489.994</v>
      </c>
      <c r="I8" s="47">
        <v>0.3283219936708861</v>
      </c>
      <c r="J8" s="19"/>
      <c r="K8" s="48">
        <v>-1821.0059999999999</v>
      </c>
      <c r="L8" s="49">
        <v>-0.4224091858037578</v>
      </c>
      <c r="N8" s="85" t="s">
        <v>27</v>
      </c>
      <c r="O8" s="86"/>
    </row>
    <row r="9" spans="1:15" ht="42.75" customHeight="1">
      <c r="A9" s="18">
        <v>2</v>
      </c>
      <c r="B9" s="19"/>
      <c r="C9" s="19" t="s">
        <v>8</v>
      </c>
      <c r="D9" s="19"/>
      <c r="E9" s="20">
        <v>3436</v>
      </c>
      <c r="F9" s="45">
        <v>0.3731537793223284</v>
      </c>
      <c r="G9" s="19"/>
      <c r="H9" s="50">
        <v>4193</v>
      </c>
      <c r="I9" s="45">
        <v>0.5528744725738397</v>
      </c>
      <c r="J9" s="19"/>
      <c r="K9" s="22">
        <v>757</v>
      </c>
      <c r="L9" s="49">
        <v>0.22031431897555298</v>
      </c>
      <c r="N9" s="85" t="s">
        <v>33</v>
      </c>
      <c r="O9" s="86"/>
    </row>
    <row r="10" spans="1:15" ht="12.75">
      <c r="A10" s="18">
        <v>3</v>
      </c>
      <c r="B10" s="19"/>
      <c r="C10" s="19" t="s">
        <v>9</v>
      </c>
      <c r="D10" s="19"/>
      <c r="E10" s="20">
        <v>0</v>
      </c>
      <c r="F10" s="45">
        <v>0</v>
      </c>
      <c r="G10" s="19"/>
      <c r="H10" s="50">
        <v>0</v>
      </c>
      <c r="I10" s="45">
        <v>0</v>
      </c>
      <c r="J10" s="19"/>
      <c r="K10" s="22">
        <v>0</v>
      </c>
      <c r="L10" s="49" t="s">
        <v>25</v>
      </c>
      <c r="N10" s="85" t="s">
        <v>34</v>
      </c>
      <c r="O10" s="86"/>
    </row>
    <row r="11" spans="1:15" ht="12.75">
      <c r="A11" s="18">
        <v>4</v>
      </c>
      <c r="B11" s="19"/>
      <c r="C11" s="19" t="s">
        <v>10</v>
      </c>
      <c r="D11" s="19"/>
      <c r="E11" s="20">
        <v>38</v>
      </c>
      <c r="F11" s="45">
        <v>0.0041268462206776714</v>
      </c>
      <c r="G11" s="19"/>
      <c r="H11" s="50">
        <v>0</v>
      </c>
      <c r="I11" s="45">
        <v>0</v>
      </c>
      <c r="J11" s="19"/>
      <c r="K11" s="22">
        <v>-38</v>
      </c>
      <c r="L11" s="49">
        <v>-1</v>
      </c>
      <c r="N11" s="85" t="s">
        <v>34</v>
      </c>
      <c r="O11" s="86"/>
    </row>
    <row r="12" spans="1:15" ht="69" customHeight="1">
      <c r="A12" s="18">
        <v>5</v>
      </c>
      <c r="B12" s="19"/>
      <c r="C12" s="19" t="s">
        <v>11</v>
      </c>
      <c r="D12" s="19"/>
      <c r="E12" s="20">
        <v>350</v>
      </c>
      <c r="F12" s="45">
        <v>0.03801042571676803</v>
      </c>
      <c r="G12" s="19"/>
      <c r="H12" s="50">
        <v>547</v>
      </c>
      <c r="I12" s="45">
        <v>0.07212552742616034</v>
      </c>
      <c r="J12" s="19"/>
      <c r="K12" s="22">
        <v>197</v>
      </c>
      <c r="L12" s="49">
        <v>0.5628571428571428</v>
      </c>
      <c r="N12" s="85" t="s">
        <v>40</v>
      </c>
      <c r="O12" s="86"/>
    </row>
    <row r="13" spans="1:15" ht="12.75">
      <c r="A13" s="18">
        <v>6</v>
      </c>
      <c r="B13" s="19"/>
      <c r="C13" s="19" t="s">
        <v>12</v>
      </c>
      <c r="D13" s="19"/>
      <c r="E13" s="20">
        <v>0</v>
      </c>
      <c r="F13" s="45">
        <v>0</v>
      </c>
      <c r="G13" s="19"/>
      <c r="H13" s="50">
        <v>0</v>
      </c>
      <c r="I13" s="45">
        <v>0</v>
      </c>
      <c r="J13" s="19"/>
      <c r="K13" s="22">
        <v>0</v>
      </c>
      <c r="L13" s="49" t="s">
        <v>25</v>
      </c>
      <c r="N13" s="85" t="s">
        <v>34</v>
      </c>
      <c r="O13" s="86"/>
    </row>
    <row r="14" spans="1:15" ht="46.5" customHeight="1">
      <c r="A14" s="18">
        <v>7</v>
      </c>
      <c r="B14" s="19"/>
      <c r="C14" s="19" t="s">
        <v>13</v>
      </c>
      <c r="D14" s="19"/>
      <c r="E14" s="20">
        <v>291</v>
      </c>
      <c r="F14" s="45">
        <v>0.031602953953084274</v>
      </c>
      <c r="G14" s="19"/>
      <c r="H14" s="50">
        <v>199.95</v>
      </c>
      <c r="I14" s="45">
        <v>0.026364715189873416</v>
      </c>
      <c r="J14" s="19"/>
      <c r="K14" s="22">
        <v>-91.05</v>
      </c>
      <c r="L14" s="49">
        <v>-0.3128865979381444</v>
      </c>
      <c r="N14" s="85" t="s">
        <v>48</v>
      </c>
      <c r="O14" s="86"/>
    </row>
    <row r="15" spans="1:15" ht="12.75">
      <c r="A15" s="18">
        <v>8</v>
      </c>
      <c r="B15" s="19"/>
      <c r="C15" s="19" t="s">
        <v>14</v>
      </c>
      <c r="D15" s="19"/>
      <c r="E15" s="20">
        <v>143</v>
      </c>
      <c r="F15" s="45">
        <v>0.01552997393570808</v>
      </c>
      <c r="G15" s="19"/>
      <c r="H15" s="50">
        <v>153.5</v>
      </c>
      <c r="I15" s="45">
        <v>0.020239978902953586</v>
      </c>
      <c r="J15" s="19"/>
      <c r="K15" s="22">
        <v>10.5</v>
      </c>
      <c r="L15" s="49">
        <v>0.07342657342657342</v>
      </c>
      <c r="N15" s="85" t="s">
        <v>49</v>
      </c>
      <c r="O15" s="86"/>
    </row>
    <row r="16" spans="1:15" ht="18" customHeight="1">
      <c r="A16" s="18">
        <v>9</v>
      </c>
      <c r="B16" s="19"/>
      <c r="C16" s="19" t="s">
        <v>15</v>
      </c>
      <c r="D16" s="19"/>
      <c r="E16" s="20">
        <v>639</v>
      </c>
      <c r="F16" s="45">
        <v>0.06939617723718505</v>
      </c>
      <c r="G16" s="19"/>
      <c r="H16" s="50">
        <v>0</v>
      </c>
      <c r="I16" s="45">
        <v>0</v>
      </c>
      <c r="J16" s="19"/>
      <c r="K16" s="22">
        <v>-639</v>
      </c>
      <c r="L16" s="49">
        <v>-1</v>
      </c>
      <c r="N16" s="85" t="s">
        <v>52</v>
      </c>
      <c r="O16" s="86"/>
    </row>
    <row r="17" spans="1:15" ht="12.75">
      <c r="A17" s="18">
        <v>10</v>
      </c>
      <c r="B17" s="19"/>
      <c r="C17" s="19" t="s">
        <v>16</v>
      </c>
      <c r="D17" s="19"/>
      <c r="E17" s="20"/>
      <c r="F17" s="45"/>
      <c r="G17" s="19"/>
      <c r="H17" s="50"/>
      <c r="I17" s="45">
        <v>0</v>
      </c>
      <c r="J17" s="19"/>
      <c r="K17" s="20">
        <v>0</v>
      </c>
      <c r="L17" s="49">
        <v>0</v>
      </c>
      <c r="N17" s="85" t="s">
        <v>34</v>
      </c>
      <c r="O17" s="86"/>
    </row>
    <row r="18" spans="1:12" ht="12.75">
      <c r="A18" s="18"/>
      <c r="B18" s="19"/>
      <c r="C18" s="2" t="s">
        <v>17</v>
      </c>
      <c r="E18" s="15">
        <v>9208</v>
      </c>
      <c r="F18" s="16">
        <v>1</v>
      </c>
      <c r="H18" s="15">
        <f>SUM(H8:H17)</f>
        <v>7583.444</v>
      </c>
      <c r="I18" s="16">
        <v>1</v>
      </c>
      <c r="K18" s="15">
        <v>-1624</v>
      </c>
      <c r="L18" s="42">
        <v>-0.17636837532580366</v>
      </c>
    </row>
    <row r="19" ht="12.75">
      <c r="A19" s="12"/>
    </row>
    <row r="20" spans="1:6" ht="12.75">
      <c r="A20" s="12"/>
      <c r="E20" s="14"/>
      <c r="F20" s="14"/>
    </row>
    <row r="21" spans="1:6" ht="12.75">
      <c r="A21" s="12"/>
      <c r="E21" s="14"/>
      <c r="F21" s="17"/>
    </row>
  </sheetData>
  <mergeCells count="10">
    <mergeCell ref="N8:O8"/>
    <mergeCell ref="N9:O9"/>
    <mergeCell ref="N10:O10"/>
    <mergeCell ref="N11:O11"/>
    <mergeCell ref="N16:O16"/>
    <mergeCell ref="N17:O17"/>
    <mergeCell ref="N12:O12"/>
    <mergeCell ref="N13:O13"/>
    <mergeCell ref="N14:O14"/>
    <mergeCell ref="N15:O15"/>
  </mergeCells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32"/>
  <sheetViews>
    <sheetView workbookViewId="0" topLeftCell="A1">
      <selection activeCell="A4" sqref="A4"/>
    </sheetView>
  </sheetViews>
  <sheetFormatPr defaultColWidth="9.33203125" defaultRowHeight="12.75"/>
  <cols>
    <col min="1" max="1" width="3.33203125" style="2" customWidth="1"/>
    <col min="2" max="2" width="1.66796875" style="2" customWidth="1"/>
    <col min="3" max="3" width="28.33203125" style="2" customWidth="1"/>
    <col min="4" max="4" width="3.5" style="2" customWidth="1"/>
    <col min="5" max="5" width="1.3359375" style="2" customWidth="1"/>
    <col min="6" max="6" width="13.16015625" style="2" customWidth="1"/>
    <col min="7" max="7" width="10.16015625" style="2" customWidth="1"/>
    <col min="8" max="8" width="1.3359375" style="2" customWidth="1"/>
    <col min="9" max="10" width="9.33203125" style="2" customWidth="1"/>
    <col min="11" max="11" width="2" style="2" customWidth="1"/>
    <col min="12" max="13" width="9.33203125" style="2" customWidth="1"/>
    <col min="14" max="14" width="2.83203125" style="2" customWidth="1"/>
    <col min="15" max="15" width="9.33203125" style="2" customWidth="1"/>
    <col min="16" max="16" width="20.5" style="2" customWidth="1"/>
    <col min="17" max="16384" width="9.33203125" style="2" customWidth="1"/>
  </cols>
  <sheetData>
    <row r="1" spans="1:3" ht="15.75">
      <c r="A1" s="1" t="s">
        <v>22</v>
      </c>
      <c r="C1" s="3"/>
    </row>
    <row r="2" spans="1:3" ht="15.75">
      <c r="A2" s="1" t="s">
        <v>54</v>
      </c>
      <c r="C2" s="3"/>
    </row>
    <row r="3" spans="1:3" ht="15.75">
      <c r="A3" s="1" t="s">
        <v>55</v>
      </c>
      <c r="C3" s="3"/>
    </row>
    <row r="4" spans="1:10" ht="14.25" thickBot="1">
      <c r="A4" s="3" t="s">
        <v>59</v>
      </c>
      <c r="C4" s="3"/>
      <c r="I4" s="6" t="s">
        <v>1</v>
      </c>
      <c r="J4" s="7"/>
    </row>
    <row r="5" ht="13.5" thickTop="1">
      <c r="C5" s="3"/>
    </row>
    <row r="6" spans="3:16" ht="14.25" thickBot="1">
      <c r="C6" s="5"/>
      <c r="D6" s="5"/>
      <c r="E6" s="5"/>
      <c r="F6" s="6">
        <v>1998</v>
      </c>
      <c r="G6" s="7"/>
      <c r="H6" s="5"/>
      <c r="I6" s="6">
        <v>1999</v>
      </c>
      <c r="J6" s="7"/>
      <c r="L6" s="6" t="s">
        <v>57</v>
      </c>
      <c r="M6" s="7"/>
      <c r="O6" s="6" t="s">
        <v>58</v>
      </c>
      <c r="P6" s="7"/>
    </row>
    <row r="7" spans="3:13" ht="14.25" thickTop="1">
      <c r="C7" s="5"/>
      <c r="D7" s="5"/>
      <c r="E7" s="5"/>
      <c r="F7" s="10"/>
      <c r="G7" s="11" t="s">
        <v>6</v>
      </c>
      <c r="H7" s="8"/>
      <c r="I7" s="10"/>
      <c r="J7" s="11" t="s">
        <v>6</v>
      </c>
      <c r="L7" s="40" t="s">
        <v>23</v>
      </c>
      <c r="M7" s="41" t="s">
        <v>24</v>
      </c>
    </row>
    <row r="8" spans="1:16" s="19" customFormat="1" ht="35.25" customHeight="1">
      <c r="A8" s="18">
        <v>1</v>
      </c>
      <c r="C8" s="19" t="s">
        <v>7</v>
      </c>
      <c r="F8" s="44">
        <v>1401</v>
      </c>
      <c r="G8" s="45">
        <v>0.2926065162907268</v>
      </c>
      <c r="H8" s="51"/>
      <c r="I8" s="52">
        <v>1294.41</v>
      </c>
      <c r="J8" s="47">
        <v>0.3452680714857296</v>
      </c>
      <c r="L8" s="48">
        <v>-106.59</v>
      </c>
      <c r="M8" s="49">
        <v>-0.07608137044967875</v>
      </c>
      <c r="O8" s="85" t="s">
        <v>28</v>
      </c>
      <c r="P8" s="86"/>
    </row>
    <row r="9" spans="1:16" s="19" customFormat="1" ht="12.75">
      <c r="A9" s="18">
        <v>2</v>
      </c>
      <c r="C9" s="19" t="s">
        <v>8</v>
      </c>
      <c r="F9" s="20">
        <v>0</v>
      </c>
      <c r="G9" s="45">
        <v>0</v>
      </c>
      <c r="H9" s="21"/>
      <c r="I9" s="20">
        <v>0</v>
      </c>
      <c r="J9" s="45">
        <v>0</v>
      </c>
      <c r="L9" s="22">
        <v>0</v>
      </c>
      <c r="M9" s="49" t="s">
        <v>25</v>
      </c>
      <c r="O9" s="85" t="s">
        <v>34</v>
      </c>
      <c r="P9" s="86"/>
    </row>
    <row r="10" spans="1:16" s="19" customFormat="1" ht="30.75" customHeight="1">
      <c r="A10" s="18">
        <v>3</v>
      </c>
      <c r="C10" s="19" t="s">
        <v>9</v>
      </c>
      <c r="F10" s="20">
        <v>550</v>
      </c>
      <c r="G10" s="45">
        <v>0.1148705096073517</v>
      </c>
      <c r="H10" s="21"/>
      <c r="I10" s="20">
        <v>768</v>
      </c>
      <c r="J10" s="45">
        <v>0.20485462790077355</v>
      </c>
      <c r="L10" s="22">
        <v>218</v>
      </c>
      <c r="M10" s="49">
        <v>0.39636363636363636</v>
      </c>
      <c r="O10" s="85" t="s">
        <v>36</v>
      </c>
      <c r="P10" s="86"/>
    </row>
    <row r="11" spans="1:16" s="19" customFormat="1" ht="12.75">
      <c r="A11" s="18">
        <v>4</v>
      </c>
      <c r="C11" s="19" t="s">
        <v>10</v>
      </c>
      <c r="F11" s="20">
        <v>0</v>
      </c>
      <c r="G11" s="45">
        <v>0</v>
      </c>
      <c r="H11" s="21"/>
      <c r="I11" s="20">
        <v>0</v>
      </c>
      <c r="J11" s="45">
        <v>0</v>
      </c>
      <c r="L11" s="22">
        <v>0</v>
      </c>
      <c r="M11" s="49" t="s">
        <v>25</v>
      </c>
      <c r="O11" s="85" t="s">
        <v>34</v>
      </c>
      <c r="P11" s="86"/>
    </row>
    <row r="12" spans="1:16" s="19" customFormat="1" ht="12.75">
      <c r="A12" s="18">
        <v>5</v>
      </c>
      <c r="C12" s="19" t="s">
        <v>11</v>
      </c>
      <c r="F12" s="20">
        <v>311</v>
      </c>
      <c r="G12" s="45">
        <v>0.06495405179615706</v>
      </c>
      <c r="H12" s="21"/>
      <c r="I12" s="20">
        <v>325</v>
      </c>
      <c r="J12" s="45">
        <v>0.08668978394238464</v>
      </c>
      <c r="L12" s="22">
        <v>14</v>
      </c>
      <c r="M12" s="49">
        <v>0.04501607717041801</v>
      </c>
      <c r="O12" s="85" t="s">
        <v>41</v>
      </c>
      <c r="P12" s="86"/>
    </row>
    <row r="13" spans="1:16" s="19" customFormat="1" ht="30.75" customHeight="1">
      <c r="A13" s="18">
        <v>6</v>
      </c>
      <c r="C13" s="19" t="s">
        <v>12</v>
      </c>
      <c r="F13" s="20">
        <v>800</v>
      </c>
      <c r="G13" s="45">
        <v>0.1670843776106934</v>
      </c>
      <c r="H13" s="21"/>
      <c r="I13" s="20">
        <v>1030</v>
      </c>
      <c r="J13" s="45">
        <v>0.27473993064817287</v>
      </c>
      <c r="L13" s="22">
        <v>230</v>
      </c>
      <c r="M13" s="49">
        <v>0.2875</v>
      </c>
      <c r="O13" s="85" t="s">
        <v>46</v>
      </c>
      <c r="P13" s="86"/>
    </row>
    <row r="14" spans="1:16" s="19" customFormat="1" ht="12.75">
      <c r="A14" s="18">
        <v>7</v>
      </c>
      <c r="C14" s="19" t="s">
        <v>13</v>
      </c>
      <c r="F14" s="20">
        <v>95</v>
      </c>
      <c r="G14" s="45">
        <v>0.01984126984126984</v>
      </c>
      <c r="H14" s="21"/>
      <c r="I14" s="20">
        <v>103.5</v>
      </c>
      <c r="J14" s="45">
        <v>0.027607361963190184</v>
      </c>
      <c r="L14" s="22">
        <v>8.5</v>
      </c>
      <c r="M14" s="49">
        <v>0.08947368421052632</v>
      </c>
      <c r="O14" s="85" t="s">
        <v>49</v>
      </c>
      <c r="P14" s="86"/>
    </row>
    <row r="15" spans="1:16" s="19" customFormat="1" ht="71.25" customHeight="1">
      <c r="A15" s="18">
        <v>8</v>
      </c>
      <c r="C15" s="19" t="s">
        <v>14</v>
      </c>
      <c r="F15" s="20">
        <v>1403</v>
      </c>
      <c r="G15" s="45">
        <v>0.2930242272347536</v>
      </c>
      <c r="H15" s="21"/>
      <c r="I15" s="20">
        <v>227.5</v>
      </c>
      <c r="J15" s="45">
        <v>0.06068284875966924</v>
      </c>
      <c r="L15" s="22">
        <v>-1175.5</v>
      </c>
      <c r="M15" s="49">
        <v>-0.837847469707769</v>
      </c>
      <c r="O15" s="85" t="s">
        <v>50</v>
      </c>
      <c r="P15" s="86"/>
    </row>
    <row r="16" spans="1:16" s="19" customFormat="1" ht="12.75">
      <c r="A16" s="18">
        <v>9</v>
      </c>
      <c r="C16" s="19" t="s">
        <v>15</v>
      </c>
      <c r="F16" s="20">
        <v>228</v>
      </c>
      <c r="G16" s="45">
        <v>0.047619047619047616</v>
      </c>
      <c r="H16" s="21"/>
      <c r="I16" s="20">
        <v>0</v>
      </c>
      <c r="J16" s="45">
        <v>0</v>
      </c>
      <c r="L16" s="22">
        <v>-228</v>
      </c>
      <c r="M16" s="49">
        <v>-1</v>
      </c>
      <c r="O16" s="85" t="s">
        <v>52</v>
      </c>
      <c r="P16" s="86"/>
    </row>
    <row r="17" spans="1:16" s="19" customFormat="1" ht="12.75">
      <c r="A17" s="18">
        <v>10</v>
      </c>
      <c r="C17" s="19" t="s">
        <v>16</v>
      </c>
      <c r="F17" s="20"/>
      <c r="G17" s="45"/>
      <c r="H17" s="21"/>
      <c r="I17" s="20">
        <v>0</v>
      </c>
      <c r="J17" s="45">
        <v>0</v>
      </c>
      <c r="L17" s="20">
        <v>0</v>
      </c>
      <c r="M17" s="49">
        <v>0</v>
      </c>
      <c r="O17" s="85" t="s">
        <v>34</v>
      </c>
      <c r="P17" s="86"/>
    </row>
    <row r="18" spans="1:15" ht="12.75">
      <c r="A18" s="12"/>
      <c r="C18" s="2" t="s">
        <v>17</v>
      </c>
      <c r="F18" s="15">
        <v>4788</v>
      </c>
      <c r="G18" s="16">
        <v>1</v>
      </c>
      <c r="H18" s="13"/>
      <c r="I18" s="15">
        <v>3749</v>
      </c>
      <c r="J18" s="16">
        <v>1</v>
      </c>
      <c r="L18" s="15">
        <v>-1040</v>
      </c>
      <c r="M18" s="42">
        <v>-0.2172096908939014</v>
      </c>
      <c r="O18" s="30"/>
    </row>
    <row r="19" spans="1:15" ht="12.75">
      <c r="A19" s="12"/>
      <c r="F19" s="14"/>
      <c r="G19" s="14"/>
      <c r="H19" s="14"/>
      <c r="O19" s="30"/>
    </row>
    <row r="20" spans="1:15" ht="12.75">
      <c r="A20" s="12"/>
      <c r="F20" s="14"/>
      <c r="G20" s="14"/>
      <c r="H20" s="14"/>
      <c r="O20" s="30"/>
    </row>
    <row r="21" spans="6:8" ht="12.75">
      <c r="F21" s="23"/>
      <c r="G21" s="24"/>
      <c r="H21" s="23"/>
    </row>
    <row r="22" spans="6:8" ht="12.75">
      <c r="F22" s="23"/>
      <c r="G22" s="24"/>
      <c r="H22" s="23"/>
    </row>
    <row r="23" spans="6:8" ht="12.75">
      <c r="F23" s="13"/>
      <c r="G23" s="13"/>
      <c r="H23" s="13"/>
    </row>
    <row r="24" spans="15:16" ht="12.75" hidden="1">
      <c r="O24" s="85" t="s">
        <v>52</v>
      </c>
      <c r="P24" s="86"/>
    </row>
    <row r="25" spans="3:16" ht="12.75" hidden="1">
      <c r="C25" s="26" t="s">
        <v>18</v>
      </c>
      <c r="D25" s="27"/>
      <c r="E25" s="27"/>
      <c r="F25" s="28"/>
      <c r="G25" s="27"/>
      <c r="H25" s="27"/>
      <c r="O25" s="85" t="s">
        <v>34</v>
      </c>
      <c r="P25" s="86"/>
    </row>
    <row r="26" spans="3:16" ht="12.75" hidden="1">
      <c r="C26" s="29" t="s">
        <v>19</v>
      </c>
      <c r="D26" s="30"/>
      <c r="E26" s="30"/>
      <c r="F26" s="31">
        <v>1294.41</v>
      </c>
      <c r="G26" s="31"/>
      <c r="H26" s="31"/>
      <c r="O26" s="43"/>
      <c r="P26" s="25"/>
    </row>
    <row r="27" spans="3:16" ht="12.75" hidden="1">
      <c r="C27" s="29" t="s">
        <v>20</v>
      </c>
      <c r="D27" s="30"/>
      <c r="E27" s="30"/>
      <c r="F27" s="32">
        <v>11.5</v>
      </c>
      <c r="G27" s="30"/>
      <c r="H27" s="30"/>
      <c r="O27" s="43"/>
      <c r="P27" s="25"/>
    </row>
    <row r="28" spans="3:8" ht="4.5" customHeight="1" hidden="1">
      <c r="C28" s="29"/>
      <c r="D28" s="30"/>
      <c r="E28" s="30"/>
      <c r="F28" s="35"/>
      <c r="G28" s="31"/>
      <c r="H28" s="31"/>
    </row>
    <row r="29" spans="3:8" ht="14.25" customHeight="1" hidden="1">
      <c r="C29" s="36" t="s">
        <v>21</v>
      </c>
      <c r="D29" s="30"/>
      <c r="E29" s="30"/>
      <c r="F29" s="33">
        <v>13.5</v>
      </c>
      <c r="G29" s="32"/>
      <c r="H29" s="32"/>
    </row>
    <row r="30" spans="3:8" ht="6" customHeight="1" hidden="1">
      <c r="C30" s="29"/>
      <c r="D30" s="30"/>
      <c r="E30" s="30"/>
      <c r="F30" s="33"/>
      <c r="G30" s="32"/>
      <c r="H30" s="32"/>
    </row>
    <row r="31" spans="3:8" ht="12.75" hidden="1">
      <c r="C31" s="29"/>
      <c r="D31" s="30"/>
      <c r="E31" s="30"/>
      <c r="F31" s="34"/>
      <c r="G31" s="30"/>
      <c r="H31" s="30"/>
    </row>
    <row r="32" spans="3:8" ht="12.75" customHeight="1" hidden="1">
      <c r="C32" s="37"/>
      <c r="D32" s="38"/>
      <c r="E32" s="38"/>
      <c r="F32" s="39"/>
      <c r="G32" s="39"/>
      <c r="H32" s="39"/>
    </row>
    <row r="33" ht="12.75" hidden="1"/>
  </sheetData>
  <mergeCells count="12">
    <mergeCell ref="O11:P11"/>
    <mergeCell ref="O10:P10"/>
    <mergeCell ref="O9:P9"/>
    <mergeCell ref="O8:P8"/>
    <mergeCell ref="O15:P15"/>
    <mergeCell ref="O14:P14"/>
    <mergeCell ref="O13:P13"/>
    <mergeCell ref="O12:P12"/>
    <mergeCell ref="O25:P25"/>
    <mergeCell ref="O16:P16"/>
    <mergeCell ref="O17:P17"/>
    <mergeCell ref="O24:P24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22"/>
  <sheetViews>
    <sheetView workbookViewId="0" topLeftCell="A14">
      <selection activeCell="A5" sqref="A5"/>
    </sheetView>
  </sheetViews>
  <sheetFormatPr defaultColWidth="9.33203125" defaultRowHeight="12.75"/>
  <cols>
    <col min="1" max="1" width="3.33203125" style="19" customWidth="1"/>
    <col min="2" max="2" width="1.66796875" style="19" customWidth="1"/>
    <col min="3" max="3" width="28.33203125" style="19" customWidth="1"/>
    <col min="4" max="4" width="3.5" style="19" customWidth="1"/>
    <col min="5" max="5" width="1.3359375" style="19" customWidth="1"/>
    <col min="6" max="6" width="14.66015625" style="19" customWidth="1"/>
    <col min="7" max="7" width="8.5" style="19" customWidth="1"/>
    <col min="8" max="8" width="1.3359375" style="19" customWidth="1"/>
    <col min="9" max="9" width="9.33203125" style="19" customWidth="1"/>
    <col min="10" max="10" width="11.5" style="19" customWidth="1"/>
    <col min="11" max="11" width="2.16015625" style="19" customWidth="1"/>
    <col min="12" max="13" width="9.33203125" style="19" customWidth="1"/>
    <col min="14" max="14" width="3.16015625" style="19" customWidth="1"/>
    <col min="15" max="15" width="9.33203125" style="19" customWidth="1"/>
    <col min="16" max="16" width="23" style="19" customWidth="1"/>
    <col min="17" max="16384" width="9.33203125" style="19" customWidth="1"/>
  </cols>
  <sheetData>
    <row r="1" spans="1:3" ht="15.75">
      <c r="A1" s="57" t="s">
        <v>22</v>
      </c>
      <c r="C1" s="58"/>
    </row>
    <row r="2" spans="1:3" ht="15.75">
      <c r="A2" s="57" t="s">
        <v>54</v>
      </c>
      <c r="C2" s="58"/>
    </row>
    <row r="3" spans="1:3" ht="15.75">
      <c r="A3" s="57" t="s">
        <v>55</v>
      </c>
      <c r="C3" s="58"/>
    </row>
    <row r="4" spans="1:10" ht="14.25" thickBot="1">
      <c r="A4" s="58" t="s">
        <v>60</v>
      </c>
      <c r="C4" s="58"/>
      <c r="I4" s="60" t="s">
        <v>2</v>
      </c>
      <c r="J4" s="61"/>
    </row>
    <row r="5" ht="13.5" thickTop="1">
      <c r="C5" s="58"/>
    </row>
    <row r="6" spans="3:16" ht="14.25" thickBot="1">
      <c r="C6" s="62"/>
      <c r="D6" s="62"/>
      <c r="E6" s="69"/>
      <c r="F6" s="60">
        <v>1998</v>
      </c>
      <c r="G6" s="61"/>
      <c r="H6" s="62"/>
      <c r="I6" s="60">
        <v>1999</v>
      </c>
      <c r="J6" s="61"/>
      <c r="L6" s="60" t="s">
        <v>57</v>
      </c>
      <c r="M6" s="61"/>
      <c r="O6" s="60" t="s">
        <v>58</v>
      </c>
      <c r="P6" s="61"/>
    </row>
    <row r="7" spans="3:13" ht="14.25" thickTop="1">
      <c r="C7" s="62"/>
      <c r="D7" s="62"/>
      <c r="E7" s="69"/>
      <c r="F7" s="64"/>
      <c r="G7" s="65" t="s">
        <v>6</v>
      </c>
      <c r="H7" s="63"/>
      <c r="I7" s="64"/>
      <c r="J7" s="65" t="s">
        <v>6</v>
      </c>
      <c r="L7" s="66" t="s">
        <v>23</v>
      </c>
      <c r="M7" s="67" t="s">
        <v>24</v>
      </c>
    </row>
    <row r="8" spans="1:16" ht="45" customHeight="1">
      <c r="A8" s="18">
        <v>1</v>
      </c>
      <c r="C8" s="19" t="s">
        <v>7</v>
      </c>
      <c r="E8" s="51"/>
      <c r="F8" s="44">
        <v>4367</v>
      </c>
      <c r="G8" s="45">
        <v>0.085832776445615</v>
      </c>
      <c r="H8" s="51"/>
      <c r="I8" s="44">
        <v>4844.695</v>
      </c>
      <c r="J8" s="47">
        <v>0.08955405005730341</v>
      </c>
      <c r="L8" s="48">
        <v>477.695</v>
      </c>
      <c r="M8" s="49">
        <v>0.10938745133959234</v>
      </c>
      <c r="O8" s="85" t="s">
        <v>29</v>
      </c>
      <c r="P8" s="86"/>
    </row>
    <row r="9" spans="1:16" ht="61.5" customHeight="1">
      <c r="A9" s="18">
        <v>2</v>
      </c>
      <c r="C9" s="19" t="s">
        <v>8</v>
      </c>
      <c r="E9" s="21"/>
      <c r="F9" s="20">
        <v>12</v>
      </c>
      <c r="G9" s="45">
        <v>0.00023585832776445615</v>
      </c>
      <c r="H9" s="21"/>
      <c r="I9" s="22">
        <v>1972</v>
      </c>
      <c r="J9" s="45">
        <v>0.036452364227882735</v>
      </c>
      <c r="L9" s="22">
        <v>1960</v>
      </c>
      <c r="M9" s="49" t="s">
        <v>26</v>
      </c>
      <c r="O9" s="85" t="s">
        <v>35</v>
      </c>
      <c r="P9" s="86"/>
    </row>
    <row r="10" spans="1:16" ht="12.75">
      <c r="A10" s="18">
        <v>3</v>
      </c>
      <c r="C10" s="19" t="s">
        <v>9</v>
      </c>
      <c r="E10" s="21"/>
      <c r="F10" s="20">
        <v>0</v>
      </c>
      <c r="G10" s="45">
        <v>0</v>
      </c>
      <c r="H10" s="21"/>
      <c r="I10" s="22">
        <v>0</v>
      </c>
      <c r="J10" s="45">
        <v>0</v>
      </c>
      <c r="L10" s="22">
        <v>0</v>
      </c>
      <c r="M10" s="49" t="s">
        <v>25</v>
      </c>
      <c r="O10" s="85" t="s">
        <v>34</v>
      </c>
      <c r="P10" s="86"/>
    </row>
    <row r="11" spans="1:16" ht="69.75" customHeight="1">
      <c r="A11" s="18">
        <v>4</v>
      </c>
      <c r="C11" s="19" t="s">
        <v>10</v>
      </c>
      <c r="E11" s="21"/>
      <c r="F11" s="20">
        <v>42470</v>
      </c>
      <c r="G11" s="45">
        <v>0.8347419316797043</v>
      </c>
      <c r="H11" s="21"/>
      <c r="I11" s="22">
        <v>42506</v>
      </c>
      <c r="J11" s="45">
        <v>0.785722207845022</v>
      </c>
      <c r="L11" s="22">
        <v>36</v>
      </c>
      <c r="M11" s="49">
        <v>0.0008476571697668943</v>
      </c>
      <c r="O11" s="85" t="s">
        <v>37</v>
      </c>
      <c r="P11" s="86"/>
    </row>
    <row r="12" spans="1:16" ht="78" customHeight="1">
      <c r="A12" s="18">
        <v>5</v>
      </c>
      <c r="C12" s="19" t="s">
        <v>11</v>
      </c>
      <c r="E12" s="21"/>
      <c r="F12" s="20">
        <v>2323</v>
      </c>
      <c r="G12" s="45">
        <v>0.045658241283069306</v>
      </c>
      <c r="H12" s="21"/>
      <c r="I12" s="22">
        <v>4301</v>
      </c>
      <c r="J12" s="45">
        <v>0.07950386335908906</v>
      </c>
      <c r="L12" s="22">
        <v>1978</v>
      </c>
      <c r="M12" s="49">
        <v>0.8514851485148515</v>
      </c>
      <c r="O12" s="85" t="s">
        <v>42</v>
      </c>
      <c r="P12" s="86"/>
    </row>
    <row r="13" spans="1:16" ht="12.75">
      <c r="A13" s="18">
        <v>6</v>
      </c>
      <c r="C13" s="19" t="s">
        <v>12</v>
      </c>
      <c r="E13" s="21"/>
      <c r="F13" s="20">
        <v>0</v>
      </c>
      <c r="G13" s="45">
        <v>0</v>
      </c>
      <c r="H13" s="21"/>
      <c r="I13" s="22">
        <v>0</v>
      </c>
      <c r="J13" s="45">
        <v>0</v>
      </c>
      <c r="L13" s="22">
        <v>0</v>
      </c>
      <c r="M13" s="49" t="s">
        <v>25</v>
      </c>
      <c r="O13" s="85" t="s">
        <v>34</v>
      </c>
      <c r="P13" s="86"/>
    </row>
    <row r="14" spans="1:16" ht="41.25" customHeight="1">
      <c r="A14" s="18">
        <v>7</v>
      </c>
      <c r="C14" s="19" t="s">
        <v>13</v>
      </c>
      <c r="E14" s="21"/>
      <c r="F14" s="20">
        <v>425</v>
      </c>
      <c r="G14" s="45">
        <v>0.008353315774991155</v>
      </c>
      <c r="H14" s="21"/>
      <c r="I14" s="22">
        <v>314.3</v>
      </c>
      <c r="J14" s="45">
        <v>0.005809826610965285</v>
      </c>
      <c r="L14" s="22">
        <v>-110.7</v>
      </c>
      <c r="M14" s="49">
        <v>-0.26047058823529406</v>
      </c>
      <c r="O14" s="85" t="s">
        <v>48</v>
      </c>
      <c r="P14" s="86"/>
    </row>
    <row r="15" spans="1:16" ht="40.5" customHeight="1">
      <c r="A15" s="18">
        <v>8</v>
      </c>
      <c r="C15" s="19" t="s">
        <v>14</v>
      </c>
      <c r="E15" s="21"/>
      <c r="F15" s="20">
        <v>281</v>
      </c>
      <c r="G15" s="45">
        <v>0.005523015841817682</v>
      </c>
      <c r="H15" s="21"/>
      <c r="I15" s="22">
        <v>160</v>
      </c>
      <c r="J15" s="45">
        <v>0.0029575954748789234</v>
      </c>
      <c r="L15" s="22">
        <v>-121</v>
      </c>
      <c r="M15" s="49">
        <v>-0.4306049822064057</v>
      </c>
      <c r="O15" s="85" t="s">
        <v>48</v>
      </c>
      <c r="P15" s="86"/>
    </row>
    <row r="16" spans="1:16" ht="12.75">
      <c r="A16" s="18">
        <v>9</v>
      </c>
      <c r="C16" s="19" t="s">
        <v>15</v>
      </c>
      <c r="E16" s="21"/>
      <c r="F16" s="20">
        <v>1000</v>
      </c>
      <c r="G16" s="45">
        <v>0.019654860647038013</v>
      </c>
      <c r="H16" s="21"/>
      <c r="I16" s="22">
        <v>0</v>
      </c>
      <c r="J16" s="45">
        <v>0</v>
      </c>
      <c r="L16" s="22">
        <v>-1000</v>
      </c>
      <c r="M16" s="49">
        <v>-1</v>
      </c>
      <c r="O16" s="85" t="s">
        <v>52</v>
      </c>
      <c r="P16" s="86"/>
    </row>
    <row r="17" spans="1:16" ht="12.75">
      <c r="A17" s="18">
        <v>10</v>
      </c>
      <c r="C17" s="19" t="s">
        <v>16</v>
      </c>
      <c r="E17" s="21"/>
      <c r="F17" s="20"/>
      <c r="G17" s="45"/>
      <c r="H17" s="21"/>
      <c r="I17" s="22"/>
      <c r="J17" s="45">
        <v>0</v>
      </c>
      <c r="L17" s="20">
        <v>0</v>
      </c>
      <c r="M17" s="49">
        <v>0</v>
      </c>
      <c r="O17" s="85" t="s">
        <v>34</v>
      </c>
      <c r="P17" s="86"/>
    </row>
    <row r="18" spans="3:15" ht="12.75">
      <c r="C18" s="19" t="s">
        <v>17</v>
      </c>
      <c r="E18" s="51"/>
      <c r="F18" s="53">
        <v>50878</v>
      </c>
      <c r="G18" s="54">
        <v>1</v>
      </c>
      <c r="H18" s="51"/>
      <c r="I18" s="53">
        <v>54098</v>
      </c>
      <c r="J18" s="54">
        <v>1</v>
      </c>
      <c r="L18" s="53">
        <v>3220</v>
      </c>
      <c r="M18" s="55">
        <v>0.0632886512834624</v>
      </c>
      <c r="O18" s="70"/>
    </row>
    <row r="19" spans="1:15" ht="12.75">
      <c r="A19" s="18"/>
      <c r="E19" s="21"/>
      <c r="F19" s="21"/>
      <c r="G19" s="21"/>
      <c r="H19" s="21"/>
      <c r="O19" s="70"/>
    </row>
    <row r="20" spans="1:15" ht="12.75">
      <c r="A20" s="18"/>
      <c r="E20" s="21"/>
      <c r="F20" s="21"/>
      <c r="G20" s="68"/>
      <c r="H20" s="68"/>
      <c r="O20" s="70"/>
    </row>
    <row r="22" ht="12.75">
      <c r="A22" s="58"/>
    </row>
  </sheetData>
  <mergeCells count="10">
    <mergeCell ref="O9:P9"/>
    <mergeCell ref="O8:P8"/>
    <mergeCell ref="O13:P13"/>
    <mergeCell ref="O12:P12"/>
    <mergeCell ref="O11:P11"/>
    <mergeCell ref="O10:P10"/>
    <mergeCell ref="O16:P16"/>
    <mergeCell ref="O17:P17"/>
    <mergeCell ref="O15:P15"/>
    <mergeCell ref="O14:P14"/>
  </mergeCells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18"/>
  <sheetViews>
    <sheetView workbookViewId="0" topLeftCell="A17">
      <selection activeCell="A21" sqref="A21"/>
    </sheetView>
  </sheetViews>
  <sheetFormatPr defaultColWidth="9.33203125" defaultRowHeight="12.75"/>
  <cols>
    <col min="1" max="1" width="3.33203125" style="2" customWidth="1"/>
    <col min="2" max="2" width="1.66796875" style="2" customWidth="1"/>
    <col min="3" max="3" width="28.33203125" style="2" customWidth="1"/>
    <col min="4" max="4" width="3.5" style="2" customWidth="1"/>
    <col min="5" max="5" width="1.3359375" style="2" customWidth="1"/>
    <col min="6" max="6" width="14.83203125" style="2" customWidth="1"/>
    <col min="7" max="7" width="7.83203125" style="2" customWidth="1"/>
    <col min="8" max="8" width="2.83203125" style="2" customWidth="1"/>
    <col min="9" max="9" width="11.5" style="2" customWidth="1"/>
    <col min="10" max="10" width="9.33203125" style="2" customWidth="1"/>
    <col min="11" max="11" width="2.5" style="2" customWidth="1"/>
    <col min="12" max="13" width="9.33203125" style="2" customWidth="1"/>
    <col min="14" max="14" width="3" style="2" customWidth="1"/>
    <col min="15" max="15" width="9.33203125" style="2" customWidth="1"/>
    <col min="16" max="16" width="19" style="2" customWidth="1"/>
    <col min="17" max="16384" width="9.33203125" style="2" customWidth="1"/>
  </cols>
  <sheetData>
    <row r="1" spans="1:3" ht="15.75">
      <c r="A1" s="1" t="s">
        <v>22</v>
      </c>
      <c r="C1" s="3"/>
    </row>
    <row r="2" spans="1:3" ht="15.75">
      <c r="A2" s="1" t="s">
        <v>54</v>
      </c>
      <c r="C2" s="3"/>
    </row>
    <row r="3" spans="1:6" ht="15.75">
      <c r="A3" s="1" t="s">
        <v>55</v>
      </c>
      <c r="C3" s="3"/>
      <c r="F3" s="4"/>
    </row>
    <row r="4" spans="1:10" ht="14.25" thickBot="1">
      <c r="A4" s="3" t="s">
        <v>61</v>
      </c>
      <c r="C4" s="3"/>
      <c r="F4" s="4"/>
      <c r="I4" s="6" t="s">
        <v>3</v>
      </c>
      <c r="J4" s="7"/>
    </row>
    <row r="5" ht="13.5" thickTop="1">
      <c r="C5" s="3"/>
    </row>
    <row r="6" spans="3:16" ht="14.25" thickBot="1">
      <c r="C6" s="5"/>
      <c r="D6" s="5"/>
      <c r="E6" s="9"/>
      <c r="F6" s="6">
        <v>1998</v>
      </c>
      <c r="G6" s="7"/>
      <c r="H6" s="5"/>
      <c r="I6" s="6">
        <v>1999</v>
      </c>
      <c r="J6" s="7"/>
      <c r="L6" s="6" t="s">
        <v>57</v>
      </c>
      <c r="M6" s="7"/>
      <c r="O6" s="6" t="s">
        <v>58</v>
      </c>
      <c r="P6" s="7"/>
    </row>
    <row r="7" spans="3:13" ht="14.25" thickTop="1">
      <c r="C7" s="5"/>
      <c r="D7" s="5"/>
      <c r="E7" s="9"/>
      <c r="F7" s="10"/>
      <c r="G7" s="11" t="s">
        <v>6</v>
      </c>
      <c r="H7" s="9"/>
      <c r="I7" s="10"/>
      <c r="J7" s="11" t="s">
        <v>6</v>
      </c>
      <c r="L7" s="40" t="s">
        <v>23</v>
      </c>
      <c r="M7" s="41" t="s">
        <v>24</v>
      </c>
    </row>
    <row r="8" spans="1:16" s="19" customFormat="1" ht="36.75" customHeight="1">
      <c r="A8" s="18">
        <v>1</v>
      </c>
      <c r="C8" s="19" t="s">
        <v>7</v>
      </c>
      <c r="E8" s="51"/>
      <c r="F8" s="44">
        <v>17355</v>
      </c>
      <c r="G8" s="45">
        <v>0.7412231997949944</v>
      </c>
      <c r="H8" s="51"/>
      <c r="I8" s="44">
        <v>20298.8519782</v>
      </c>
      <c r="J8" s="47">
        <v>0.779585681626853</v>
      </c>
      <c r="L8" s="48">
        <v>2943.8519782000003</v>
      </c>
      <c r="M8" s="49">
        <v>0.16962558214923654</v>
      </c>
      <c r="O8" s="85" t="s">
        <v>30</v>
      </c>
      <c r="P8" s="86"/>
    </row>
    <row r="9" spans="1:16" s="19" customFormat="1" ht="12.75">
      <c r="A9" s="18">
        <v>2</v>
      </c>
      <c r="C9" s="19" t="s">
        <v>8</v>
      </c>
      <c r="E9" s="21"/>
      <c r="F9" s="20">
        <v>0</v>
      </c>
      <c r="G9" s="45">
        <v>0</v>
      </c>
      <c r="H9" s="21"/>
      <c r="I9" s="22">
        <v>0</v>
      </c>
      <c r="J9" s="45">
        <v>0</v>
      </c>
      <c r="L9" s="22">
        <v>0</v>
      </c>
      <c r="M9" s="49" t="s">
        <v>25</v>
      </c>
      <c r="O9" s="85" t="s">
        <v>34</v>
      </c>
      <c r="P9" s="86"/>
    </row>
    <row r="10" spans="1:16" s="19" customFormat="1" ht="12.75">
      <c r="A10" s="18">
        <v>3</v>
      </c>
      <c r="C10" s="19" t="s">
        <v>9</v>
      </c>
      <c r="E10" s="21"/>
      <c r="F10" s="20">
        <v>0</v>
      </c>
      <c r="G10" s="45">
        <v>0</v>
      </c>
      <c r="H10" s="21"/>
      <c r="I10" s="22">
        <v>0</v>
      </c>
      <c r="J10" s="45">
        <v>0</v>
      </c>
      <c r="L10" s="22">
        <v>0</v>
      </c>
      <c r="M10" s="49" t="s">
        <v>25</v>
      </c>
      <c r="O10" s="85" t="s">
        <v>34</v>
      </c>
      <c r="P10" s="86"/>
    </row>
    <row r="11" spans="1:16" s="19" customFormat="1" ht="68.25" customHeight="1">
      <c r="A11" s="18">
        <v>4</v>
      </c>
      <c r="C11" s="19" t="s">
        <v>10</v>
      </c>
      <c r="E11" s="21"/>
      <c r="F11" s="20">
        <v>772</v>
      </c>
      <c r="G11" s="45">
        <v>0.03297172631758777</v>
      </c>
      <c r="H11" s="21"/>
      <c r="I11" s="22">
        <v>1588.23675</v>
      </c>
      <c r="J11" s="45">
        <v>0.06099687956064214</v>
      </c>
      <c r="L11" s="22">
        <v>816.23675</v>
      </c>
      <c r="M11" s="49" t="s">
        <v>26</v>
      </c>
      <c r="O11" s="85" t="s">
        <v>38</v>
      </c>
      <c r="P11" s="86"/>
    </row>
    <row r="12" spans="1:16" s="19" customFormat="1" ht="54.75" customHeight="1">
      <c r="A12" s="18">
        <v>5</v>
      </c>
      <c r="C12" s="19" t="s">
        <v>11</v>
      </c>
      <c r="E12" s="21"/>
      <c r="F12" s="20">
        <v>2315</v>
      </c>
      <c r="G12" s="45">
        <v>0.09887246946271462</v>
      </c>
      <c r="H12" s="21"/>
      <c r="I12" s="22">
        <v>2415.4</v>
      </c>
      <c r="J12" s="45">
        <v>0.09276442123050926</v>
      </c>
      <c r="L12" s="22">
        <v>100.4</v>
      </c>
      <c r="M12" s="49">
        <v>0.043369330453563754</v>
      </c>
      <c r="O12" s="85" t="s">
        <v>43</v>
      </c>
      <c r="P12" s="86"/>
    </row>
    <row r="13" spans="1:16" s="19" customFormat="1" ht="12.75">
      <c r="A13" s="18">
        <v>6</v>
      </c>
      <c r="C13" s="19" t="s">
        <v>12</v>
      </c>
      <c r="E13" s="21"/>
      <c r="F13" s="20">
        <v>0</v>
      </c>
      <c r="G13" s="45">
        <v>0</v>
      </c>
      <c r="H13" s="21"/>
      <c r="I13" s="22">
        <v>0</v>
      </c>
      <c r="J13" s="45">
        <v>0</v>
      </c>
      <c r="L13" s="22">
        <v>0</v>
      </c>
      <c r="M13" s="49" t="s">
        <v>25</v>
      </c>
      <c r="O13" s="85" t="s">
        <v>34</v>
      </c>
      <c r="P13" s="86"/>
    </row>
    <row r="14" spans="1:16" s="19" customFormat="1" ht="47.25" customHeight="1">
      <c r="A14" s="18">
        <v>7</v>
      </c>
      <c r="C14" s="19" t="s">
        <v>13</v>
      </c>
      <c r="E14" s="21"/>
      <c r="F14" s="20">
        <v>1800</v>
      </c>
      <c r="G14" s="45">
        <v>0.07687708208763987</v>
      </c>
      <c r="H14" s="21"/>
      <c r="I14" s="22">
        <v>1477.5806</v>
      </c>
      <c r="J14" s="45">
        <v>0.05674708502957217</v>
      </c>
      <c r="L14" s="22">
        <v>-322.4194</v>
      </c>
      <c r="M14" s="49">
        <v>-0.17912188888888889</v>
      </c>
      <c r="O14" s="85" t="s">
        <v>48</v>
      </c>
      <c r="P14" s="86"/>
    </row>
    <row r="15" spans="1:16" s="19" customFormat="1" ht="44.25" customHeight="1">
      <c r="A15" s="18">
        <v>8</v>
      </c>
      <c r="C15" s="19" t="s">
        <v>14</v>
      </c>
      <c r="E15" s="21"/>
      <c r="F15" s="20">
        <v>557</v>
      </c>
      <c r="G15" s="45">
        <v>0.023789185957119673</v>
      </c>
      <c r="H15" s="21"/>
      <c r="I15" s="22">
        <v>257.72</v>
      </c>
      <c r="J15" s="45">
        <v>0.009897841616099547</v>
      </c>
      <c r="L15" s="22">
        <v>-299.28</v>
      </c>
      <c r="M15" s="49">
        <v>-0.5373070017953321</v>
      </c>
      <c r="O15" s="85" t="s">
        <v>48</v>
      </c>
      <c r="P15" s="86"/>
    </row>
    <row r="16" spans="1:16" s="19" customFormat="1" ht="12.75">
      <c r="A16" s="18">
        <v>9</v>
      </c>
      <c r="C16" s="19" t="s">
        <v>15</v>
      </c>
      <c r="E16" s="21"/>
      <c r="F16" s="20">
        <v>615</v>
      </c>
      <c r="G16" s="45">
        <v>0.026266336379943623</v>
      </c>
      <c r="H16" s="21"/>
      <c r="I16" s="22">
        <v>0</v>
      </c>
      <c r="J16" s="45">
        <v>0</v>
      </c>
      <c r="L16" s="22">
        <v>-615</v>
      </c>
      <c r="M16" s="49">
        <v>-1</v>
      </c>
      <c r="O16" s="85" t="s">
        <v>52</v>
      </c>
      <c r="P16" s="86"/>
    </row>
    <row r="17" spans="1:16" s="19" customFormat="1" ht="12.75">
      <c r="A17" s="18">
        <v>10</v>
      </c>
      <c r="C17" s="19" t="s">
        <v>16</v>
      </c>
      <c r="F17" s="22"/>
      <c r="G17" s="45"/>
      <c r="H17" s="51"/>
      <c r="I17" s="22"/>
      <c r="J17" s="45">
        <v>0</v>
      </c>
      <c r="L17" s="20">
        <v>0</v>
      </c>
      <c r="M17" s="49">
        <v>0</v>
      </c>
      <c r="O17" s="85" t="s">
        <v>34</v>
      </c>
      <c r="P17" s="86"/>
    </row>
    <row r="18" spans="1:13" s="19" customFormat="1" ht="12.75">
      <c r="A18" s="18"/>
      <c r="C18" s="19" t="s">
        <v>17</v>
      </c>
      <c r="E18" s="51"/>
      <c r="F18" s="53">
        <v>23414</v>
      </c>
      <c r="G18" s="54">
        <v>1</v>
      </c>
      <c r="H18" s="21"/>
      <c r="I18" s="53">
        <v>26038</v>
      </c>
      <c r="J18" s="54">
        <v>1</v>
      </c>
      <c r="L18" s="53">
        <v>2624</v>
      </c>
      <c r="M18" s="55">
        <v>0.11206970188775946</v>
      </c>
    </row>
  </sheetData>
  <mergeCells count="10">
    <mergeCell ref="O9:P9"/>
    <mergeCell ref="O8:P8"/>
    <mergeCell ref="O17:P17"/>
    <mergeCell ref="O12:P12"/>
    <mergeCell ref="O11:P11"/>
    <mergeCell ref="O10:P10"/>
    <mergeCell ref="O13:P13"/>
    <mergeCell ref="O14:P14"/>
    <mergeCell ref="O15:P15"/>
    <mergeCell ref="O16:P16"/>
  </mergeCells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20"/>
  <sheetViews>
    <sheetView workbookViewId="0" topLeftCell="A6">
      <selection activeCell="A24" sqref="A24"/>
    </sheetView>
  </sheetViews>
  <sheetFormatPr defaultColWidth="9.33203125" defaultRowHeight="12.75"/>
  <cols>
    <col min="1" max="1" width="3.33203125" style="19" customWidth="1"/>
    <col min="2" max="2" width="1.66796875" style="19" customWidth="1"/>
    <col min="3" max="3" width="28.33203125" style="19" customWidth="1"/>
    <col min="4" max="4" width="3.5" style="19" customWidth="1"/>
    <col min="5" max="5" width="1.3359375" style="19" customWidth="1"/>
    <col min="6" max="6" width="14.66015625" style="19" customWidth="1"/>
    <col min="7" max="7" width="10.16015625" style="19" customWidth="1"/>
    <col min="8" max="8" width="1.3359375" style="56" customWidth="1"/>
    <col min="9" max="9" width="9.33203125" style="19" customWidth="1"/>
    <col min="10" max="10" width="11.5" style="19" customWidth="1"/>
    <col min="11" max="11" width="2" style="19" customWidth="1"/>
    <col min="12" max="13" width="9.33203125" style="19" customWidth="1"/>
    <col min="14" max="14" width="2.16015625" style="19" customWidth="1"/>
    <col min="15" max="15" width="9.33203125" style="19" customWidth="1"/>
    <col min="16" max="16" width="22.16015625" style="19" customWidth="1"/>
    <col min="17" max="16384" width="9.33203125" style="19" customWidth="1"/>
  </cols>
  <sheetData>
    <row r="1" spans="1:3" ht="15.75">
      <c r="A1" s="57" t="s">
        <v>22</v>
      </c>
      <c r="C1" s="58"/>
    </row>
    <row r="2" spans="1:3" ht="15.75">
      <c r="A2" s="57" t="s">
        <v>54</v>
      </c>
      <c r="C2" s="58"/>
    </row>
    <row r="3" spans="1:8" ht="15.75">
      <c r="A3" s="57" t="s">
        <v>55</v>
      </c>
      <c r="C3" s="58"/>
      <c r="F3" s="59"/>
      <c r="H3" s="19"/>
    </row>
    <row r="4" spans="1:10" ht="14.25" thickBot="1">
      <c r="A4" s="58" t="s">
        <v>62</v>
      </c>
      <c r="C4" s="58"/>
      <c r="F4" s="59"/>
      <c r="H4" s="19"/>
      <c r="I4" s="60" t="s">
        <v>4</v>
      </c>
      <c r="J4" s="61"/>
    </row>
    <row r="5" spans="3:8" ht="13.5" thickTop="1">
      <c r="C5" s="58"/>
      <c r="H5" s="19"/>
    </row>
    <row r="6" spans="3:16" ht="14.25" thickBot="1">
      <c r="C6" s="62"/>
      <c r="D6" s="62"/>
      <c r="E6" s="63"/>
      <c r="F6" s="60">
        <v>1998</v>
      </c>
      <c r="G6" s="61"/>
      <c r="H6" s="62"/>
      <c r="I6" s="60">
        <v>1999</v>
      </c>
      <c r="J6" s="61"/>
      <c r="L6" s="60" t="s">
        <v>57</v>
      </c>
      <c r="M6" s="61"/>
      <c r="O6" s="60" t="s">
        <v>58</v>
      </c>
      <c r="P6" s="61"/>
    </row>
    <row r="7" spans="3:13" ht="14.25" thickTop="1">
      <c r="C7" s="62"/>
      <c r="D7" s="62"/>
      <c r="E7" s="63"/>
      <c r="F7" s="64"/>
      <c r="G7" s="65" t="s">
        <v>6</v>
      </c>
      <c r="I7" s="64"/>
      <c r="J7" s="65" t="s">
        <v>6</v>
      </c>
      <c r="L7" s="66" t="s">
        <v>23</v>
      </c>
      <c r="M7" s="67" t="s">
        <v>24</v>
      </c>
    </row>
    <row r="8" spans="1:16" ht="48.75" customHeight="1">
      <c r="A8" s="18">
        <v>1</v>
      </c>
      <c r="C8" s="19" t="s">
        <v>7</v>
      </c>
      <c r="E8" s="51"/>
      <c r="F8" s="44">
        <v>2331</v>
      </c>
      <c r="G8" s="45">
        <v>0.2081064190697259</v>
      </c>
      <c r="I8" s="44">
        <v>2997.339</v>
      </c>
      <c r="J8" s="47">
        <v>0.2844854783599089</v>
      </c>
      <c r="L8" s="48">
        <v>666.3389999999999</v>
      </c>
      <c r="M8" s="49">
        <v>0.28585971685971684</v>
      </c>
      <c r="O8" s="85" t="s">
        <v>31</v>
      </c>
      <c r="P8" s="86"/>
    </row>
    <row r="9" spans="1:16" ht="12.75">
      <c r="A9" s="18">
        <v>2</v>
      </c>
      <c r="C9" s="19" t="s">
        <v>8</v>
      </c>
      <c r="E9" s="21"/>
      <c r="F9" s="20">
        <v>0</v>
      </c>
      <c r="G9" s="45">
        <v>0</v>
      </c>
      <c r="I9" s="22">
        <v>0</v>
      </c>
      <c r="J9" s="45">
        <v>0</v>
      </c>
      <c r="L9" s="22">
        <v>0</v>
      </c>
      <c r="M9" s="49" t="s">
        <v>25</v>
      </c>
      <c r="O9" s="85" t="s">
        <v>34</v>
      </c>
      <c r="P9" s="86"/>
    </row>
    <row r="10" spans="1:16" ht="12.75">
      <c r="A10" s="18">
        <v>3</v>
      </c>
      <c r="C10" s="19" t="s">
        <v>9</v>
      </c>
      <c r="E10" s="21"/>
      <c r="F10" s="20">
        <v>0</v>
      </c>
      <c r="G10" s="45">
        <v>0</v>
      </c>
      <c r="I10" s="22">
        <v>0</v>
      </c>
      <c r="J10" s="45">
        <v>0</v>
      </c>
      <c r="L10" s="22">
        <v>0</v>
      </c>
      <c r="M10" s="49" t="s">
        <v>25</v>
      </c>
      <c r="O10" s="85" t="s">
        <v>34</v>
      </c>
      <c r="P10" s="86"/>
    </row>
    <row r="11" spans="1:16" ht="12.75">
      <c r="A11" s="18">
        <v>4</v>
      </c>
      <c r="C11" s="19" t="s">
        <v>10</v>
      </c>
      <c r="E11" s="21"/>
      <c r="F11" s="20">
        <v>0</v>
      </c>
      <c r="G11" s="45">
        <v>0</v>
      </c>
      <c r="I11" s="22">
        <v>0</v>
      </c>
      <c r="J11" s="45">
        <v>0</v>
      </c>
      <c r="L11" s="22">
        <v>0</v>
      </c>
      <c r="M11" s="49" t="s">
        <v>25</v>
      </c>
      <c r="O11" s="85" t="s">
        <v>34</v>
      </c>
      <c r="P11" s="86"/>
    </row>
    <row r="12" spans="1:16" ht="37.5" customHeight="1">
      <c r="A12" s="18">
        <v>5</v>
      </c>
      <c r="C12" s="19" t="s">
        <v>11</v>
      </c>
      <c r="E12" s="21"/>
      <c r="F12" s="20">
        <v>1000</v>
      </c>
      <c r="G12" s="45">
        <v>0.08927774305865548</v>
      </c>
      <c r="I12" s="22">
        <v>850</v>
      </c>
      <c r="J12" s="45">
        <v>0.08067577828397873</v>
      </c>
      <c r="L12" s="22">
        <v>-150</v>
      </c>
      <c r="M12" s="49">
        <v>-0.15</v>
      </c>
      <c r="O12" s="85" t="s">
        <v>44</v>
      </c>
      <c r="P12" s="86"/>
    </row>
    <row r="13" spans="1:16" ht="42.75" customHeight="1">
      <c r="A13" s="18">
        <v>6</v>
      </c>
      <c r="C13" s="19" t="s">
        <v>12</v>
      </c>
      <c r="E13" s="21"/>
      <c r="F13" s="20">
        <v>5900</v>
      </c>
      <c r="G13" s="45">
        <v>0.5267386840460673</v>
      </c>
      <c r="I13" s="22">
        <v>4000</v>
      </c>
      <c r="J13" s="45">
        <v>0.37965072133637057</v>
      </c>
      <c r="L13" s="22">
        <v>-1900</v>
      </c>
      <c r="M13" s="49">
        <v>-0.3220338983050847</v>
      </c>
      <c r="O13" s="85" t="s">
        <v>47</v>
      </c>
      <c r="P13" s="86"/>
    </row>
    <row r="14" spans="1:16" ht="42.75" customHeight="1">
      <c r="A14" s="18">
        <v>7</v>
      </c>
      <c r="C14" s="19" t="s">
        <v>13</v>
      </c>
      <c r="E14" s="21"/>
      <c r="F14" s="20">
        <v>565</v>
      </c>
      <c r="G14" s="45">
        <v>0.05044192482814035</v>
      </c>
      <c r="I14" s="22">
        <v>439.8</v>
      </c>
      <c r="J14" s="45">
        <v>0.041742596810933945</v>
      </c>
      <c r="L14" s="22">
        <v>-125.2</v>
      </c>
      <c r="M14" s="49">
        <v>-0.2215929203539823</v>
      </c>
      <c r="O14" s="85" t="s">
        <v>48</v>
      </c>
      <c r="P14" s="86"/>
    </row>
    <row r="15" spans="1:16" ht="18.75" customHeight="1">
      <c r="A15" s="18">
        <v>8</v>
      </c>
      <c r="C15" s="19" t="s">
        <v>14</v>
      </c>
      <c r="E15" s="21"/>
      <c r="F15" s="20">
        <v>872</v>
      </c>
      <c r="G15" s="45">
        <v>0.07785019194714758</v>
      </c>
      <c r="I15" s="22">
        <v>748.8</v>
      </c>
      <c r="J15" s="45">
        <v>0.07107061503416856</v>
      </c>
      <c r="L15" s="22">
        <v>-123.2</v>
      </c>
      <c r="M15" s="49">
        <v>-0.14128440366972483</v>
      </c>
      <c r="O15" s="85" t="s">
        <v>51</v>
      </c>
      <c r="P15" s="86"/>
    </row>
    <row r="16" spans="1:16" ht="15.75" customHeight="1">
      <c r="A16" s="18">
        <v>9</v>
      </c>
      <c r="C16" s="19" t="s">
        <v>15</v>
      </c>
      <c r="E16" s="21"/>
      <c r="F16" s="20">
        <v>533</v>
      </c>
      <c r="G16" s="45">
        <v>0.04758503705026337</v>
      </c>
      <c r="I16" s="22">
        <v>0</v>
      </c>
      <c r="J16" s="45">
        <v>0</v>
      </c>
      <c r="L16" s="22">
        <v>-533</v>
      </c>
      <c r="M16" s="49">
        <v>-1</v>
      </c>
      <c r="O16" s="85" t="s">
        <v>52</v>
      </c>
      <c r="P16" s="86"/>
    </row>
    <row r="17" spans="1:16" ht="36" customHeight="1">
      <c r="A17" s="18">
        <v>10</v>
      </c>
      <c r="C17" s="19" t="s">
        <v>16</v>
      </c>
      <c r="E17" s="21"/>
      <c r="F17" s="20"/>
      <c r="G17" s="45"/>
      <c r="I17" s="22">
        <v>1500</v>
      </c>
      <c r="J17" s="45">
        <v>0.14236902050113895</v>
      </c>
      <c r="L17" s="22">
        <v>1500</v>
      </c>
      <c r="M17" s="49">
        <v>0</v>
      </c>
      <c r="O17" s="85" t="s">
        <v>53</v>
      </c>
      <c r="P17" s="86"/>
    </row>
    <row r="18" spans="1:13" ht="12.75">
      <c r="A18" s="18"/>
      <c r="C18" s="19" t="s">
        <v>17</v>
      </c>
      <c r="E18" s="51"/>
      <c r="F18" s="53">
        <v>11201</v>
      </c>
      <c r="G18" s="54">
        <v>1</v>
      </c>
      <c r="I18" s="53">
        <v>10536</v>
      </c>
      <c r="J18" s="54">
        <v>1</v>
      </c>
      <c r="L18" s="53">
        <v>-665</v>
      </c>
      <c r="M18" s="55">
        <v>-0.059369699134005895</v>
      </c>
    </row>
    <row r="19" spans="1:7" ht="12.75">
      <c r="A19" s="18"/>
      <c r="E19" s="21"/>
      <c r="F19" s="21"/>
      <c r="G19" s="21"/>
    </row>
    <row r="20" spans="1:7" ht="12.75">
      <c r="A20" s="18"/>
      <c r="E20" s="68"/>
      <c r="F20" s="21"/>
      <c r="G20" s="68"/>
    </row>
  </sheetData>
  <mergeCells count="10">
    <mergeCell ref="O8:P8"/>
    <mergeCell ref="O9:P9"/>
    <mergeCell ref="O12:P12"/>
    <mergeCell ref="O13:P13"/>
    <mergeCell ref="O10:P10"/>
    <mergeCell ref="O11:P11"/>
    <mergeCell ref="O16:P16"/>
    <mergeCell ref="O17:P17"/>
    <mergeCell ref="O14:P14"/>
    <mergeCell ref="O15:P1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19"/>
  <sheetViews>
    <sheetView workbookViewId="0" topLeftCell="A1">
      <selection activeCell="C5" sqref="C5"/>
    </sheetView>
  </sheetViews>
  <sheetFormatPr defaultColWidth="9.33203125" defaultRowHeight="12.75"/>
  <cols>
    <col min="1" max="1" width="3.33203125" style="19" customWidth="1"/>
    <col min="2" max="2" width="1.66796875" style="19" customWidth="1"/>
    <col min="3" max="3" width="28.33203125" style="19" customWidth="1"/>
    <col min="4" max="4" width="3.5" style="19" customWidth="1"/>
    <col min="5" max="5" width="1.3359375" style="56" customWidth="1"/>
    <col min="6" max="6" width="14.83203125" style="19" customWidth="1"/>
    <col min="7" max="7" width="10" style="19" customWidth="1"/>
    <col min="8" max="8" width="1.66796875" style="19" customWidth="1"/>
    <col min="9" max="9" width="8.66015625" style="19" customWidth="1"/>
    <col min="10" max="10" width="13.66015625" style="19" customWidth="1"/>
    <col min="11" max="11" width="3" style="19" customWidth="1"/>
    <col min="12" max="13" width="9.33203125" style="19" customWidth="1"/>
    <col min="14" max="14" width="3.5" style="19" customWidth="1"/>
    <col min="15" max="15" width="9.33203125" style="19" customWidth="1"/>
    <col min="16" max="16" width="24.83203125" style="19" customWidth="1"/>
    <col min="17" max="16384" width="9.33203125" style="19" customWidth="1"/>
  </cols>
  <sheetData>
    <row r="1" spans="1:3" ht="15.75">
      <c r="A1" s="57" t="s">
        <v>22</v>
      </c>
      <c r="C1" s="58"/>
    </row>
    <row r="2" spans="1:3" ht="15.75">
      <c r="A2" s="57" t="s">
        <v>54</v>
      </c>
      <c r="C2" s="58"/>
    </row>
    <row r="3" spans="1:3" ht="15.75">
      <c r="A3" s="57" t="s">
        <v>55</v>
      </c>
      <c r="C3" s="58"/>
    </row>
    <row r="4" spans="1:10" ht="14.25" thickBot="1">
      <c r="A4" s="58" t="s">
        <v>63</v>
      </c>
      <c r="C4" s="58"/>
      <c r="F4" s="59"/>
      <c r="I4" s="60" t="s">
        <v>5</v>
      </c>
      <c r="J4" s="61"/>
    </row>
    <row r="5" ht="13.5" thickTop="1">
      <c r="C5" s="58"/>
    </row>
    <row r="6" spans="3:16" ht="14.25" thickBot="1">
      <c r="C6" s="62"/>
      <c r="D6" s="62"/>
      <c r="F6" s="60">
        <v>1998</v>
      </c>
      <c r="G6" s="61"/>
      <c r="H6" s="62"/>
      <c r="I6" s="60">
        <v>1999</v>
      </c>
      <c r="J6" s="61"/>
      <c r="L6" s="60" t="s">
        <v>57</v>
      </c>
      <c r="M6" s="61"/>
      <c r="O6" s="60" t="s">
        <v>58</v>
      </c>
      <c r="P6" s="61"/>
    </row>
    <row r="7" spans="3:13" ht="14.25" thickTop="1">
      <c r="C7" s="62"/>
      <c r="D7" s="62"/>
      <c r="F7" s="64"/>
      <c r="G7" s="65" t="s">
        <v>6</v>
      </c>
      <c r="H7" s="63"/>
      <c r="I7" s="64"/>
      <c r="J7" s="65" t="s">
        <v>6</v>
      </c>
      <c r="L7" s="66" t="s">
        <v>23</v>
      </c>
      <c r="M7" s="67" t="s">
        <v>24</v>
      </c>
    </row>
    <row r="8" spans="1:16" ht="42.75" customHeight="1">
      <c r="A8" s="18">
        <v>1</v>
      </c>
      <c r="C8" s="19" t="s">
        <v>7</v>
      </c>
      <c r="F8" s="44">
        <v>6692</v>
      </c>
      <c r="G8" s="45">
        <v>0.6830662447688067</v>
      </c>
      <c r="H8" s="51"/>
      <c r="I8" s="44">
        <v>6487.379</v>
      </c>
      <c r="J8" s="47">
        <v>0.5867214434295016</v>
      </c>
      <c r="L8" s="48">
        <v>-204.6210000000001</v>
      </c>
      <c r="M8" s="49">
        <v>-0.030576957561267198</v>
      </c>
      <c r="O8" s="85" t="s">
        <v>32</v>
      </c>
      <c r="P8" s="86"/>
    </row>
    <row r="9" spans="1:16" ht="12.75">
      <c r="A9" s="18">
        <v>2</v>
      </c>
      <c r="C9" s="19" t="s">
        <v>8</v>
      </c>
      <c r="F9" s="20">
        <v>0</v>
      </c>
      <c r="G9" s="45">
        <v>0</v>
      </c>
      <c r="H9" s="21"/>
      <c r="I9" s="22">
        <v>0</v>
      </c>
      <c r="J9" s="45">
        <v>0</v>
      </c>
      <c r="L9" s="22">
        <v>0</v>
      </c>
      <c r="M9" s="49" t="s">
        <v>25</v>
      </c>
      <c r="O9" s="85" t="s">
        <v>34</v>
      </c>
      <c r="P9" s="86"/>
    </row>
    <row r="10" spans="1:16" ht="12.75">
      <c r="A10" s="18">
        <v>3</v>
      </c>
      <c r="C10" s="19" t="s">
        <v>9</v>
      </c>
      <c r="F10" s="20">
        <v>0</v>
      </c>
      <c r="G10" s="45">
        <v>0</v>
      </c>
      <c r="H10" s="21"/>
      <c r="I10" s="22">
        <v>0</v>
      </c>
      <c r="J10" s="45">
        <v>0</v>
      </c>
      <c r="L10" s="22">
        <v>0</v>
      </c>
      <c r="M10" s="49" t="s">
        <v>25</v>
      </c>
      <c r="O10" s="85" t="s">
        <v>34</v>
      </c>
      <c r="P10" s="86"/>
    </row>
    <row r="11" spans="1:16" ht="81" customHeight="1">
      <c r="A11" s="18">
        <v>4</v>
      </c>
      <c r="C11" s="19" t="s">
        <v>10</v>
      </c>
      <c r="F11" s="20">
        <v>420</v>
      </c>
      <c r="G11" s="45">
        <v>0.042870266408084105</v>
      </c>
      <c r="H11" s="21"/>
      <c r="I11" s="22">
        <v>2365.63525</v>
      </c>
      <c r="J11" s="45">
        <v>0.21394910463959482</v>
      </c>
      <c r="L11" s="22">
        <v>1945.6352499999998</v>
      </c>
      <c r="M11" s="49" t="s">
        <v>26</v>
      </c>
      <c r="O11" s="85" t="s">
        <v>39</v>
      </c>
      <c r="P11" s="86"/>
    </row>
    <row r="12" spans="1:16" ht="12.75">
      <c r="A12" s="18">
        <v>5</v>
      </c>
      <c r="C12" s="19" t="s">
        <v>11</v>
      </c>
      <c r="F12" s="20">
        <v>930</v>
      </c>
      <c r="G12" s="45">
        <v>0.09492701847504338</v>
      </c>
      <c r="H12" s="21"/>
      <c r="I12" s="22">
        <v>1094.5</v>
      </c>
      <c r="J12" s="45">
        <v>0.09898706701636972</v>
      </c>
      <c r="L12" s="22">
        <v>164.5</v>
      </c>
      <c r="M12" s="49">
        <v>0.17688172043010753</v>
      </c>
      <c r="O12" s="85" t="s">
        <v>45</v>
      </c>
      <c r="P12" s="86"/>
    </row>
    <row r="13" spans="1:16" ht="12.75">
      <c r="A13" s="18">
        <v>6</v>
      </c>
      <c r="C13" s="19" t="s">
        <v>12</v>
      </c>
      <c r="F13" s="20">
        <v>0</v>
      </c>
      <c r="G13" s="45">
        <v>0</v>
      </c>
      <c r="H13" s="21"/>
      <c r="I13" s="22">
        <v>0</v>
      </c>
      <c r="J13" s="45">
        <v>0</v>
      </c>
      <c r="L13" s="22">
        <v>0</v>
      </c>
      <c r="M13" s="49" t="s">
        <v>25</v>
      </c>
      <c r="O13" s="85" t="s">
        <v>34</v>
      </c>
      <c r="P13" s="86"/>
    </row>
    <row r="14" spans="1:16" ht="41.25" customHeight="1">
      <c r="A14" s="18">
        <v>7</v>
      </c>
      <c r="C14" s="19" t="s">
        <v>13</v>
      </c>
      <c r="F14" s="20">
        <v>1074</v>
      </c>
      <c r="G14" s="45">
        <v>0.10962539552924365</v>
      </c>
      <c r="H14" s="21"/>
      <c r="I14" s="22">
        <v>919</v>
      </c>
      <c r="J14" s="45">
        <v>0.08311476892466312</v>
      </c>
      <c r="L14" s="22">
        <v>-155</v>
      </c>
      <c r="M14" s="49">
        <v>-0.14432029795158285</v>
      </c>
      <c r="O14" s="85" t="s">
        <v>48</v>
      </c>
      <c r="P14" s="86"/>
    </row>
    <row r="15" spans="1:16" ht="12.75">
      <c r="A15" s="18">
        <v>8</v>
      </c>
      <c r="C15" s="19" t="s">
        <v>14</v>
      </c>
      <c r="F15" s="20">
        <v>215</v>
      </c>
      <c r="G15" s="45">
        <v>0.02194549351842401</v>
      </c>
      <c r="H15" s="21"/>
      <c r="I15" s="22">
        <v>189.5</v>
      </c>
      <c r="J15" s="45">
        <v>0.01713846432124446</v>
      </c>
      <c r="L15" s="22">
        <v>-25.5</v>
      </c>
      <c r="M15" s="49">
        <v>-0.1186046511627907</v>
      </c>
      <c r="O15" s="85" t="s">
        <v>49</v>
      </c>
      <c r="P15" s="86"/>
    </row>
    <row r="16" spans="1:16" ht="12.75">
      <c r="A16" s="18">
        <v>9</v>
      </c>
      <c r="C16" s="19" t="s">
        <v>15</v>
      </c>
      <c r="F16" s="20">
        <v>466</v>
      </c>
      <c r="G16" s="45">
        <v>0.047565581300398084</v>
      </c>
      <c r="H16" s="21"/>
      <c r="I16" s="22">
        <v>0</v>
      </c>
      <c r="J16" s="45">
        <v>0</v>
      </c>
      <c r="L16" s="22">
        <v>-466</v>
      </c>
      <c r="M16" s="49">
        <v>-1</v>
      </c>
      <c r="O16" s="85" t="s">
        <v>52</v>
      </c>
      <c r="P16" s="86"/>
    </row>
    <row r="17" spans="1:16" ht="12.75">
      <c r="A17" s="18">
        <v>10</v>
      </c>
      <c r="C17" s="19" t="s">
        <v>16</v>
      </c>
      <c r="F17" s="22"/>
      <c r="G17" s="45">
        <v>0</v>
      </c>
      <c r="H17" s="51"/>
      <c r="I17" s="22"/>
      <c r="J17" s="45">
        <v>0</v>
      </c>
      <c r="L17" s="20">
        <v>0</v>
      </c>
      <c r="M17" s="49">
        <v>0</v>
      </c>
      <c r="O17" s="85" t="s">
        <v>34</v>
      </c>
      <c r="P17" s="86"/>
    </row>
    <row r="18" spans="1:13" ht="12.75">
      <c r="A18" s="18"/>
      <c r="C18" s="19" t="s">
        <v>17</v>
      </c>
      <c r="F18" s="53">
        <v>9797</v>
      </c>
      <c r="G18" s="54">
        <v>1</v>
      </c>
      <c r="H18" s="21"/>
      <c r="I18" s="53">
        <v>11057</v>
      </c>
      <c r="J18" s="54">
        <v>1</v>
      </c>
      <c r="L18" s="53">
        <v>1259</v>
      </c>
      <c r="M18" s="55">
        <v>0.12850872716137593</v>
      </c>
    </row>
    <row r="19" spans="1:9" ht="12.75">
      <c r="A19" s="18"/>
      <c r="F19" s="51"/>
      <c r="G19" s="68"/>
      <c r="H19" s="68"/>
      <c r="I19" s="68"/>
    </row>
  </sheetData>
  <mergeCells count="10">
    <mergeCell ref="O8:P8"/>
    <mergeCell ref="O9:P9"/>
    <mergeCell ref="O12:P12"/>
    <mergeCell ref="O13:P13"/>
    <mergeCell ref="O10:P10"/>
    <mergeCell ref="O11:P11"/>
    <mergeCell ref="O16:P16"/>
    <mergeCell ref="O17:P17"/>
    <mergeCell ref="O14:P14"/>
    <mergeCell ref="O15:P15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1999 Budget Report to the ISO Board of Governors, Appendix A and B</dc:title>
  <dc:subject/>
  <dc:creator>PLeiber</dc:creator>
  <cp:keywords/>
  <dc:description/>
  <cp:lastModifiedBy>DEstrada</cp:lastModifiedBy>
  <cp:lastPrinted>1998-12-11T21:04:24Z</cp:lastPrinted>
  <dcterms:created xsi:type="dcterms:W3CDTF">1998-10-14T20:19:46Z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pireDate">
    <vt:lpwstr>2008-12-15T00:00:00Z</vt:lpwstr>
  </property>
  <property fmtid="{D5CDD505-2E9C-101B-9397-08002B2CF9AE}" pid="3" name="OriginalUri">
    <vt:lpwstr>http://www.caiso.com/docs/1998/12/18/1998121811121614161.xls, /docs/1998/12/18/1998121811121614161.xls</vt:lpwstr>
  </property>
  <property fmtid="{D5CDD505-2E9C-101B-9397-08002B2CF9AE}" pid="4" name="PostDate">
    <vt:lpwstr>1998-12-15T05:10:00Z</vt:lpwstr>
  </property>
  <property fmtid="{D5CDD505-2E9C-101B-9397-08002B2CF9AE}" pid="5" name="RevDate">
    <vt:lpwstr>1998-12-15T05:10:00Z</vt:lpwstr>
  </property>
  <property fmtid="{D5CDD505-2E9C-101B-9397-08002B2CF9AE}" pid="6" name="ISOGroupTaxHTField0">
    <vt:lpwstr>Filed December 15, 1998 by California Independent System Operator Corporation - Grid Management Charge for 1999 in Docket No. ER99|13e02335-f928-4b09-bd96-cfb1e4bf9057</vt:lpwstr>
  </property>
  <property fmtid="{D5CDD505-2E9C-101B-9397-08002B2CF9AE}" pid="7" name="ISOTopicTaxHTField0">
    <vt:lpwstr>Stay Informed|d8aff6cb-80bb-4c94-b62f-ad25f81f5c96</vt:lpwstr>
  </property>
  <property fmtid="{D5CDD505-2E9C-101B-9397-08002B2CF9AE}" pid="8" name="ISOKeywordsTaxHTField0">
    <vt:lpwstr/>
  </property>
  <property fmtid="{D5CDD505-2E9C-101B-9397-08002B2CF9AE}" pid="9" name="ISOKeywords">
    <vt:lpwstr/>
  </property>
  <property fmtid="{D5CDD505-2E9C-101B-9397-08002B2CF9AE}" pid="10" name="ISOGroupSequence">
    <vt:lpwstr>97660|2000;91426|2000</vt:lpwstr>
  </property>
  <property fmtid="{D5CDD505-2E9C-101B-9397-08002B2CF9AE}" pid="11" name="ISOGroup">
    <vt:lpwstr>9673;#Filed December 15, 1998 by California Independent System Operator Corporation - Grid Management Charge for 1999 in Docket No. ER99|13e02335-f928-4b09-bd96-cfb1e4bf9057</vt:lpwstr>
  </property>
  <property fmtid="{D5CDD505-2E9C-101B-9397-08002B2CF9AE}" pid="12" name="TaxCatchAll">
    <vt:lpwstr>9673;#Filed December 15, 1998 by California Independent System Operator Corporation - Grid Management Charge for 1999 in Docket No. ER99|13e02335-f928-4b09-bd96-cfb1e4bf9057;#11;#Stay Informed|d8aff6cb-80bb-4c94-b62f-ad25f81f5c96;#3;#Archived|0019c6e1-8c5</vt:lpwstr>
  </property>
  <property fmtid="{D5CDD505-2E9C-101B-9397-08002B2CF9AE}" pid="13" name="ISOTopic">
    <vt:lpwstr>11;#Stay Informed|d8aff6cb-80bb-4c94-b62f-ad25f81f5c96</vt:lpwstr>
  </property>
  <property fmtid="{D5CDD505-2E9C-101B-9397-08002B2CF9AE}" pid="14" name="Important">
    <vt:lpwstr>0</vt:lpwstr>
  </property>
  <property fmtid="{D5CDD505-2E9C-101B-9397-08002B2CF9AE}" pid="15" name="Order">
    <vt:lpwstr>24882300.0000000</vt:lpwstr>
  </property>
  <property fmtid="{D5CDD505-2E9C-101B-9397-08002B2CF9AE}" pid="16" name="Orig Post Date">
    <vt:lpwstr>1998-12-15T05:10:00Z</vt:lpwstr>
  </property>
  <property fmtid="{D5CDD505-2E9C-101B-9397-08002B2CF9AE}" pid="17" name="ISOArchiveTaxHTField0">
    <vt:lpwstr>Archived|0019c6e1-8c5e-460c-a653-a944372c5015</vt:lpwstr>
  </property>
  <property fmtid="{D5CDD505-2E9C-101B-9397-08002B2CF9AE}" pid="18" name="ISOArchive">
    <vt:lpwstr>3;#Archived|0019c6e1-8c5e-460c-a653-a944372c5015</vt:lpwstr>
  </property>
  <property fmtid="{D5CDD505-2E9C-101B-9397-08002B2CF9AE}" pid="19" name="OriginalUriCopy">
    <vt:lpwstr>http://www.caiso.com/docs/1998/12/18/1998121811121614161.xls, http://www.caiso.com/docs/1998/12/18/1998121811121614161.xls</vt:lpwstr>
  </property>
  <property fmtid="{D5CDD505-2E9C-101B-9397-08002B2CF9AE}" pid="20" name="PageLink">
    <vt:lpwstr/>
  </property>
  <property fmtid="{D5CDD505-2E9C-101B-9397-08002B2CF9AE}" pid="21" name="Market Notice">
    <vt:lpwstr>0</vt:lpwstr>
  </property>
  <property fmtid="{D5CDD505-2E9C-101B-9397-08002B2CF9AE}" pid="22" name="ISOSummary">
    <vt:lpwstr/>
  </property>
  <property fmtid="{D5CDD505-2E9C-101B-9397-08002B2CF9AE}" pid="23" name="Archived">
    <vt:lpwstr>0</vt:lpwstr>
  </property>
  <property fmtid="{D5CDD505-2E9C-101B-9397-08002B2CF9AE}" pid="24" name="News Release">
    <vt:lpwstr>0</vt:lpwstr>
  </property>
  <property fmtid="{D5CDD505-2E9C-101B-9397-08002B2CF9AE}" pid="25" name="ISOOwner">
    <vt:lpwstr/>
  </property>
  <property fmtid="{D5CDD505-2E9C-101B-9397-08002B2CF9AE}" pid="26" name="ISODescription">
    <vt:lpwstr/>
  </property>
  <property fmtid="{D5CDD505-2E9C-101B-9397-08002B2CF9AE}" pid="27" name="OriginalURIBackup">
    <vt:lpwstr>http://www.caiso.com/docs/1998/12/18/1998121811121614161.xls, /docs/1998/12/18/1998121811121614161.xls</vt:lpwstr>
  </property>
  <property fmtid="{D5CDD505-2E9C-101B-9397-08002B2CF9AE}" pid="28" name="m9e70a6096144fc698577b786817f2be">
    <vt:lpwstr>Archived|0019c6e1-8c5e-460c-a653-a944372c5015</vt:lpwstr>
  </property>
</Properties>
</file>