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Summary Allocation" sheetId="1" r:id="rId1"/>
    <sheet name="Example of Deviation Data" sheetId="2" r:id="rId2"/>
    <sheet name="Intertie Ramp Calcula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dtretheway</author>
  </authors>
  <commentList>
    <comment ref="A3" authorId="0">
      <text>
        <r>
          <rPr>
            <b/>
            <sz val="9"/>
            <rFont val="Tahoma"/>
            <family val="0"/>
          </rPr>
          <t>dtretheway:</t>
        </r>
        <r>
          <rPr>
            <sz val="9"/>
            <rFont val="Tahoma"/>
            <family val="0"/>
          </rPr>
          <t xml:space="preserve">
For simplicity we just used the two hours of the example data.</t>
        </r>
      </text>
    </comment>
  </commentList>
</comments>
</file>

<file path=xl/comments2.xml><?xml version="1.0" encoding="utf-8"?>
<comments xmlns="http://schemas.openxmlformats.org/spreadsheetml/2006/main">
  <authors>
    <author>dtretheway</author>
  </authors>
  <commentList>
    <comment ref="A36" authorId="0">
      <text>
        <r>
          <rPr>
            <b/>
            <sz val="9"/>
            <rFont val="Tahoma"/>
            <family val="0"/>
          </rPr>
          <t>dtretheway:</t>
        </r>
        <r>
          <rPr>
            <sz val="9"/>
            <rFont val="Tahoma"/>
            <family val="0"/>
          </rPr>
          <t xml:space="preserve">
If OA is positive, then either an export was not tagged or and import was tagged at a higher value than HASP.  If OA is negative either an import was tagged at a higher value than HASP or and import was not tagged.</t>
        </r>
      </text>
    </comment>
    <comment ref="A62" authorId="0">
      <text>
        <r>
          <rPr>
            <b/>
            <sz val="9"/>
            <rFont val="Tahoma"/>
            <family val="0"/>
          </rPr>
          <t>dtretheway:</t>
        </r>
        <r>
          <rPr>
            <sz val="9"/>
            <rFont val="Tahoma"/>
            <family val="0"/>
          </rPr>
          <t xml:space="preserve">
Net interchage goes from 4000MW to 4500MW</t>
        </r>
      </text>
    </comment>
    <comment ref="A54" authorId="0">
      <text>
        <r>
          <rPr>
            <b/>
            <sz val="9"/>
            <rFont val="Tahoma"/>
            <family val="0"/>
          </rPr>
          <t>dtretheway:</t>
        </r>
        <r>
          <rPr>
            <sz val="9"/>
            <rFont val="Tahoma"/>
            <family val="0"/>
          </rPr>
          <t xml:space="preserve">
5000MW import down to 4500MW import</t>
        </r>
      </text>
    </comment>
    <comment ref="A58" authorId="0">
      <text>
        <r>
          <rPr>
            <b/>
            <sz val="9"/>
            <rFont val="Tahoma"/>
            <family val="0"/>
          </rPr>
          <t>dtretheway:</t>
        </r>
        <r>
          <rPr>
            <sz val="9"/>
            <rFont val="Tahoma"/>
            <family val="0"/>
          </rPr>
          <t xml:space="preserve">
1000MW export to zero export</t>
        </r>
      </text>
    </comment>
  </commentList>
</comments>
</file>

<file path=xl/comments3.xml><?xml version="1.0" encoding="utf-8"?>
<comments xmlns="http://schemas.openxmlformats.org/spreadsheetml/2006/main">
  <authors>
    <author>dtretheway</author>
  </authors>
  <commentList>
    <comment ref="C3" authorId="0">
      <text>
        <r>
          <rPr>
            <b/>
            <sz val="9"/>
            <rFont val="Tahoma"/>
            <family val="0"/>
          </rPr>
          <t>dtretheway:</t>
        </r>
        <r>
          <rPr>
            <sz val="9"/>
            <rFont val="Tahoma"/>
            <family val="0"/>
          </rPr>
          <t xml:space="preserve">
Yellow cells can be updated</t>
        </r>
      </text>
    </comment>
  </commentList>
</comments>
</file>

<file path=xl/sharedStrings.xml><?xml version="1.0" encoding="utf-8"?>
<sst xmlns="http://schemas.openxmlformats.org/spreadsheetml/2006/main" count="141" uniqueCount="75">
  <si>
    <t>HE01</t>
  </si>
  <si>
    <t>Net</t>
  </si>
  <si>
    <t>Hourly Ramp</t>
  </si>
  <si>
    <t>RTD 10</t>
  </si>
  <si>
    <t>RTD 11</t>
  </si>
  <si>
    <t>RTD 12</t>
  </si>
  <si>
    <t>RTD 8</t>
  </si>
  <si>
    <t>RTD 1</t>
  </si>
  <si>
    <t>RTD 2</t>
  </si>
  <si>
    <t>RTD 3</t>
  </si>
  <si>
    <t>RTD 4</t>
  </si>
  <si>
    <t>RTPD 3</t>
  </si>
  <si>
    <t>RTPD 4</t>
  </si>
  <si>
    <t>RTPD 1</t>
  </si>
  <si>
    <t>RTD 9</t>
  </si>
  <si>
    <t>RTD 7</t>
  </si>
  <si>
    <t>RTD 5</t>
  </si>
  <si>
    <t>RTD 6</t>
  </si>
  <si>
    <t>HE02</t>
  </si>
  <si>
    <t>HE01 Import (MWh)</t>
  </si>
  <si>
    <t>HE01 Export (MWh)</t>
  </si>
  <si>
    <t>HE02 Import (MWh)</t>
  </si>
  <si>
    <t>HE02 Export (MWh)</t>
  </si>
  <si>
    <t>Settlement 4</t>
  </si>
  <si>
    <t>Settlement 5</t>
  </si>
  <si>
    <t>Settlement 6</t>
  </si>
  <si>
    <t>Settlement 1</t>
  </si>
  <si>
    <t>Settlement 2</t>
  </si>
  <si>
    <t>Settlement 3</t>
  </si>
  <si>
    <t>Baseline</t>
  </si>
  <si>
    <t>Flexi-Ramp Up Allocation</t>
  </si>
  <si>
    <t>Flexi-Ramp Down Allocation</t>
  </si>
  <si>
    <t>Deemed Delivered</t>
  </si>
  <si>
    <t>Load</t>
  </si>
  <si>
    <t>Supply</t>
  </si>
  <si>
    <t>Intertie Ramp</t>
  </si>
  <si>
    <t>Load Baseline</t>
  </si>
  <si>
    <t>Load Actual</t>
  </si>
  <si>
    <t>Settlement Interval</t>
  </si>
  <si>
    <t>HE 01</t>
  </si>
  <si>
    <t>HE 02</t>
  </si>
  <si>
    <t>Total</t>
  </si>
  <si>
    <t>Flexi Ramp Up</t>
  </si>
  <si>
    <t>Flexi Ramp Down</t>
  </si>
  <si>
    <t>Renewable 1 Baseline</t>
  </si>
  <si>
    <t>Renewable 1 Actual</t>
  </si>
  <si>
    <t>Renewable 2 Baseline</t>
  </si>
  <si>
    <t>Renewable 2 Actual</t>
  </si>
  <si>
    <t>Conventional 1 UIE</t>
  </si>
  <si>
    <t>Conventional 2 UIE</t>
  </si>
  <si>
    <t>Intertie 1 OA</t>
  </si>
  <si>
    <t>Intertie 2 OA</t>
  </si>
  <si>
    <t>Intertie 1</t>
  </si>
  <si>
    <t>Intertie 2</t>
  </si>
  <si>
    <t>Total Supply Net Deviation</t>
  </si>
  <si>
    <t>Intertie SC 1</t>
  </si>
  <si>
    <t>Intertie SC 2</t>
  </si>
  <si>
    <t>Flexible Ramping Up</t>
  </si>
  <si>
    <t>Flexible Ramping Down</t>
  </si>
  <si>
    <t>Net Deviations</t>
  </si>
  <si>
    <t>Percentage</t>
  </si>
  <si>
    <t>Load allocated based upon daily load ratio share</t>
  </si>
  <si>
    <t>Renewable 1</t>
  </si>
  <si>
    <t>Gross Deviations</t>
  </si>
  <si>
    <t>Renewable 2</t>
  </si>
  <si>
    <t>Conventional 1</t>
  </si>
  <si>
    <t>Conventional 2</t>
  </si>
  <si>
    <t>SC 1</t>
  </si>
  <si>
    <t>SC 2</t>
  </si>
  <si>
    <t>Total Net Intertie Ramp</t>
  </si>
  <si>
    <t>RTPD 2</t>
  </si>
  <si>
    <t>Night Cost</t>
  </si>
  <si>
    <t>THIS IS NOT REAL DATA.  THE PURPOSE IS TO ILLUSTRATE THE PROPOSED METHODOLOGY</t>
  </si>
  <si>
    <t>* The same approach is used for the monthly resettlement</t>
  </si>
  <si>
    <t>Night Total Cost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</si>
</sst>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 horizontal="center"/>
    </xf>
    <xf numFmtId="9" fontId="0" fillId="0" borderId="0" xfId="57" applyFont="1" applyAlignment="1">
      <alignment horizontal="center"/>
    </xf>
    <xf numFmtId="9" fontId="0" fillId="0" borderId="17" xfId="57" applyFont="1" applyBorder="1" applyAlignment="1">
      <alignment horizontal="center"/>
    </xf>
    <xf numFmtId="164" fontId="0" fillId="0" borderId="0" xfId="44" applyNumberFormat="1" applyFont="1" applyAlignment="1">
      <alignment/>
    </xf>
    <xf numFmtId="164" fontId="0" fillId="0" borderId="0" xfId="44" applyNumberFormat="1" applyFont="1" applyAlignment="1">
      <alignment horizontal="center"/>
    </xf>
    <xf numFmtId="164" fontId="0" fillId="0" borderId="17" xfId="44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9" fontId="0" fillId="0" borderId="0" xfId="57" applyFont="1" applyBorder="1" applyAlignment="1">
      <alignment horizontal="center"/>
    </xf>
    <xf numFmtId="164" fontId="0" fillId="0" borderId="0" xfId="44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0" xfId="0" applyNumberFormat="1" applyFill="1" applyAlignment="1">
      <alignment/>
    </xf>
    <xf numFmtId="164" fontId="0" fillId="0" borderId="17" xfId="0" applyNumberFormat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38" fillId="0" borderId="1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323850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876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15.140625" style="0" customWidth="1"/>
    <col min="4" max="4" width="4.57421875" style="0" customWidth="1"/>
    <col min="6" max="6" width="9.140625" style="0" customWidth="1"/>
    <col min="7" max="7" width="4.8515625" style="0" customWidth="1"/>
  </cols>
  <sheetData>
    <row r="1" ht="52.5" customHeight="1"/>
    <row r="2" spans="2:3" ht="60">
      <c r="B2" s="19" t="s">
        <v>57</v>
      </c>
      <c r="C2" s="19" t="s">
        <v>58</v>
      </c>
    </row>
    <row r="3" spans="1:3" ht="15">
      <c r="A3" t="s">
        <v>74</v>
      </c>
      <c r="B3" s="24">
        <v>12600</v>
      </c>
      <c r="C3" s="24">
        <v>13000</v>
      </c>
    </row>
    <row r="5" spans="2:9" ht="15">
      <c r="B5" s="42" t="s">
        <v>59</v>
      </c>
      <c r="C5" s="42"/>
      <c r="E5" s="42" t="s">
        <v>60</v>
      </c>
      <c r="F5" s="42"/>
      <c r="H5" s="42" t="s">
        <v>71</v>
      </c>
      <c r="I5" s="42"/>
    </row>
    <row r="6" spans="1:9" ht="60">
      <c r="A6" s="1"/>
      <c r="B6" s="19" t="s">
        <v>57</v>
      </c>
      <c r="C6" s="19" t="s">
        <v>58</v>
      </c>
      <c r="E6" s="19" t="s">
        <v>57</v>
      </c>
      <c r="F6" s="19" t="s">
        <v>58</v>
      </c>
      <c r="H6" s="19" t="s">
        <v>57</v>
      </c>
      <c r="I6" s="19" t="s">
        <v>58</v>
      </c>
    </row>
    <row r="7" spans="1:9" ht="15">
      <c r="A7" t="s">
        <v>33</v>
      </c>
      <c r="B7" s="2">
        <f>'Example of Deviation Data'!N9</f>
        <v>475</v>
      </c>
      <c r="C7" s="2">
        <f>'Example of Deviation Data'!N10</f>
        <v>480</v>
      </c>
      <c r="E7" s="22">
        <f>B7/$B$10</f>
        <v>0.7429885345137727</v>
      </c>
      <c r="F7" s="22">
        <f>C7/$C$10</f>
        <v>0.7688488090852301</v>
      </c>
      <c r="H7" s="25">
        <f>$B$3*E7</f>
        <v>9361.655534873536</v>
      </c>
      <c r="I7" s="25">
        <f>$C$3*F7</f>
        <v>9995.034518107992</v>
      </c>
    </row>
    <row r="8" spans="1:9" ht="15">
      <c r="A8" t="s">
        <v>34</v>
      </c>
      <c r="B8" s="2">
        <f>'Example of Deviation Data'!N45</f>
        <v>140</v>
      </c>
      <c r="C8" s="2">
        <f>'Example of Deviation Data'!N46</f>
        <v>120</v>
      </c>
      <c r="E8" s="22">
        <f>B8/$B$10</f>
        <v>0.2189860943830067</v>
      </c>
      <c r="F8" s="22">
        <f>C8/$C$10</f>
        <v>0.19221220227130753</v>
      </c>
      <c r="H8" s="25">
        <f>$B$3*E8</f>
        <v>2759.2247892258843</v>
      </c>
      <c r="I8" s="25">
        <f>$C$3*F8</f>
        <v>2498.758629526998</v>
      </c>
    </row>
    <row r="9" spans="1:9" ht="15">
      <c r="A9" t="s">
        <v>35</v>
      </c>
      <c r="B9" s="18">
        <f>'Example of Deviation Data'!N63</f>
        <v>24.31</v>
      </c>
      <c r="C9" s="18">
        <f>'Example of Deviation Data'!N64</f>
        <v>24.310000000000002</v>
      </c>
      <c r="E9" s="22">
        <f>B9/$B$10</f>
        <v>0.03802537110322066</v>
      </c>
      <c r="F9" s="22">
        <f>C9/$C$10</f>
        <v>0.03893898864346239</v>
      </c>
      <c r="H9" s="25">
        <f>$B$3*E9</f>
        <v>479.1196759005804</v>
      </c>
      <c r="I9" s="25">
        <f>$C$3*F9</f>
        <v>506.20685236501106</v>
      </c>
    </row>
    <row r="10" spans="1:9" ht="15.75" thickBot="1">
      <c r="A10" s="20" t="s">
        <v>41</v>
      </c>
      <c r="B10" s="21">
        <f>SUM(B7:B9)</f>
        <v>639.31</v>
      </c>
      <c r="C10" s="21">
        <f>SUM(C7:C9)</f>
        <v>624.31</v>
      </c>
      <c r="E10" s="23">
        <f>B10/$B$10</f>
        <v>1</v>
      </c>
      <c r="F10" s="23">
        <f>C10/$C$10</f>
        <v>1</v>
      </c>
      <c r="H10" s="26">
        <f>$B$3*E10</f>
        <v>12600</v>
      </c>
      <c r="I10" s="26">
        <f>$C$3*F10</f>
        <v>13000</v>
      </c>
    </row>
    <row r="11" spans="1:9" ht="15.75" thickTop="1">
      <c r="A11" s="4"/>
      <c r="B11" s="27"/>
      <c r="C11" s="27"/>
      <c r="E11" s="28"/>
      <c r="F11" s="28"/>
      <c r="H11" s="29"/>
      <c r="I11" s="29"/>
    </row>
    <row r="12" spans="1:9" ht="21">
      <c r="A12" s="43" t="s">
        <v>33</v>
      </c>
      <c r="B12" s="43"/>
      <c r="C12" s="43"/>
      <c r="D12" s="43"/>
      <c r="E12" s="43"/>
      <c r="F12" s="43"/>
      <c r="G12" s="43"/>
      <c r="H12" s="43"/>
      <c r="I12" s="43"/>
    </row>
    <row r="13" spans="1:9" ht="15" customHeight="1">
      <c r="A13" s="40"/>
      <c r="B13" s="40"/>
      <c r="C13" s="40"/>
      <c r="D13" s="40"/>
      <c r="E13" s="40"/>
      <c r="F13" s="40"/>
      <c r="G13" s="40"/>
      <c r="H13" s="42" t="s">
        <v>71</v>
      </c>
      <c r="I13" s="42"/>
    </row>
    <row r="14" spans="1:9" ht="46.5">
      <c r="A14" s="40"/>
      <c r="B14" s="40"/>
      <c r="C14" s="40"/>
      <c r="D14" s="40"/>
      <c r="E14" s="40"/>
      <c r="F14" s="40"/>
      <c r="G14" s="40"/>
      <c r="H14" s="19" t="s">
        <v>57</v>
      </c>
      <c r="I14" s="19" t="s">
        <v>58</v>
      </c>
    </row>
    <row r="15" spans="1:9" ht="15.75" thickBot="1">
      <c r="A15" s="20" t="s">
        <v>61</v>
      </c>
      <c r="B15" s="20"/>
      <c r="C15" s="20"/>
      <c r="D15" s="20"/>
      <c r="E15" s="20"/>
      <c r="F15" s="20"/>
      <c r="G15" s="20"/>
      <c r="H15" s="39">
        <f>H7</f>
        <v>9361.655534873536</v>
      </c>
      <c r="I15" s="39">
        <f>I7</f>
        <v>9995.034518107992</v>
      </c>
    </row>
    <row r="16" spans="1:9" ht="15.75" thickTop="1">
      <c r="A16" s="4"/>
      <c r="B16" s="4"/>
      <c r="C16" s="4"/>
      <c r="D16" s="4"/>
      <c r="E16" s="4"/>
      <c r="F16" s="4"/>
      <c r="G16" s="4"/>
      <c r="H16" s="4"/>
      <c r="I16" s="4"/>
    </row>
    <row r="17" spans="1:9" ht="21">
      <c r="A17" s="41" t="s">
        <v>34</v>
      </c>
      <c r="B17" s="41"/>
      <c r="C17" s="41"/>
      <c r="D17" s="41"/>
      <c r="E17" s="41"/>
      <c r="F17" s="41"/>
      <c r="G17" s="41"/>
      <c r="H17" s="41"/>
      <c r="I17" s="41"/>
    </row>
    <row r="18" spans="2:9" ht="15">
      <c r="B18" s="42" t="s">
        <v>63</v>
      </c>
      <c r="C18" s="42"/>
      <c r="E18" s="42" t="s">
        <v>60</v>
      </c>
      <c r="F18" s="42"/>
      <c r="H18" s="42" t="s">
        <v>71</v>
      </c>
      <c r="I18" s="42"/>
    </row>
    <row r="19" spans="1:9" ht="45">
      <c r="A19" s="1"/>
      <c r="B19" s="19" t="s">
        <v>57</v>
      </c>
      <c r="C19" s="19" t="s">
        <v>58</v>
      </c>
      <c r="E19" s="19" t="s">
        <v>57</v>
      </c>
      <c r="F19" s="19" t="s">
        <v>58</v>
      </c>
      <c r="H19" s="19" t="s">
        <v>57</v>
      </c>
      <c r="I19" s="19" t="s">
        <v>58</v>
      </c>
    </row>
    <row r="20" spans="1:9" ht="15">
      <c r="A20" t="s">
        <v>62</v>
      </c>
      <c r="B20" s="2">
        <f>'Example of Deviation Data'!N20</f>
        <v>135</v>
      </c>
      <c r="C20" s="2">
        <f>'Example of Deviation Data'!N21</f>
        <v>45</v>
      </c>
      <c r="E20" s="22">
        <f>B20/$B$26</f>
        <v>0.21951219512195122</v>
      </c>
      <c r="F20" s="22">
        <f>C20/$C$26</f>
        <v>0.12</v>
      </c>
      <c r="H20" s="25">
        <f>E20*$H$8</f>
        <v>605.683490317877</v>
      </c>
      <c r="I20" s="25">
        <f>F20*$I$8</f>
        <v>299.85103554323973</v>
      </c>
    </row>
    <row r="21" spans="1:9" ht="15">
      <c r="A21" t="s">
        <v>64</v>
      </c>
      <c r="B21" s="2">
        <f>'Example of Deviation Data'!N25</f>
        <v>65</v>
      </c>
      <c r="C21" s="2">
        <f>'Example of Deviation Data'!N26</f>
        <v>45</v>
      </c>
      <c r="E21" s="22">
        <f aca="true" t="shared" si="0" ref="E21:E26">B21/$B$26</f>
        <v>0.10569105691056911</v>
      </c>
      <c r="F21" s="22">
        <f aca="true" t="shared" si="1" ref="F21:F26">C21/$C$26</f>
        <v>0.12</v>
      </c>
      <c r="H21" s="25">
        <f aca="true" t="shared" si="2" ref="H21:H26">E21*$H$8</f>
        <v>291.625384227126</v>
      </c>
      <c r="I21" s="25">
        <f aca="true" t="shared" si="3" ref="I21:I26">F21*$I$8</f>
        <v>299.85103554323973</v>
      </c>
    </row>
    <row r="22" spans="1:9" ht="15">
      <c r="A22" t="s">
        <v>65</v>
      </c>
      <c r="B22" s="2">
        <f>'Example of Deviation Data'!N29</f>
        <v>115</v>
      </c>
      <c r="C22" s="2">
        <f>'Example of Deviation Data'!N30</f>
        <v>60</v>
      </c>
      <c r="E22" s="22">
        <f t="shared" si="0"/>
        <v>0.18699186991869918</v>
      </c>
      <c r="F22" s="22">
        <f t="shared" si="1"/>
        <v>0.16</v>
      </c>
      <c r="H22" s="25">
        <f t="shared" si="2"/>
        <v>515.9526028633767</v>
      </c>
      <c r="I22" s="25">
        <f t="shared" si="3"/>
        <v>399.8013807243197</v>
      </c>
    </row>
    <row r="23" spans="1:9" ht="15">
      <c r="A23" t="s">
        <v>66</v>
      </c>
      <c r="B23" s="2">
        <f>'Example of Deviation Data'!N33</f>
        <v>30</v>
      </c>
      <c r="C23" s="2">
        <f>'Example of Deviation Data'!N34</f>
        <v>15</v>
      </c>
      <c r="E23" s="22">
        <f t="shared" si="0"/>
        <v>0.04878048780487805</v>
      </c>
      <c r="F23" s="22">
        <f t="shared" si="1"/>
        <v>0.04</v>
      </c>
      <c r="H23" s="25">
        <f t="shared" si="2"/>
        <v>134.59633118175046</v>
      </c>
      <c r="I23" s="25">
        <f t="shared" si="3"/>
        <v>99.95034518107992</v>
      </c>
    </row>
    <row r="24" spans="1:9" ht="15">
      <c r="A24" t="s">
        <v>52</v>
      </c>
      <c r="B24" s="2">
        <f>'Example of Deviation Data'!N37</f>
        <v>60</v>
      </c>
      <c r="C24" s="2">
        <f>'Example of Deviation Data'!N38</f>
        <v>120</v>
      </c>
      <c r="E24" s="22">
        <f t="shared" si="0"/>
        <v>0.0975609756097561</v>
      </c>
      <c r="F24" s="22">
        <f t="shared" si="1"/>
        <v>0.32</v>
      </c>
      <c r="H24" s="25">
        <f t="shared" si="2"/>
        <v>269.1926623635009</v>
      </c>
      <c r="I24" s="25">
        <f t="shared" si="3"/>
        <v>799.6027614486394</v>
      </c>
    </row>
    <row r="25" spans="1:9" ht="15">
      <c r="A25" t="s">
        <v>53</v>
      </c>
      <c r="B25" s="18">
        <f>'Example of Deviation Data'!N41</f>
        <v>210</v>
      </c>
      <c r="C25" s="18">
        <f>'Example of Deviation Data'!N42</f>
        <v>90</v>
      </c>
      <c r="E25" s="22">
        <f t="shared" si="0"/>
        <v>0.34146341463414637</v>
      </c>
      <c r="F25" s="22">
        <f t="shared" si="1"/>
        <v>0.24</v>
      </c>
      <c r="H25" s="25">
        <f t="shared" si="2"/>
        <v>942.1743182722532</v>
      </c>
      <c r="I25" s="25">
        <f t="shared" si="3"/>
        <v>599.7020710864795</v>
      </c>
    </row>
    <row r="26" spans="1:9" ht="15.75" thickBot="1">
      <c r="A26" s="20" t="s">
        <v>41</v>
      </c>
      <c r="B26" s="21">
        <f>SUM(B20:B25)</f>
        <v>615</v>
      </c>
      <c r="C26" s="21">
        <f>SUM(C20:C25)</f>
        <v>375</v>
      </c>
      <c r="E26" s="23">
        <f t="shared" si="0"/>
        <v>1</v>
      </c>
      <c r="F26" s="23">
        <f t="shared" si="1"/>
        <v>1</v>
      </c>
      <c r="H26" s="26">
        <f t="shared" si="2"/>
        <v>2759.2247892258843</v>
      </c>
      <c r="I26" s="26">
        <f t="shared" si="3"/>
        <v>2498.758629526998</v>
      </c>
    </row>
    <row r="27" ht="15.75" thickTop="1"/>
    <row r="28" spans="1:9" ht="21">
      <c r="A28" s="41" t="s">
        <v>35</v>
      </c>
      <c r="B28" s="41"/>
      <c r="C28" s="41"/>
      <c r="D28" s="41"/>
      <c r="E28" s="41"/>
      <c r="F28" s="41"/>
      <c r="G28" s="41"/>
      <c r="H28" s="41"/>
      <c r="I28" s="41"/>
    </row>
    <row r="29" spans="2:9" ht="15">
      <c r="B29" s="42" t="s">
        <v>63</v>
      </c>
      <c r="C29" s="42"/>
      <c r="E29" s="42" t="s">
        <v>60</v>
      </c>
      <c r="F29" s="42"/>
      <c r="H29" s="42" t="s">
        <v>71</v>
      </c>
      <c r="I29" s="42"/>
    </row>
    <row r="30" spans="1:9" ht="45">
      <c r="A30" s="1"/>
      <c r="B30" s="19" t="s">
        <v>57</v>
      </c>
      <c r="C30" s="19" t="s">
        <v>58</v>
      </c>
      <c r="E30" s="19" t="s">
        <v>57</v>
      </c>
      <c r="F30" s="19" t="s">
        <v>58</v>
      </c>
      <c r="H30" s="19" t="s">
        <v>57</v>
      </c>
      <c r="I30" s="19" t="s">
        <v>58</v>
      </c>
    </row>
    <row r="31" spans="1:9" ht="15">
      <c r="A31" t="s">
        <v>67</v>
      </c>
      <c r="B31" s="18">
        <f>'Example of Deviation Data'!N55</f>
        <v>24.310000000000002</v>
      </c>
      <c r="C31" s="18">
        <f>'Example of Deviation Data'!N56</f>
        <v>24.31</v>
      </c>
      <c r="E31" s="22">
        <f>B31/$B$33</f>
        <v>0.3333790455293473</v>
      </c>
      <c r="F31" s="22">
        <f>C31/$C$33</f>
        <v>0.3333790455293472</v>
      </c>
      <c r="H31" s="25">
        <f>E31*$H$9</f>
        <v>159.7284602460657</v>
      </c>
      <c r="I31" s="25">
        <f>F31*$I$9</f>
        <v>168.75875728186256</v>
      </c>
    </row>
    <row r="32" spans="1:9" ht="15">
      <c r="A32" t="s">
        <v>68</v>
      </c>
      <c r="B32" s="18">
        <f>'Example of Deviation Data'!N59</f>
        <v>48.61</v>
      </c>
      <c r="C32" s="18">
        <f>'Example of Deviation Data'!N60</f>
        <v>48.61</v>
      </c>
      <c r="E32" s="22">
        <f>B32/$B$33</f>
        <v>0.6666209544706527</v>
      </c>
      <c r="F32" s="22">
        <f>C32/$C$33</f>
        <v>0.6666209544706527</v>
      </c>
      <c r="H32" s="25">
        <f>E32*$H$9</f>
        <v>319.39121565451467</v>
      </c>
      <c r="I32" s="25">
        <f>F32*$I$9</f>
        <v>337.4480950831485</v>
      </c>
    </row>
    <row r="33" spans="1:9" ht="15.75" thickBot="1">
      <c r="A33" s="20" t="s">
        <v>41</v>
      </c>
      <c r="B33" s="21">
        <f>SUM(B31:B32)</f>
        <v>72.92</v>
      </c>
      <c r="C33" s="21">
        <f>SUM(C31:C32)</f>
        <v>72.92</v>
      </c>
      <c r="E33" s="23">
        <f>B33/$B$33</f>
        <v>1</v>
      </c>
      <c r="F33" s="23">
        <f>C33/$C$33</f>
        <v>1</v>
      </c>
      <c r="H33" s="26">
        <f>E33*$H$9</f>
        <v>479.1196759005804</v>
      </c>
      <c r="I33" s="26">
        <f>F33*$I$9</f>
        <v>506.20685236501106</v>
      </c>
    </row>
    <row r="34" ht="15.75" thickTop="1"/>
    <row r="36" ht="15">
      <c r="A36" t="s">
        <v>73</v>
      </c>
    </row>
  </sheetData>
  <sheetProtection/>
  <mergeCells count="13">
    <mergeCell ref="A12:I12"/>
    <mergeCell ref="A17:I17"/>
    <mergeCell ref="H13:I13"/>
    <mergeCell ref="A28:I28"/>
    <mergeCell ref="B29:C29"/>
    <mergeCell ref="E29:F29"/>
    <mergeCell ref="H29:I29"/>
    <mergeCell ref="B5:C5"/>
    <mergeCell ref="E5:F5"/>
    <mergeCell ref="H5:I5"/>
    <mergeCell ref="B18:C18"/>
    <mergeCell ref="E18:F18"/>
    <mergeCell ref="H18:I18"/>
  </mergeCells>
  <printOptions/>
  <pageMargins left="0.7" right="0.7" top="0.75" bottom="0.75" header="0.3" footer="0.3"/>
  <pageSetup fitToHeight="1" fitToWidth="1"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25.140625" style="0" customWidth="1"/>
    <col min="14" max="14" width="9.140625" style="4" customWidth="1"/>
  </cols>
  <sheetData>
    <row r="1" spans="1:14" ht="18.75">
      <c r="A1" s="44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ht="15"/>
    <row r="3" spans="1:14" ht="21.75" thickBot="1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31"/>
    </row>
    <row r="4" spans="2:14" ht="15">
      <c r="B4" s="42" t="s">
        <v>39</v>
      </c>
      <c r="C4" s="42"/>
      <c r="D4" s="42"/>
      <c r="E4" s="42"/>
      <c r="F4" s="42"/>
      <c r="G4" s="42"/>
      <c r="H4" s="42" t="s">
        <v>40</v>
      </c>
      <c r="I4" s="42"/>
      <c r="J4" s="42"/>
      <c r="K4" s="42"/>
      <c r="L4" s="42"/>
      <c r="M4" s="42"/>
      <c r="N4" s="6"/>
    </row>
    <row r="5" spans="1:14" ht="15">
      <c r="A5" s="1" t="s">
        <v>38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1</v>
      </c>
      <c r="I5" s="30">
        <v>2</v>
      </c>
      <c r="J5" s="30">
        <v>3</v>
      </c>
      <c r="K5" s="30">
        <v>4</v>
      </c>
      <c r="L5" s="30">
        <v>5</v>
      </c>
      <c r="M5" s="30">
        <v>6</v>
      </c>
      <c r="N5" s="34" t="s">
        <v>41</v>
      </c>
    </row>
    <row r="6" spans="1:14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"/>
    </row>
    <row r="7" spans="1:14" ht="15">
      <c r="A7" t="s">
        <v>36</v>
      </c>
      <c r="B7" s="2">
        <v>5000</v>
      </c>
      <c r="C7" s="2">
        <v>5100</v>
      </c>
      <c r="D7" s="2">
        <v>5200</v>
      </c>
      <c r="E7" s="2">
        <v>5300</v>
      </c>
      <c r="F7" s="2">
        <v>5400</v>
      </c>
      <c r="G7" s="2">
        <v>5500</v>
      </c>
      <c r="H7" s="2">
        <v>5600</v>
      </c>
      <c r="I7" s="2">
        <v>5700</v>
      </c>
      <c r="J7" s="2">
        <v>5800</v>
      </c>
      <c r="K7" s="2">
        <v>5900</v>
      </c>
      <c r="L7" s="2">
        <v>6000</v>
      </c>
      <c r="M7" s="2">
        <v>6000</v>
      </c>
      <c r="N7" s="6"/>
    </row>
    <row r="8" spans="1:14" ht="15">
      <c r="A8" s="1" t="s">
        <v>37</v>
      </c>
      <c r="B8" s="10">
        <v>4850</v>
      </c>
      <c r="C8" s="10">
        <v>5000</v>
      </c>
      <c r="D8" s="10">
        <v>5300</v>
      </c>
      <c r="E8" s="10">
        <v>5400</v>
      </c>
      <c r="F8" s="10">
        <v>5475</v>
      </c>
      <c r="G8" s="10">
        <v>5550</v>
      </c>
      <c r="H8" s="10">
        <v>5700</v>
      </c>
      <c r="I8" s="10">
        <v>5750</v>
      </c>
      <c r="J8" s="10">
        <v>5800</v>
      </c>
      <c r="K8" s="10">
        <v>5820</v>
      </c>
      <c r="L8" s="10">
        <v>5900</v>
      </c>
      <c r="M8" s="10">
        <v>5950</v>
      </c>
      <c r="N8" s="6"/>
    </row>
    <row r="9" spans="1:14" ht="15">
      <c r="A9" s="5" t="s">
        <v>42</v>
      </c>
      <c r="B9" s="12">
        <f>IF(B8&gt;B7,B8-B7,0)</f>
        <v>0</v>
      </c>
      <c r="C9" s="12">
        <f aca="true" t="shared" si="0" ref="C9:M9">IF(C8&gt;C7,C8-C7,0)</f>
        <v>0</v>
      </c>
      <c r="D9" s="12">
        <f t="shared" si="0"/>
        <v>100</v>
      </c>
      <c r="E9" s="12">
        <f t="shared" si="0"/>
        <v>100</v>
      </c>
      <c r="F9" s="12">
        <f t="shared" si="0"/>
        <v>75</v>
      </c>
      <c r="G9" s="12">
        <f t="shared" si="0"/>
        <v>50</v>
      </c>
      <c r="H9" s="12">
        <f t="shared" si="0"/>
        <v>100</v>
      </c>
      <c r="I9" s="12">
        <f t="shared" si="0"/>
        <v>50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3">
        <f>SUM(B9:M9)</f>
        <v>475</v>
      </c>
    </row>
    <row r="10" spans="1:14" ht="15">
      <c r="A10" s="1" t="s">
        <v>43</v>
      </c>
      <c r="B10" s="10">
        <f>IF(B8&lt;B7,B7-B8,0)</f>
        <v>150</v>
      </c>
      <c r="C10" s="10">
        <f aca="true" t="shared" si="1" ref="C10:M10">IF(C8&lt;C7,C7-C8,0)</f>
        <v>100</v>
      </c>
      <c r="D10" s="10">
        <f t="shared" si="1"/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80</v>
      </c>
      <c r="L10" s="10">
        <f t="shared" si="1"/>
        <v>100</v>
      </c>
      <c r="M10" s="10">
        <f t="shared" si="1"/>
        <v>50</v>
      </c>
      <c r="N10" s="11">
        <f>SUM(B10:M10)</f>
        <v>480</v>
      </c>
    </row>
    <row r="11" spans="1:14" ht="15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ht="15"/>
    <row r="14" spans="1:14" ht="21.75" thickBot="1">
      <c r="A14" s="45" t="s">
        <v>34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31"/>
    </row>
    <row r="15" spans="2:14" ht="15">
      <c r="B15" s="42" t="s">
        <v>39</v>
      </c>
      <c r="C15" s="42"/>
      <c r="D15" s="42"/>
      <c r="E15" s="42"/>
      <c r="F15" s="42"/>
      <c r="G15" s="42"/>
      <c r="H15" s="42" t="s">
        <v>40</v>
      </c>
      <c r="I15" s="42"/>
      <c r="J15" s="42"/>
      <c r="K15" s="42"/>
      <c r="L15" s="42"/>
      <c r="M15" s="42"/>
      <c r="N15" s="6"/>
    </row>
    <row r="16" spans="1:14" ht="15">
      <c r="A16" s="1" t="s">
        <v>38</v>
      </c>
      <c r="B16" s="30">
        <v>1</v>
      </c>
      <c r="C16" s="30">
        <v>2</v>
      </c>
      <c r="D16" s="30">
        <v>3</v>
      </c>
      <c r="E16" s="30">
        <v>4</v>
      </c>
      <c r="F16" s="30">
        <v>5</v>
      </c>
      <c r="G16" s="30">
        <v>6</v>
      </c>
      <c r="H16" s="30">
        <v>1</v>
      </c>
      <c r="I16" s="30">
        <v>2</v>
      </c>
      <c r="J16" s="30">
        <v>3</v>
      </c>
      <c r="K16" s="30">
        <v>4</v>
      </c>
      <c r="L16" s="30">
        <v>5</v>
      </c>
      <c r="M16" s="30">
        <v>6</v>
      </c>
      <c r="N16" s="34" t="s">
        <v>41</v>
      </c>
    </row>
    <row r="17" spans="2:14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</row>
    <row r="18" spans="1:14" ht="15">
      <c r="A18" t="s">
        <v>44</v>
      </c>
      <c r="B18" s="14">
        <v>470</v>
      </c>
      <c r="C18" s="14">
        <v>510</v>
      </c>
      <c r="D18" s="14">
        <v>500</v>
      </c>
      <c r="E18" s="15">
        <v>490</v>
      </c>
      <c r="F18" s="15">
        <v>460</v>
      </c>
      <c r="G18" s="15">
        <v>490</v>
      </c>
      <c r="H18" s="15">
        <v>510</v>
      </c>
      <c r="I18" s="15">
        <v>550</v>
      </c>
      <c r="J18" s="15">
        <v>550</v>
      </c>
      <c r="K18" s="15">
        <v>600</v>
      </c>
      <c r="L18" s="15">
        <v>590</v>
      </c>
      <c r="M18" s="15">
        <v>600</v>
      </c>
      <c r="N18" s="6"/>
    </row>
    <row r="19" spans="1:14" ht="15">
      <c r="A19" s="1" t="s">
        <v>45</v>
      </c>
      <c r="B19" s="10">
        <v>450</v>
      </c>
      <c r="C19" s="10">
        <v>500</v>
      </c>
      <c r="D19" s="10">
        <v>510</v>
      </c>
      <c r="E19" s="10">
        <v>500</v>
      </c>
      <c r="F19" s="10">
        <v>450</v>
      </c>
      <c r="G19" s="10">
        <v>450</v>
      </c>
      <c r="H19" s="10">
        <v>480</v>
      </c>
      <c r="I19" s="10">
        <v>525</v>
      </c>
      <c r="J19" s="10">
        <v>550</v>
      </c>
      <c r="K19" s="10">
        <v>610</v>
      </c>
      <c r="L19" s="10">
        <v>600</v>
      </c>
      <c r="M19" s="10">
        <v>605</v>
      </c>
      <c r="N19" s="6"/>
    </row>
    <row r="20" spans="1:14" ht="15">
      <c r="A20" t="s">
        <v>42</v>
      </c>
      <c r="B20" s="2">
        <f>IF(B19&lt;B18,B18-B19,0)</f>
        <v>20</v>
      </c>
      <c r="C20" s="2">
        <f aca="true" t="shared" si="2" ref="C20:M20">IF(C19&lt;C18,C18-C19,0)</f>
        <v>10</v>
      </c>
      <c r="D20" s="2">
        <f t="shared" si="2"/>
        <v>0</v>
      </c>
      <c r="E20" s="2">
        <f t="shared" si="2"/>
        <v>0</v>
      </c>
      <c r="F20" s="2">
        <f t="shared" si="2"/>
        <v>10</v>
      </c>
      <c r="G20" s="2">
        <f t="shared" si="2"/>
        <v>40</v>
      </c>
      <c r="H20" s="2">
        <f t="shared" si="2"/>
        <v>30</v>
      </c>
      <c r="I20" s="2">
        <f t="shared" si="2"/>
        <v>25</v>
      </c>
      <c r="J20" s="2">
        <f t="shared" si="2"/>
        <v>0</v>
      </c>
      <c r="K20" s="2">
        <f t="shared" si="2"/>
        <v>0</v>
      </c>
      <c r="L20" s="2">
        <f t="shared" si="2"/>
        <v>0</v>
      </c>
      <c r="M20" s="2">
        <f t="shared" si="2"/>
        <v>0</v>
      </c>
      <c r="N20" s="13">
        <f>SUM(B20:M20)</f>
        <v>135</v>
      </c>
    </row>
    <row r="21" spans="1:14" ht="15">
      <c r="A21" s="1" t="s">
        <v>43</v>
      </c>
      <c r="B21" s="10">
        <f>IF(B19&gt;B18,B19-B18,0)</f>
        <v>0</v>
      </c>
      <c r="C21" s="10">
        <f aca="true" t="shared" si="3" ref="C21:M21">IF(C19&gt;C18,C19-C18,0)</f>
        <v>0</v>
      </c>
      <c r="D21" s="10">
        <f t="shared" si="3"/>
        <v>10</v>
      </c>
      <c r="E21" s="10">
        <f t="shared" si="3"/>
        <v>10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10</v>
      </c>
      <c r="L21" s="10">
        <f t="shared" si="3"/>
        <v>10</v>
      </c>
      <c r="M21" s="10">
        <f t="shared" si="3"/>
        <v>5</v>
      </c>
      <c r="N21" s="11">
        <f>SUM(B21:M21)</f>
        <v>45</v>
      </c>
    </row>
    <row r="22" spans="1:14" ht="15">
      <c r="A22" s="4"/>
      <c r="N22" s="7"/>
    </row>
    <row r="23" spans="1:14" ht="15">
      <c r="A23" t="s">
        <v>46</v>
      </c>
      <c r="B23" s="14">
        <v>500</v>
      </c>
      <c r="C23" s="14">
        <v>510</v>
      </c>
      <c r="D23" s="14">
        <v>500</v>
      </c>
      <c r="E23" s="15">
        <v>490</v>
      </c>
      <c r="F23" s="15">
        <v>460</v>
      </c>
      <c r="G23" s="15">
        <v>490</v>
      </c>
      <c r="H23" s="15">
        <v>510</v>
      </c>
      <c r="I23" s="15">
        <v>550</v>
      </c>
      <c r="J23" s="15">
        <v>550</v>
      </c>
      <c r="K23" s="15">
        <v>600</v>
      </c>
      <c r="L23" s="15">
        <v>590</v>
      </c>
      <c r="M23" s="15">
        <v>600</v>
      </c>
      <c r="N23" s="7"/>
    </row>
    <row r="24" spans="1:14" ht="15">
      <c r="A24" s="1" t="s">
        <v>47</v>
      </c>
      <c r="B24" s="10">
        <v>510</v>
      </c>
      <c r="C24" s="10">
        <v>510</v>
      </c>
      <c r="D24" s="10">
        <v>490</v>
      </c>
      <c r="E24" s="10">
        <v>460</v>
      </c>
      <c r="F24" s="10">
        <v>450</v>
      </c>
      <c r="G24" s="10">
        <v>480</v>
      </c>
      <c r="H24" s="10">
        <v>520</v>
      </c>
      <c r="I24" s="10">
        <v>550</v>
      </c>
      <c r="J24" s="10">
        <v>560</v>
      </c>
      <c r="K24" s="10">
        <v>595</v>
      </c>
      <c r="L24" s="10">
        <v>600</v>
      </c>
      <c r="M24" s="10">
        <v>605</v>
      </c>
      <c r="N24" s="7"/>
    </row>
    <row r="25" spans="1:14" ht="15">
      <c r="A25" t="s">
        <v>42</v>
      </c>
      <c r="B25" s="2">
        <f aca="true" t="shared" si="4" ref="B25:M25">IF(B24&lt;B23,B23-B24,0)</f>
        <v>0</v>
      </c>
      <c r="C25" s="2">
        <f t="shared" si="4"/>
        <v>0</v>
      </c>
      <c r="D25" s="2">
        <f t="shared" si="4"/>
        <v>10</v>
      </c>
      <c r="E25" s="2">
        <f t="shared" si="4"/>
        <v>30</v>
      </c>
      <c r="F25" s="2">
        <f t="shared" si="4"/>
        <v>10</v>
      </c>
      <c r="G25" s="2">
        <f t="shared" si="4"/>
        <v>10</v>
      </c>
      <c r="H25" s="2">
        <f t="shared" si="4"/>
        <v>0</v>
      </c>
      <c r="I25" s="2">
        <f t="shared" si="4"/>
        <v>0</v>
      </c>
      <c r="J25" s="2">
        <f t="shared" si="4"/>
        <v>0</v>
      </c>
      <c r="K25" s="2">
        <f t="shared" si="4"/>
        <v>5</v>
      </c>
      <c r="L25" s="2">
        <f t="shared" si="4"/>
        <v>0</v>
      </c>
      <c r="M25" s="2">
        <f t="shared" si="4"/>
        <v>0</v>
      </c>
      <c r="N25" s="13">
        <f>SUM(B25:M25)</f>
        <v>65</v>
      </c>
    </row>
    <row r="26" spans="1:14" ht="15">
      <c r="A26" s="1" t="s">
        <v>43</v>
      </c>
      <c r="B26" s="10">
        <f>IF(B24&gt;B23,B24-B23,0)</f>
        <v>10</v>
      </c>
      <c r="C26" s="10">
        <f aca="true" t="shared" si="5" ref="C26:M26">IF(C24&gt;C23,C24-C23,0)</f>
        <v>0</v>
      </c>
      <c r="D26" s="10">
        <f t="shared" si="5"/>
        <v>0</v>
      </c>
      <c r="E26" s="10">
        <f t="shared" si="5"/>
        <v>0</v>
      </c>
      <c r="F26" s="10">
        <f t="shared" si="5"/>
        <v>0</v>
      </c>
      <c r="G26" s="10">
        <f t="shared" si="5"/>
        <v>0</v>
      </c>
      <c r="H26" s="10">
        <f t="shared" si="5"/>
        <v>10</v>
      </c>
      <c r="I26" s="10">
        <f t="shared" si="5"/>
        <v>0</v>
      </c>
      <c r="J26" s="10">
        <f t="shared" si="5"/>
        <v>10</v>
      </c>
      <c r="K26" s="10">
        <f t="shared" si="5"/>
        <v>0</v>
      </c>
      <c r="L26" s="10">
        <f t="shared" si="5"/>
        <v>10</v>
      </c>
      <c r="M26" s="10">
        <f t="shared" si="5"/>
        <v>5</v>
      </c>
      <c r="N26" s="11">
        <f>SUM(B26:M26)</f>
        <v>45</v>
      </c>
    </row>
    <row r="27" ht="15">
      <c r="N27" s="7"/>
    </row>
    <row r="28" spans="1:14" ht="15">
      <c r="A28" s="1" t="s">
        <v>48</v>
      </c>
      <c r="B28" s="10">
        <v>-50</v>
      </c>
      <c r="C28" s="10">
        <v>-45</v>
      </c>
      <c r="D28" s="10">
        <v>-20</v>
      </c>
      <c r="E28" s="10">
        <v>0</v>
      </c>
      <c r="F28" s="10">
        <v>0</v>
      </c>
      <c r="G28" s="10">
        <v>0</v>
      </c>
      <c r="H28" s="10">
        <v>5</v>
      </c>
      <c r="I28" s="10">
        <v>10</v>
      </c>
      <c r="J28" s="10">
        <v>15</v>
      </c>
      <c r="K28" s="10">
        <v>10</v>
      </c>
      <c r="L28" s="10">
        <v>20</v>
      </c>
      <c r="M28" s="10">
        <v>0</v>
      </c>
      <c r="N28" s="6"/>
    </row>
    <row r="29" spans="1:14" ht="15">
      <c r="A29" t="s">
        <v>42</v>
      </c>
      <c r="B29" s="2">
        <f aca="true" t="shared" si="6" ref="B29:M29">IF(B28&lt;0,-B28,0)</f>
        <v>50</v>
      </c>
      <c r="C29" s="2">
        <f t="shared" si="6"/>
        <v>45</v>
      </c>
      <c r="D29" s="2">
        <f t="shared" si="6"/>
        <v>20</v>
      </c>
      <c r="E29" s="2">
        <f t="shared" si="6"/>
        <v>0</v>
      </c>
      <c r="F29" s="2">
        <f t="shared" si="6"/>
        <v>0</v>
      </c>
      <c r="G29" s="2">
        <f t="shared" si="6"/>
        <v>0</v>
      </c>
      <c r="H29" s="2">
        <f t="shared" si="6"/>
        <v>0</v>
      </c>
      <c r="I29" s="2">
        <f t="shared" si="6"/>
        <v>0</v>
      </c>
      <c r="J29" s="2">
        <f t="shared" si="6"/>
        <v>0</v>
      </c>
      <c r="K29" s="2">
        <f t="shared" si="6"/>
        <v>0</v>
      </c>
      <c r="L29" s="2">
        <f t="shared" si="6"/>
        <v>0</v>
      </c>
      <c r="M29" s="2">
        <f t="shared" si="6"/>
        <v>0</v>
      </c>
      <c r="N29" s="13">
        <f>SUM(B29:M29)</f>
        <v>115</v>
      </c>
    </row>
    <row r="30" spans="1:14" ht="15">
      <c r="A30" s="1" t="s">
        <v>43</v>
      </c>
      <c r="B30" s="10">
        <f>IF(B28&gt;0,B28,0)</f>
        <v>0</v>
      </c>
      <c r="C30" s="10">
        <f aca="true" t="shared" si="7" ref="C30:M30">IF(C28&gt;0,C28,0)</f>
        <v>0</v>
      </c>
      <c r="D30" s="10">
        <f t="shared" si="7"/>
        <v>0</v>
      </c>
      <c r="E30" s="10">
        <f t="shared" si="7"/>
        <v>0</v>
      </c>
      <c r="F30" s="10">
        <f t="shared" si="7"/>
        <v>0</v>
      </c>
      <c r="G30" s="10">
        <f t="shared" si="7"/>
        <v>0</v>
      </c>
      <c r="H30" s="10">
        <f t="shared" si="7"/>
        <v>5</v>
      </c>
      <c r="I30" s="10">
        <f t="shared" si="7"/>
        <v>10</v>
      </c>
      <c r="J30" s="10">
        <f t="shared" si="7"/>
        <v>15</v>
      </c>
      <c r="K30" s="10">
        <f t="shared" si="7"/>
        <v>10</v>
      </c>
      <c r="L30" s="10">
        <f t="shared" si="7"/>
        <v>20</v>
      </c>
      <c r="M30" s="10">
        <f t="shared" si="7"/>
        <v>0</v>
      </c>
      <c r="N30" s="11">
        <f>SUM(B30:M30)</f>
        <v>60</v>
      </c>
    </row>
    <row r="31" ht="15">
      <c r="N31" s="7"/>
    </row>
    <row r="32" spans="1:14" ht="15">
      <c r="A32" s="1" t="s">
        <v>49</v>
      </c>
      <c r="B32" s="10">
        <v>0</v>
      </c>
      <c r="C32" s="10">
        <v>0</v>
      </c>
      <c r="D32" s="10">
        <v>10</v>
      </c>
      <c r="E32" s="10">
        <v>5</v>
      </c>
      <c r="F32" s="10">
        <v>-10</v>
      </c>
      <c r="G32" s="10">
        <v>-10</v>
      </c>
      <c r="H32" s="10">
        <v>-10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6"/>
    </row>
    <row r="33" spans="1:14" ht="15">
      <c r="A33" t="s">
        <v>42</v>
      </c>
      <c r="B33" s="2">
        <f aca="true" t="shared" si="8" ref="B33:M33">IF(B32&lt;0,-B32,0)</f>
        <v>0</v>
      </c>
      <c r="C33" s="2">
        <f t="shared" si="8"/>
        <v>0</v>
      </c>
      <c r="D33" s="2">
        <f t="shared" si="8"/>
        <v>0</v>
      </c>
      <c r="E33" s="2">
        <f t="shared" si="8"/>
        <v>0</v>
      </c>
      <c r="F33" s="2">
        <f t="shared" si="8"/>
        <v>10</v>
      </c>
      <c r="G33" s="2">
        <f t="shared" si="8"/>
        <v>10</v>
      </c>
      <c r="H33" s="2">
        <f t="shared" si="8"/>
        <v>10</v>
      </c>
      <c r="I33" s="2">
        <f t="shared" si="8"/>
        <v>0</v>
      </c>
      <c r="J33" s="2">
        <f t="shared" si="8"/>
        <v>0</v>
      </c>
      <c r="K33" s="2">
        <f t="shared" si="8"/>
        <v>0</v>
      </c>
      <c r="L33" s="2">
        <f t="shared" si="8"/>
        <v>0</v>
      </c>
      <c r="M33" s="2">
        <f t="shared" si="8"/>
        <v>0</v>
      </c>
      <c r="N33" s="13">
        <f>SUM(B33:M33)</f>
        <v>30</v>
      </c>
    </row>
    <row r="34" spans="1:14" ht="15">
      <c r="A34" s="1" t="s">
        <v>43</v>
      </c>
      <c r="B34" s="10">
        <f>IF(B32&gt;0,B32,0)</f>
        <v>0</v>
      </c>
      <c r="C34" s="10">
        <f aca="true" t="shared" si="9" ref="C34:M34">IF(C32&gt;0,C32,0)</f>
        <v>0</v>
      </c>
      <c r="D34" s="10">
        <f t="shared" si="9"/>
        <v>10</v>
      </c>
      <c r="E34" s="10">
        <f t="shared" si="9"/>
        <v>5</v>
      </c>
      <c r="F34" s="10">
        <f t="shared" si="9"/>
        <v>0</v>
      </c>
      <c r="G34" s="10">
        <f t="shared" si="9"/>
        <v>0</v>
      </c>
      <c r="H34" s="10">
        <f t="shared" si="9"/>
        <v>0</v>
      </c>
      <c r="I34" s="10">
        <f t="shared" si="9"/>
        <v>0</v>
      </c>
      <c r="J34" s="10">
        <f t="shared" si="9"/>
        <v>0</v>
      </c>
      <c r="K34" s="10">
        <f t="shared" si="9"/>
        <v>0</v>
      </c>
      <c r="L34" s="10">
        <f t="shared" si="9"/>
        <v>0</v>
      </c>
      <c r="M34" s="10">
        <f t="shared" si="9"/>
        <v>0</v>
      </c>
      <c r="N34" s="11">
        <f>SUM(B34:M34)</f>
        <v>15</v>
      </c>
    </row>
    <row r="35" ht="15">
      <c r="N35" s="7"/>
    </row>
    <row r="36" spans="1:14" ht="15">
      <c r="A36" s="1" t="s">
        <v>50</v>
      </c>
      <c r="B36" s="10">
        <v>20</v>
      </c>
      <c r="C36" s="10">
        <v>20</v>
      </c>
      <c r="D36" s="10">
        <v>20</v>
      </c>
      <c r="E36" s="10">
        <v>20</v>
      </c>
      <c r="F36" s="10">
        <v>20</v>
      </c>
      <c r="G36" s="10">
        <v>20</v>
      </c>
      <c r="H36" s="10">
        <v>-10</v>
      </c>
      <c r="I36" s="10">
        <v>-10</v>
      </c>
      <c r="J36" s="10">
        <v>-10</v>
      </c>
      <c r="K36" s="10">
        <v>-10</v>
      </c>
      <c r="L36" s="10">
        <v>-10</v>
      </c>
      <c r="M36" s="10">
        <v>-10</v>
      </c>
      <c r="N36" s="6"/>
    </row>
    <row r="37" spans="1:14" ht="15">
      <c r="A37" s="5" t="s">
        <v>42</v>
      </c>
      <c r="B37" s="12">
        <f>IF(B36&lt;0,-B36,0)</f>
        <v>0</v>
      </c>
      <c r="C37" s="12">
        <f aca="true" t="shared" si="10" ref="C37:M37">IF(C36&lt;0,-C36,0)</f>
        <v>0</v>
      </c>
      <c r="D37" s="12">
        <f t="shared" si="10"/>
        <v>0</v>
      </c>
      <c r="E37" s="12">
        <f t="shared" si="10"/>
        <v>0</v>
      </c>
      <c r="F37" s="12">
        <f t="shared" si="10"/>
        <v>0</v>
      </c>
      <c r="G37" s="12">
        <f t="shared" si="10"/>
        <v>0</v>
      </c>
      <c r="H37" s="12">
        <f t="shared" si="10"/>
        <v>10</v>
      </c>
      <c r="I37" s="12">
        <f t="shared" si="10"/>
        <v>10</v>
      </c>
      <c r="J37" s="12">
        <f t="shared" si="10"/>
        <v>10</v>
      </c>
      <c r="K37" s="12">
        <f t="shared" si="10"/>
        <v>10</v>
      </c>
      <c r="L37" s="12">
        <f t="shared" si="10"/>
        <v>10</v>
      </c>
      <c r="M37" s="16">
        <f t="shared" si="10"/>
        <v>10</v>
      </c>
      <c r="N37" s="13">
        <f>SUM(B37:M37)</f>
        <v>60</v>
      </c>
    </row>
    <row r="38" spans="1:14" ht="15">
      <c r="A38" s="1" t="s">
        <v>43</v>
      </c>
      <c r="B38" s="10">
        <f>IF(B36&gt;0,B36,0)</f>
        <v>20</v>
      </c>
      <c r="C38" s="10">
        <f aca="true" t="shared" si="11" ref="C38:M38">IF(C36&gt;0,C36,0)</f>
        <v>20</v>
      </c>
      <c r="D38" s="10">
        <f t="shared" si="11"/>
        <v>20</v>
      </c>
      <c r="E38" s="10">
        <f t="shared" si="11"/>
        <v>20</v>
      </c>
      <c r="F38" s="10">
        <f t="shared" si="11"/>
        <v>20</v>
      </c>
      <c r="G38" s="10">
        <f t="shared" si="11"/>
        <v>20</v>
      </c>
      <c r="H38" s="10">
        <f t="shared" si="11"/>
        <v>0</v>
      </c>
      <c r="I38" s="10">
        <f t="shared" si="11"/>
        <v>0</v>
      </c>
      <c r="J38" s="10">
        <f t="shared" si="11"/>
        <v>0</v>
      </c>
      <c r="K38" s="10">
        <f t="shared" si="11"/>
        <v>0</v>
      </c>
      <c r="L38" s="10">
        <f t="shared" si="11"/>
        <v>0</v>
      </c>
      <c r="M38" s="17">
        <f t="shared" si="11"/>
        <v>0</v>
      </c>
      <c r="N38" s="11">
        <f>SUM(B38:M38)</f>
        <v>120</v>
      </c>
    </row>
    <row r="39" ht="15">
      <c r="N39" s="7"/>
    </row>
    <row r="40" spans="1:14" ht="15">
      <c r="A40" s="1" t="s">
        <v>51</v>
      </c>
      <c r="B40" s="10">
        <v>-35</v>
      </c>
      <c r="C40" s="10">
        <v>-35</v>
      </c>
      <c r="D40" s="10">
        <v>-35</v>
      </c>
      <c r="E40" s="10">
        <v>-35</v>
      </c>
      <c r="F40" s="10">
        <v>-35</v>
      </c>
      <c r="G40" s="10">
        <v>-35</v>
      </c>
      <c r="H40" s="10">
        <v>15</v>
      </c>
      <c r="I40" s="10">
        <v>15</v>
      </c>
      <c r="J40" s="10">
        <v>15</v>
      </c>
      <c r="K40" s="10">
        <v>15</v>
      </c>
      <c r="L40" s="10">
        <v>15</v>
      </c>
      <c r="M40" s="10">
        <v>15</v>
      </c>
      <c r="N40" s="6"/>
    </row>
    <row r="41" spans="1:14" ht="15">
      <c r="A41" t="s">
        <v>42</v>
      </c>
      <c r="B41" s="2">
        <f aca="true" t="shared" si="12" ref="B41:M41">IF(B40&lt;0,-B40,0)</f>
        <v>35</v>
      </c>
      <c r="C41" s="2">
        <f t="shared" si="12"/>
        <v>35</v>
      </c>
      <c r="D41" s="2">
        <f t="shared" si="12"/>
        <v>35</v>
      </c>
      <c r="E41" s="2">
        <f t="shared" si="12"/>
        <v>35</v>
      </c>
      <c r="F41" s="2">
        <f t="shared" si="12"/>
        <v>35</v>
      </c>
      <c r="G41" s="2">
        <f t="shared" si="12"/>
        <v>35</v>
      </c>
      <c r="H41" s="2">
        <f t="shared" si="12"/>
        <v>0</v>
      </c>
      <c r="I41" s="2">
        <f t="shared" si="12"/>
        <v>0</v>
      </c>
      <c r="J41" s="2">
        <f t="shared" si="12"/>
        <v>0</v>
      </c>
      <c r="K41" s="2">
        <f t="shared" si="12"/>
        <v>0</v>
      </c>
      <c r="L41" s="2">
        <f t="shared" si="12"/>
        <v>0</v>
      </c>
      <c r="M41" s="2">
        <f t="shared" si="12"/>
        <v>0</v>
      </c>
      <c r="N41" s="13">
        <f>SUM(B41:M41)</f>
        <v>210</v>
      </c>
    </row>
    <row r="42" spans="1:14" ht="15">
      <c r="A42" s="1" t="s">
        <v>43</v>
      </c>
      <c r="B42" s="10">
        <f>IF(B40&gt;0,B40,0)</f>
        <v>0</v>
      </c>
      <c r="C42" s="10">
        <f aca="true" t="shared" si="13" ref="C42:M42">IF(C40&gt;0,C40,0)</f>
        <v>0</v>
      </c>
      <c r="D42" s="10">
        <f t="shared" si="13"/>
        <v>0</v>
      </c>
      <c r="E42" s="10">
        <f t="shared" si="13"/>
        <v>0</v>
      </c>
      <c r="F42" s="10">
        <f t="shared" si="13"/>
        <v>0</v>
      </c>
      <c r="G42" s="10">
        <f t="shared" si="13"/>
        <v>0</v>
      </c>
      <c r="H42" s="10">
        <f>IF(H40&gt;0,H40,0)</f>
        <v>15</v>
      </c>
      <c r="I42" s="10">
        <f t="shared" si="13"/>
        <v>15</v>
      </c>
      <c r="J42" s="10">
        <f t="shared" si="13"/>
        <v>15</v>
      </c>
      <c r="K42" s="10">
        <f t="shared" si="13"/>
        <v>15</v>
      </c>
      <c r="L42" s="10">
        <f t="shared" si="13"/>
        <v>15</v>
      </c>
      <c r="M42" s="17">
        <f t="shared" si="13"/>
        <v>15</v>
      </c>
      <c r="N42" s="11">
        <f>SUM(B42:M42)</f>
        <v>90</v>
      </c>
    </row>
    <row r="43" ht="15">
      <c r="N43" s="7"/>
    </row>
    <row r="44" spans="1:14" ht="15">
      <c r="A44" t="s">
        <v>54</v>
      </c>
      <c r="B44" s="2">
        <f>B40+B36+B32+B28+(B23-B24)+(B18-B19)</f>
        <v>-55</v>
      </c>
      <c r="C44" s="2">
        <f aca="true" t="shared" si="14" ref="C44:M44">C40+C36+C32+C28+(C23-C24)+(C18-C19)</f>
        <v>-50</v>
      </c>
      <c r="D44" s="2">
        <f t="shared" si="14"/>
        <v>-25</v>
      </c>
      <c r="E44" s="2">
        <f t="shared" si="14"/>
        <v>10</v>
      </c>
      <c r="F44" s="2">
        <f t="shared" si="14"/>
        <v>-5</v>
      </c>
      <c r="G44" s="2">
        <f t="shared" si="14"/>
        <v>25</v>
      </c>
      <c r="H44" s="2">
        <f t="shared" si="14"/>
        <v>20</v>
      </c>
      <c r="I44" s="2">
        <f t="shared" si="14"/>
        <v>40</v>
      </c>
      <c r="J44" s="2">
        <f t="shared" si="14"/>
        <v>10</v>
      </c>
      <c r="K44" s="2">
        <f t="shared" si="14"/>
        <v>10</v>
      </c>
      <c r="L44" s="2">
        <f t="shared" si="14"/>
        <v>5</v>
      </c>
      <c r="M44" s="2">
        <f t="shared" si="14"/>
        <v>-5</v>
      </c>
      <c r="N44" s="6"/>
    </row>
    <row r="45" spans="1:14" ht="15">
      <c r="A45" s="5" t="s">
        <v>42</v>
      </c>
      <c r="B45" s="12">
        <f aca="true" t="shared" si="15" ref="B45:M45">IF(B44&lt;0,-B44,0)</f>
        <v>55</v>
      </c>
      <c r="C45" s="12">
        <f t="shared" si="15"/>
        <v>50</v>
      </c>
      <c r="D45" s="12">
        <f t="shared" si="15"/>
        <v>25</v>
      </c>
      <c r="E45" s="12">
        <f t="shared" si="15"/>
        <v>0</v>
      </c>
      <c r="F45" s="12">
        <f t="shared" si="15"/>
        <v>5</v>
      </c>
      <c r="G45" s="12">
        <f t="shared" si="15"/>
        <v>0</v>
      </c>
      <c r="H45" s="12">
        <f t="shared" si="15"/>
        <v>0</v>
      </c>
      <c r="I45" s="12">
        <f t="shared" si="15"/>
        <v>0</v>
      </c>
      <c r="J45" s="12">
        <f t="shared" si="15"/>
        <v>0</v>
      </c>
      <c r="K45" s="12">
        <f t="shared" si="15"/>
        <v>0</v>
      </c>
      <c r="L45" s="12">
        <f t="shared" si="15"/>
        <v>0</v>
      </c>
      <c r="M45" s="12">
        <f t="shared" si="15"/>
        <v>5</v>
      </c>
      <c r="N45" s="13">
        <f>SUM(B45:M45)</f>
        <v>140</v>
      </c>
    </row>
    <row r="46" spans="1:14" ht="15">
      <c r="A46" s="1" t="s">
        <v>43</v>
      </c>
      <c r="B46" s="10">
        <f aca="true" t="shared" si="16" ref="B46:G46">IF(B44&gt;0,B44,0)</f>
        <v>0</v>
      </c>
      <c r="C46" s="10">
        <f t="shared" si="16"/>
        <v>0</v>
      </c>
      <c r="D46" s="10">
        <f t="shared" si="16"/>
        <v>0</v>
      </c>
      <c r="E46" s="10">
        <f t="shared" si="16"/>
        <v>10</v>
      </c>
      <c r="F46" s="10">
        <f t="shared" si="16"/>
        <v>0</v>
      </c>
      <c r="G46" s="10">
        <f t="shared" si="16"/>
        <v>25</v>
      </c>
      <c r="H46" s="10">
        <f aca="true" t="shared" si="17" ref="H46:M46">IF(H44&gt;0,H44,0)</f>
        <v>20</v>
      </c>
      <c r="I46" s="10">
        <f t="shared" si="17"/>
        <v>40</v>
      </c>
      <c r="J46" s="10">
        <f t="shared" si="17"/>
        <v>10</v>
      </c>
      <c r="K46" s="10">
        <f t="shared" si="17"/>
        <v>10</v>
      </c>
      <c r="L46" s="10">
        <f t="shared" si="17"/>
        <v>5</v>
      </c>
      <c r="M46" s="10">
        <f t="shared" si="17"/>
        <v>0</v>
      </c>
      <c r="N46" s="11">
        <f>SUM(B46:M46)</f>
        <v>120</v>
      </c>
    </row>
    <row r="47" spans="1:14" ht="15">
      <c r="A47" s="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5">
      <c r="A48" s="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ht="15"/>
    <row r="50" spans="1:14" ht="21.75" thickBot="1">
      <c r="A50" s="45" t="s">
        <v>35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31"/>
    </row>
    <row r="51" spans="2:14" ht="15">
      <c r="B51" s="42" t="s">
        <v>39</v>
      </c>
      <c r="C51" s="42"/>
      <c r="D51" s="42"/>
      <c r="E51" s="42"/>
      <c r="F51" s="42"/>
      <c r="G51" s="42"/>
      <c r="H51" s="42" t="s">
        <v>40</v>
      </c>
      <c r="I51" s="42"/>
      <c r="J51" s="42"/>
      <c r="K51" s="42"/>
      <c r="L51" s="42"/>
      <c r="M51" s="42"/>
      <c r="N51" s="6"/>
    </row>
    <row r="52" spans="1:14" ht="15">
      <c r="A52" s="1" t="s">
        <v>38</v>
      </c>
      <c r="B52" s="30">
        <v>1</v>
      </c>
      <c r="C52" s="30">
        <v>2</v>
      </c>
      <c r="D52" s="30">
        <v>3</v>
      </c>
      <c r="E52" s="30">
        <v>4</v>
      </c>
      <c r="F52" s="30">
        <v>5</v>
      </c>
      <c r="G52" s="30">
        <v>6</v>
      </c>
      <c r="H52" s="30">
        <v>1</v>
      </c>
      <c r="I52" s="30">
        <v>2</v>
      </c>
      <c r="J52" s="30">
        <v>3</v>
      </c>
      <c r="K52" s="30">
        <v>4</v>
      </c>
      <c r="L52" s="30">
        <v>5</v>
      </c>
      <c r="M52" s="30">
        <v>6</v>
      </c>
      <c r="N52" s="34" t="s">
        <v>41</v>
      </c>
    </row>
    <row r="53" ht="15">
      <c r="N53" s="7"/>
    </row>
    <row r="54" spans="1:14" ht="15">
      <c r="A54" s="1" t="s">
        <v>55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"/>
    </row>
    <row r="55" spans="1:14" ht="15">
      <c r="A55" t="s">
        <v>42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1.74</v>
      </c>
      <c r="H55" s="12">
        <v>8.68</v>
      </c>
      <c r="I55" s="12">
        <v>13.89</v>
      </c>
      <c r="J55" s="12">
        <v>0</v>
      </c>
      <c r="K55" s="12">
        <v>0</v>
      </c>
      <c r="L55" s="12">
        <v>0</v>
      </c>
      <c r="M55" s="12">
        <v>0</v>
      </c>
      <c r="N55" s="13">
        <f>SUM(B55:M55)</f>
        <v>24.310000000000002</v>
      </c>
    </row>
    <row r="56" spans="1:14" ht="15">
      <c r="A56" s="1" t="s">
        <v>43</v>
      </c>
      <c r="B56" s="10">
        <v>0</v>
      </c>
      <c r="C56" s="10">
        <v>0</v>
      </c>
      <c r="D56" s="10">
        <v>0</v>
      </c>
      <c r="E56" s="10">
        <v>0</v>
      </c>
      <c r="F56" s="10">
        <v>13.89</v>
      </c>
      <c r="G56" s="10">
        <v>8.68</v>
      </c>
      <c r="H56" s="10">
        <v>1.74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1">
        <f>SUM(B56:M56)</f>
        <v>24.31</v>
      </c>
    </row>
    <row r="57" ht="15">
      <c r="N57" s="6"/>
    </row>
    <row r="58" spans="1:14" ht="15">
      <c r="A58" s="1" t="s">
        <v>56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6"/>
    </row>
    <row r="59" spans="1:14" ht="15">
      <c r="A59" t="s">
        <v>42</v>
      </c>
      <c r="B59" s="12">
        <v>0</v>
      </c>
      <c r="C59" s="12">
        <v>0</v>
      </c>
      <c r="D59" s="12">
        <v>0</v>
      </c>
      <c r="E59" s="12">
        <v>0</v>
      </c>
      <c r="F59" s="12">
        <v>27.78</v>
      </c>
      <c r="G59" s="12">
        <v>17.36</v>
      </c>
      <c r="H59" s="12">
        <v>3.47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3">
        <f>SUM(B59:M59)</f>
        <v>48.61</v>
      </c>
    </row>
    <row r="60" spans="1:14" ht="15">
      <c r="A60" s="1" t="s">
        <v>43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3.47</v>
      </c>
      <c r="H60" s="10">
        <v>17.36</v>
      </c>
      <c r="I60" s="10">
        <v>27.78</v>
      </c>
      <c r="J60" s="10">
        <v>0</v>
      </c>
      <c r="K60" s="10">
        <v>0</v>
      </c>
      <c r="L60" s="10">
        <v>0</v>
      </c>
      <c r="M60" s="10">
        <v>0</v>
      </c>
      <c r="N60" s="11">
        <f>SUM(B60:M60)</f>
        <v>48.61</v>
      </c>
    </row>
    <row r="61" ht="15">
      <c r="N61" s="7"/>
    </row>
    <row r="62" spans="1:14" ht="15">
      <c r="A62" t="s">
        <v>69</v>
      </c>
      <c r="N62" s="7"/>
    </row>
    <row r="63" spans="1:14" ht="15">
      <c r="A63" s="5" t="s">
        <v>42</v>
      </c>
      <c r="B63" s="12">
        <v>0</v>
      </c>
      <c r="C63" s="12">
        <v>0</v>
      </c>
      <c r="D63" s="12">
        <v>0</v>
      </c>
      <c r="E63" s="12">
        <v>0</v>
      </c>
      <c r="F63" s="12">
        <v>13.89</v>
      </c>
      <c r="G63" s="12">
        <v>8.68</v>
      </c>
      <c r="H63" s="12">
        <v>1.74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3">
        <f>SUM(B63:M63)</f>
        <v>24.31</v>
      </c>
    </row>
    <row r="64" spans="1:14" ht="15">
      <c r="A64" s="1" t="s">
        <v>43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1.74</v>
      </c>
      <c r="H64" s="10">
        <v>8.68</v>
      </c>
      <c r="I64" s="10">
        <v>13.89</v>
      </c>
      <c r="J64" s="10">
        <v>0</v>
      </c>
      <c r="K64" s="10">
        <v>0</v>
      </c>
      <c r="L64" s="10">
        <v>0</v>
      </c>
      <c r="M64" s="10">
        <v>0</v>
      </c>
      <c r="N64" s="11">
        <f>SUM(B64:M64)</f>
        <v>24.310000000000002</v>
      </c>
    </row>
  </sheetData>
  <sheetProtection/>
  <mergeCells count="10">
    <mergeCell ref="A1:N1"/>
    <mergeCell ref="B51:G51"/>
    <mergeCell ref="H51:M51"/>
    <mergeCell ref="A3:M3"/>
    <mergeCell ref="A14:M14"/>
    <mergeCell ref="A50:M50"/>
    <mergeCell ref="B4:G4"/>
    <mergeCell ref="H4:M4"/>
    <mergeCell ref="B15:G15"/>
    <mergeCell ref="H15:M15"/>
  </mergeCells>
  <printOptions/>
  <pageMargins left="0.7" right="0.7" top="0.75" bottom="0.75" header="0.3" footer="0.3"/>
  <pageSetup fitToHeight="1" fitToWidth="1" horizontalDpi="600" verticalDpi="600" orientation="portrait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8"/>
  <sheetViews>
    <sheetView zoomScalePageLayoutView="0" workbookViewId="0" topLeftCell="A1">
      <selection activeCell="H28" sqref="H28"/>
    </sheetView>
  </sheetViews>
  <sheetFormatPr defaultColWidth="9.140625" defaultRowHeight="15"/>
  <cols>
    <col min="2" max="2" width="28.140625" style="0" customWidth="1"/>
  </cols>
  <sheetData>
    <row r="3" spans="2:3" ht="15">
      <c r="B3" t="s">
        <v>19</v>
      </c>
      <c r="C3" s="32">
        <v>5000</v>
      </c>
    </row>
    <row r="4" spans="2:3" ht="15">
      <c r="B4" s="1" t="s">
        <v>20</v>
      </c>
      <c r="C4" s="33">
        <v>-1000</v>
      </c>
    </row>
    <row r="5" spans="2:3" ht="15">
      <c r="B5" t="s">
        <v>1</v>
      </c>
      <c r="C5" s="2">
        <f>C3+C4</f>
        <v>4000</v>
      </c>
    </row>
    <row r="6" ht="15">
      <c r="C6" s="2"/>
    </row>
    <row r="7" spans="2:3" ht="15">
      <c r="B7" t="s">
        <v>21</v>
      </c>
      <c r="C7" s="32">
        <v>4500</v>
      </c>
    </row>
    <row r="8" spans="2:3" ht="15">
      <c r="B8" s="1" t="s">
        <v>22</v>
      </c>
      <c r="C8" s="33">
        <v>0</v>
      </c>
    </row>
    <row r="9" spans="2:3" ht="15">
      <c r="B9" t="s">
        <v>1</v>
      </c>
      <c r="C9" s="2">
        <f>C7+C8</f>
        <v>4500</v>
      </c>
    </row>
    <row r="10" ht="15">
      <c r="C10" s="2"/>
    </row>
    <row r="11" spans="2:3" ht="15">
      <c r="B11" t="s">
        <v>2</v>
      </c>
      <c r="C11" s="2">
        <f>C9-C5</f>
        <v>500</v>
      </c>
    </row>
    <row r="12" s="35" customFormat="1" ht="15"/>
    <row r="13" s="35" customFormat="1" ht="15"/>
    <row r="14" spans="3:14" s="35" customFormat="1" ht="15">
      <c r="C14" s="46" t="s">
        <v>0</v>
      </c>
      <c r="D14" s="46"/>
      <c r="E14" s="46"/>
      <c r="F14" s="46"/>
      <c r="G14" s="46"/>
      <c r="H14" s="46"/>
      <c r="I14" s="46" t="s">
        <v>18</v>
      </c>
      <c r="J14" s="46"/>
      <c r="K14" s="46"/>
      <c r="L14" s="46"/>
      <c r="M14" s="46"/>
      <c r="N14" s="46"/>
    </row>
    <row r="15" spans="3:14" s="35" customFormat="1" ht="15">
      <c r="C15" s="46" t="s">
        <v>11</v>
      </c>
      <c r="D15" s="46"/>
      <c r="E15" s="46"/>
      <c r="F15" s="46" t="s">
        <v>12</v>
      </c>
      <c r="G15" s="46"/>
      <c r="H15" s="46"/>
      <c r="I15" s="46" t="s">
        <v>13</v>
      </c>
      <c r="J15" s="46"/>
      <c r="K15" s="46"/>
      <c r="L15" s="46" t="s">
        <v>70</v>
      </c>
      <c r="M15" s="46"/>
      <c r="N15" s="46"/>
    </row>
    <row r="16" spans="3:14" s="35" customFormat="1" ht="15">
      <c r="C16" s="47">
        <f>+C5/4</f>
        <v>1000</v>
      </c>
      <c r="D16" s="47"/>
      <c r="E16" s="47"/>
      <c r="F16" s="47">
        <f>3*C5/12+C11/2/6</f>
        <v>1041.6666666666667</v>
      </c>
      <c r="G16" s="47"/>
      <c r="H16" s="47"/>
      <c r="I16" s="47">
        <f>+F16-C16+F16</f>
        <v>1083.3333333333335</v>
      </c>
      <c r="J16" s="47"/>
      <c r="K16" s="47"/>
      <c r="L16" s="47">
        <f>+C9/4</f>
        <v>1125</v>
      </c>
      <c r="M16" s="47"/>
      <c r="N16" s="47"/>
    </row>
    <row r="17" spans="3:14" s="35" customFormat="1" ht="15">
      <c r="C17" s="36" t="s">
        <v>15</v>
      </c>
      <c r="D17" s="36" t="s">
        <v>6</v>
      </c>
      <c r="E17" s="36" t="s">
        <v>14</v>
      </c>
      <c r="F17" s="36" t="s">
        <v>3</v>
      </c>
      <c r="G17" s="36" t="s">
        <v>4</v>
      </c>
      <c r="H17" s="36" t="s">
        <v>5</v>
      </c>
      <c r="I17" s="36" t="s">
        <v>7</v>
      </c>
      <c r="J17" s="36" t="s">
        <v>8</v>
      </c>
      <c r="K17" s="36" t="s">
        <v>9</v>
      </c>
      <c r="L17" s="36" t="s">
        <v>10</v>
      </c>
      <c r="M17" s="36" t="s">
        <v>16</v>
      </c>
      <c r="N17" s="36" t="s">
        <v>17</v>
      </c>
    </row>
    <row r="18" spans="2:14" s="35" customFormat="1" ht="15">
      <c r="B18" s="37" t="s">
        <v>29</v>
      </c>
      <c r="C18" s="36">
        <f>C16/3</f>
        <v>333.3333333333333</v>
      </c>
      <c r="D18" s="36">
        <f>C18</f>
        <v>333.3333333333333</v>
      </c>
      <c r="E18" s="36">
        <f>+D18</f>
        <v>333.3333333333333</v>
      </c>
      <c r="F18" s="36">
        <f>F16/3</f>
        <v>347.22222222222223</v>
      </c>
      <c r="G18" s="36">
        <f>F18</f>
        <v>347.22222222222223</v>
      </c>
      <c r="H18" s="36">
        <f>+G18</f>
        <v>347.22222222222223</v>
      </c>
      <c r="I18" s="36">
        <f>I16/3</f>
        <v>361.11111111111114</v>
      </c>
      <c r="J18" s="36">
        <f>I18</f>
        <v>361.11111111111114</v>
      </c>
      <c r="K18" s="36">
        <f>+J18</f>
        <v>361.11111111111114</v>
      </c>
      <c r="L18" s="36">
        <f>L16/3</f>
        <v>375</v>
      </c>
      <c r="M18" s="36">
        <f>L18</f>
        <v>375</v>
      </c>
      <c r="N18" s="36">
        <f>+M18</f>
        <v>375</v>
      </c>
    </row>
    <row r="19" spans="2:14" s="35" customFormat="1" ht="15">
      <c r="B19" s="37" t="s">
        <v>32</v>
      </c>
      <c r="C19" s="36">
        <f>C5/12</f>
        <v>333.3333333333333</v>
      </c>
      <c r="D19" s="36">
        <f>C19</f>
        <v>333.3333333333333</v>
      </c>
      <c r="E19" s="36">
        <f>D19</f>
        <v>333.3333333333333</v>
      </c>
      <c r="F19" s="36">
        <f>E19</f>
        <v>333.3333333333333</v>
      </c>
      <c r="G19" s="36">
        <f>F19+C11/4/2/12</f>
        <v>338.54166666666663</v>
      </c>
      <c r="H19" s="36">
        <f>F19+C11/4/12+C11/4/2/12</f>
        <v>348.9583333333333</v>
      </c>
      <c r="I19" s="36">
        <f>F19+2*C11/4/12+C11/4/2/12</f>
        <v>359.37499999999994</v>
      </c>
      <c r="J19" s="36">
        <f>F19+3*C11/4/12+C11/4/2/12</f>
        <v>369.79166666666663</v>
      </c>
      <c r="K19" s="36">
        <f>L19</f>
        <v>375</v>
      </c>
      <c r="L19" s="36">
        <f>M19</f>
        <v>375</v>
      </c>
      <c r="M19" s="36">
        <f>N19</f>
        <v>375</v>
      </c>
      <c r="N19" s="36">
        <f>+C9/12</f>
        <v>375</v>
      </c>
    </row>
    <row r="20" spans="3:14" s="35" customFormat="1" ht="15">
      <c r="C20" s="46" t="s">
        <v>23</v>
      </c>
      <c r="D20" s="46"/>
      <c r="E20" s="46" t="s">
        <v>24</v>
      </c>
      <c r="F20" s="46"/>
      <c r="G20" s="46" t="s">
        <v>25</v>
      </c>
      <c r="H20" s="46"/>
      <c r="I20" s="46" t="s">
        <v>26</v>
      </c>
      <c r="J20" s="46"/>
      <c r="K20" s="46" t="s">
        <v>27</v>
      </c>
      <c r="L20" s="46"/>
      <c r="M20" s="46" t="s">
        <v>28</v>
      </c>
      <c r="N20" s="46"/>
    </row>
    <row r="21" spans="2:14" s="35" customFormat="1" ht="15">
      <c r="B21" s="37" t="s">
        <v>29</v>
      </c>
      <c r="C21" s="47">
        <f>C18+D18</f>
        <v>666.6666666666666</v>
      </c>
      <c r="D21" s="47"/>
      <c r="E21" s="47">
        <f>E18+F18</f>
        <v>680.5555555555555</v>
      </c>
      <c r="F21" s="47"/>
      <c r="G21" s="47">
        <f>G18+H18</f>
        <v>694.4444444444445</v>
      </c>
      <c r="H21" s="47"/>
      <c r="I21" s="47">
        <f>I18+J18</f>
        <v>722.2222222222223</v>
      </c>
      <c r="J21" s="47"/>
      <c r="K21" s="47">
        <f>K18+L18</f>
        <v>736.1111111111111</v>
      </c>
      <c r="L21" s="47"/>
      <c r="M21" s="47">
        <f>M18+N18</f>
        <v>750</v>
      </c>
      <c r="N21" s="47"/>
    </row>
    <row r="22" spans="2:14" s="35" customFormat="1" ht="15">
      <c r="B22" s="37" t="s">
        <v>32</v>
      </c>
      <c r="C22" s="47">
        <f>C19+D19</f>
        <v>666.6666666666666</v>
      </c>
      <c r="D22" s="47"/>
      <c r="E22" s="47">
        <f>E19+F19</f>
        <v>666.6666666666666</v>
      </c>
      <c r="F22" s="47"/>
      <c r="G22" s="47">
        <f>G19+H19</f>
        <v>687.5</v>
      </c>
      <c r="H22" s="47"/>
      <c r="I22" s="47">
        <f>I19+J19</f>
        <v>729.1666666666665</v>
      </c>
      <c r="J22" s="47"/>
      <c r="K22" s="47">
        <f>K19+L19</f>
        <v>750</v>
      </c>
      <c r="L22" s="47"/>
      <c r="M22" s="47">
        <f>M19+N19</f>
        <v>750</v>
      </c>
      <c r="N22" s="47"/>
    </row>
    <row r="23" s="35" customFormat="1" ht="15"/>
    <row r="24" spans="2:14" s="35" customFormat="1" ht="15">
      <c r="B24" s="37" t="s">
        <v>30</v>
      </c>
      <c r="C24" s="47">
        <f>IF(C22&lt;C21,C21-C22,0)</f>
        <v>0</v>
      </c>
      <c r="D24" s="47"/>
      <c r="E24" s="47">
        <f>IF(E22&lt;E21,E21-E22,0)</f>
        <v>13.888888888888914</v>
      </c>
      <c r="F24" s="47"/>
      <c r="G24" s="47">
        <f>IF(G19&lt;G18,G18-G19,0)+IF(H19&lt;H18,H18-H19,0)</f>
        <v>8.6805555555556</v>
      </c>
      <c r="H24" s="47"/>
      <c r="I24" s="47">
        <f>IF(I19&lt;I18,I18-I19,0)+IF(J19&lt;J18,J18-J19,0)</f>
        <v>1.7361111111111995</v>
      </c>
      <c r="J24" s="47"/>
      <c r="K24" s="47">
        <f>IF(K22&lt;K21,K21-K22,0)</f>
        <v>0</v>
      </c>
      <c r="L24" s="47"/>
      <c r="M24" s="47">
        <f>IF(M22&lt;M21,M21-M22,0)</f>
        <v>0</v>
      </c>
      <c r="N24" s="47"/>
    </row>
    <row r="25" spans="2:14" s="35" customFormat="1" ht="15">
      <c r="B25" s="37" t="s">
        <v>31</v>
      </c>
      <c r="C25" s="47">
        <f>IF(C22&gt;C21,C22-C21,0)</f>
        <v>0</v>
      </c>
      <c r="D25" s="47"/>
      <c r="E25" s="47">
        <f>IF(E22&gt;E21,E22-E21,0)</f>
        <v>0</v>
      </c>
      <c r="F25" s="47"/>
      <c r="G25" s="47">
        <f>IF(G19&gt;G18,G19-G18,0)+IF(H19&gt;H18,H19-H18,0)</f>
        <v>1.7361111111110858</v>
      </c>
      <c r="H25" s="47"/>
      <c r="I25" s="47">
        <f>IF(I19&gt;I18,I19-I18,0)+IF(J19&gt;J18,J19-J18,0)</f>
        <v>8.680555555555486</v>
      </c>
      <c r="J25" s="47"/>
      <c r="K25" s="47">
        <f>IF(K22&gt;K21,K22-K21,0)</f>
        <v>13.888888888888914</v>
      </c>
      <c r="L25" s="47"/>
      <c r="M25" s="47">
        <f>IF(M22&gt;M21,M22-M21,0)</f>
        <v>0</v>
      </c>
      <c r="N25" s="47"/>
    </row>
    <row r="26" spans="7:8" s="35" customFormat="1" ht="15">
      <c r="G26" s="38"/>
      <c r="H26" s="38"/>
    </row>
    <row r="27" spans="7:11" s="35" customFormat="1" ht="15">
      <c r="G27" s="38"/>
      <c r="H27" s="38"/>
      <c r="I27" s="38"/>
      <c r="J27" s="38"/>
      <c r="K27" s="38"/>
    </row>
    <row r="28" s="35" customFormat="1" ht="15">
      <c r="H28" s="38"/>
    </row>
  </sheetData>
  <sheetProtection/>
  <mergeCells count="40">
    <mergeCell ref="E24:F24"/>
    <mergeCell ref="G24:H24"/>
    <mergeCell ref="I24:J24"/>
    <mergeCell ref="K24:L24"/>
    <mergeCell ref="I21:J21"/>
    <mergeCell ref="K21:L21"/>
    <mergeCell ref="M24:N24"/>
    <mergeCell ref="C25:D25"/>
    <mergeCell ref="E25:F25"/>
    <mergeCell ref="G25:H25"/>
    <mergeCell ref="I25:J25"/>
    <mergeCell ref="K25:L25"/>
    <mergeCell ref="M25:N25"/>
    <mergeCell ref="C24:D24"/>
    <mergeCell ref="M21:N21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F16:H16"/>
    <mergeCell ref="I16:K16"/>
    <mergeCell ref="L16:N16"/>
    <mergeCell ref="C20:D20"/>
    <mergeCell ref="E20:F20"/>
    <mergeCell ref="G20:H20"/>
    <mergeCell ref="I20:J20"/>
    <mergeCell ref="K20:L20"/>
    <mergeCell ref="M20:N20"/>
    <mergeCell ref="C16:E16"/>
    <mergeCell ref="I15:K15"/>
    <mergeCell ref="F15:H15"/>
    <mergeCell ref="L15:N15"/>
    <mergeCell ref="C15:E15"/>
    <mergeCell ref="C14:H14"/>
    <mergeCell ref="I14:N14"/>
  </mergeCells>
  <printOptions/>
  <pageMargins left="0.7" right="0.7" top="0.75" bottom="0.75" header="0.3" footer="0.3"/>
  <pageSetup fitToHeight="1" fitToWidth="1" horizontalDpi="600" verticalDpi="600" orientation="landscape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dtretheway</dc:creator>
  <cp:keywords/>
  <dc:description/>
  <cp:lastModifiedBy>ckirsten</cp:lastModifiedBy>
  <cp:lastPrinted>2012-03-26T19:52:30Z</cp:lastPrinted>
  <dcterms:created xsi:type="dcterms:W3CDTF">2012-03-22T22:27:13Z</dcterms:created>
  <dcterms:modified xsi:type="dcterms:W3CDTF">2012-04-10T16:48:08Z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Stakeholder meeting Apr 16, 2012|aaeaa6bd-49d2-422d-ac53-cf760a1fcfe0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7;#Stakeholder processes|71659ab1-dac7-419e-9529-abc47c232b66</vt:lpwstr>
  </property>
  <property fmtid="{D5CDD505-2E9C-101B-9397-08002B2CF9AE}" pid="6" name="ISOKeywordsTaxHTFiel">
    <vt:lpwstr>Flexible Ramping|15ee024f-02e8-41b8-8e49-4723eb2adee8</vt:lpwstr>
  </property>
  <property fmtid="{D5CDD505-2E9C-101B-9397-08002B2CF9AE}" pid="7" name="ISOKeywor">
    <vt:lpwstr>46;#Flexible Ramping|15ee024f-02e8-41b8-8e49-4723eb2adee8</vt:lpwstr>
  </property>
  <property fmtid="{D5CDD505-2E9C-101B-9397-08002B2CF9AE}" pid="8" name="m9e70a6096144fc698577b786817f2">
    <vt:lpwstr>Not Archived|d4ac4999-fa66-470b-a400-7ab6671d1fab</vt:lpwstr>
  </property>
  <property fmtid="{D5CDD505-2E9C-101B-9397-08002B2CF9AE}" pid="9" name="ISOArchi">
    <vt:lpwstr>1;#Not Archived|d4ac4999-fa66-470b-a400-7ab6671d1fab</vt:lpwstr>
  </property>
  <property fmtid="{D5CDD505-2E9C-101B-9397-08002B2CF9AE}" pid="10" name="ISOGro">
    <vt:lpwstr>2631;#Stakeholder meeting Apr 16, 2012|aaeaa6bd-49d2-422d-ac53-cf760a1fcfe0</vt:lpwstr>
  </property>
  <property fmtid="{D5CDD505-2E9C-101B-9397-08002B2CF9AE}" pid="11" name="TaxCatchA">
    <vt:lpwstr>2631;#Stakeholder meeting Apr 16, 2012|aaeaa6bd-49d2-422d-ac53-cf760a1fcfe0;#46;#Flexible Ramping|15ee024f-02e8-41b8-8e49-4723eb2adee8;#1;#Not Archived|d4ac4999-fa66-470b-a400-7ab6671d1fab;#7;#Stakeholder processes|71659ab1-dac7-419e-9529-abc47c232b66</vt:lpwstr>
  </property>
</Properties>
</file>