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8040" activeTab="0"/>
  </bookViews>
  <sheets>
    <sheet name="Comments" sheetId="1" r:id="rId1"/>
    <sheet name="Hourly Block" sheetId="2" r:id="rId2"/>
    <sheet name="15-Minute" sheetId="3" r:id="rId3"/>
    <sheet name="Dynamic Transfer" sheetId="4" r:id="rId4"/>
    <sheet name="Internal Generation" sheetId="5" r:id="rId5"/>
    <sheet name="Load" sheetId="6" r:id="rId6"/>
  </sheets>
  <definedNames/>
  <calcPr fullCalcOnLoad="1"/>
</workbook>
</file>

<file path=xl/comments2.xml><?xml version="1.0" encoding="utf-8"?>
<comments xmlns="http://schemas.openxmlformats.org/spreadsheetml/2006/main">
  <authors>
    <author>dtretheway</author>
  </authors>
  <commentList>
    <comment ref="A15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Question:  Was the different energy schedule tagged known prior to start of market run?</t>
        </r>
      </text>
    </comment>
  </commentList>
</comments>
</file>

<file path=xl/comments3.xml><?xml version="1.0" encoding="utf-8"?>
<comments xmlns="http://schemas.openxmlformats.org/spreadsheetml/2006/main">
  <authors>
    <author>dtretheway</author>
  </authors>
  <commentList>
    <comment ref="A25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Assumes Market 1 is flat from prior hour and Market 4 is flat to next hour.  10 minute ramp for 15 minute market schedule changes.</t>
        </r>
      </text>
    </comment>
    <comment ref="A40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If 15 minute schedule is greater than transmission reservation then include ITC congestion for schedule above the transmission reservation.</t>
        </r>
      </text>
    </comment>
  </commentList>
</comments>
</file>

<file path=xl/comments4.xml><?xml version="1.0" encoding="utf-8"?>
<comments xmlns="http://schemas.openxmlformats.org/spreadsheetml/2006/main">
  <authors>
    <author>dtretheway</author>
  </authors>
  <commentList>
    <comment ref="A38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If 15 minute schedule is greater than transmission reservation then include ITC congestion for schedule above the transmission reservation.</t>
        </r>
      </text>
    </comment>
    <comment ref="A40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If the RTD dispatch is greater than the transmission reservation and greater than the 15-minute market schedule, then include the ITC congestion for the dispatch above the 15-minute schedule.</t>
        </r>
      </text>
    </comment>
    <comment ref="A35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The combination of Day Ahead Energy Settlement and Transmission Reservation Settlement will be combined.
</t>
        </r>
      </text>
    </comment>
  </commentList>
</comments>
</file>

<file path=xl/comments6.xml><?xml version="1.0" encoding="utf-8"?>
<comments xmlns="http://schemas.openxmlformats.org/spreadsheetml/2006/main">
  <authors>
    <author>dtretheway</author>
  </authors>
  <commentList>
    <comment ref="A20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This is used to estimate the neutrality charges.</t>
        </r>
      </text>
    </comment>
    <comment ref="A28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This is used to estimate the RTD neutrality</t>
        </r>
      </text>
    </comment>
  </commentList>
</comments>
</file>

<file path=xl/sharedStrings.xml><?xml version="1.0" encoding="utf-8"?>
<sst xmlns="http://schemas.openxmlformats.org/spreadsheetml/2006/main" count="260" uniqueCount="80">
  <si>
    <t>RTD 1</t>
  </si>
  <si>
    <t>RTD 2</t>
  </si>
  <si>
    <t>RTD 3</t>
  </si>
  <si>
    <t>RTD 4</t>
  </si>
  <si>
    <t>RTD 5</t>
  </si>
  <si>
    <t>RTD 6</t>
  </si>
  <si>
    <t>RTD 7</t>
  </si>
  <si>
    <t>RTD 8</t>
  </si>
  <si>
    <t>RTD 9</t>
  </si>
  <si>
    <t>RTD 10</t>
  </si>
  <si>
    <t>RTD 11</t>
  </si>
  <si>
    <t>RTD 12</t>
  </si>
  <si>
    <t>Market 1</t>
  </si>
  <si>
    <t>Market 2</t>
  </si>
  <si>
    <t>Market 3</t>
  </si>
  <si>
    <t>Market 4</t>
  </si>
  <si>
    <t>Day Ahead</t>
  </si>
  <si>
    <t>MWh</t>
  </si>
  <si>
    <t xml:space="preserve">    SMEC</t>
  </si>
  <si>
    <t xml:space="preserve">    Loss</t>
  </si>
  <si>
    <t xml:space="preserve">    Other Congestion</t>
  </si>
  <si>
    <t>LMP ($/MWh)</t>
  </si>
  <si>
    <t>Hourly Transmission Reservation Process</t>
  </si>
  <si>
    <t>Instructed Energy (MWh)</t>
  </si>
  <si>
    <t>Day Ahead Settlement</t>
  </si>
  <si>
    <t>15-Minute Market Settlement</t>
  </si>
  <si>
    <t>RTD Settlement</t>
  </si>
  <si>
    <t>Total</t>
  </si>
  <si>
    <t>Uninstructed Energy Settlement</t>
  </si>
  <si>
    <t xml:space="preserve">    Congestion</t>
  </si>
  <si>
    <t>HASP Transmission Reservation Settlement</t>
  </si>
  <si>
    <t>DA Transmission Reservation Settlement</t>
  </si>
  <si>
    <t>Day Ahead Energy Settlement</t>
  </si>
  <si>
    <t>15-Minute Market Energy Settlement</t>
  </si>
  <si>
    <t>15-Min Transmission Reservation Settlement</t>
  </si>
  <si>
    <t>RTD Transmission Reservation Settlement</t>
  </si>
  <si>
    <t>Deemed Delivered (MWh)</t>
  </si>
  <si>
    <t>Tagged 15-Minute Energy Schedule (MWh)</t>
  </si>
  <si>
    <t>Uninstructed Energy (MWh)</t>
  </si>
  <si>
    <t>Meter (MWh)</t>
  </si>
  <si>
    <t>Operational Adjustment</t>
  </si>
  <si>
    <t>Operational Adjustment Settlement</t>
  </si>
  <si>
    <t>OA Transmission Reservation Settlement</t>
  </si>
  <si>
    <t>Operational Adjustment (MWh)</t>
  </si>
  <si>
    <t>Yes</t>
  </si>
  <si>
    <t>Tagged Energy Schedule (MWh)</t>
  </si>
  <si>
    <t>Tagged Energy Schedule in 15 Min Market</t>
  </si>
  <si>
    <t>Advisory Energy Schedule (MWh)</t>
  </si>
  <si>
    <t>Day Ahead Energy Schedule (MWh)</t>
  </si>
  <si>
    <t>15-Minute Energy Schedule (MWh)</t>
  </si>
  <si>
    <t>RTD Energy Settlement</t>
  </si>
  <si>
    <t>LSE 1</t>
  </si>
  <si>
    <t>LSE 2</t>
  </si>
  <si>
    <t>LSE 3</t>
  </si>
  <si>
    <t>LMP</t>
  </si>
  <si>
    <t>Day Ahead Schedule</t>
  </si>
  <si>
    <t>Transmission Reservation (MWh)</t>
  </si>
  <si>
    <t>Uninstructed Transmission Reservation Settlement</t>
  </si>
  <si>
    <t>Cells highlighted in Yellow can be changed to create different scenarios.</t>
  </si>
  <si>
    <t>For interties, the 20 minute hourly ramp and the 10 minute intra-hour ramps are not settled.  These ramps are modeled in the RTD optimization.</t>
  </si>
  <si>
    <t>Hourly Meter</t>
  </si>
  <si>
    <t>RTD ISO Load Forecast (MWh)</t>
  </si>
  <si>
    <t>Deviation to 15-Minute Market</t>
  </si>
  <si>
    <t>Hourly DA Schedule</t>
  </si>
  <si>
    <t>Hourly Load Meter</t>
  </si>
  <si>
    <t>Deviation ISO Forecast to DA Schedule</t>
  </si>
  <si>
    <t>%</t>
  </si>
  <si>
    <t>Weigted average price by market volume</t>
  </si>
  <si>
    <t>15 Min ISO Load Forecast (MWh)</t>
  </si>
  <si>
    <t>Market Settlement ($)</t>
  </si>
  <si>
    <t>Real Time Load Settlement ($)</t>
  </si>
  <si>
    <t>UIE</t>
  </si>
  <si>
    <t>Neutrality</t>
  </si>
  <si>
    <t>Weigted average price by hourly market volume</t>
  </si>
  <si>
    <t xml:space="preserve">Total Market Real Time Market   </t>
  </si>
  <si>
    <t>Positive = Import,  Negative = Export</t>
  </si>
  <si>
    <t xml:space="preserve">    ITC Import Congestion</t>
  </si>
  <si>
    <t>ITC Import Congestion</t>
  </si>
  <si>
    <t>This spreadsheet is for illustrative purposes.  The models assume import constraint is binding with exports providing counterflows, export constraint is not binding</t>
  </si>
  <si>
    <t>For illustrative purposes, we have split the marginal cost of congestion in to two components:  the intertie scheduling limit shadow cost (ITC Import Congestion) and other congestion.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</si>
</sst>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00"/>
    <numFmt numFmtId="171" formatCode="_(* #,##0_);_(* \(#,##0\);_(* &quot;-&quot;??_);_(@_)"/>
    <numFmt numFmtId="172" formatCode="_(* #,##0.0_);_(* \(#,##0.0\);_(* &quot;-&quot;??_);_(@_)"/>
    <numFmt numFmtId="173" formatCode="&quot;$&quot;#,##0.00"/>
    <numFmt numFmtId="174" formatCode="[$$-409]#,##0.00_);\([$$-409]#,##0.00\)"/>
    <numFmt numFmtId="175" formatCode="&quot;$&quot;#,##0.0_);\(&quot;$&quot;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0" xfId="44" applyNumberFormat="1" applyFont="1" applyAlignment="1">
      <alignment/>
    </xf>
    <xf numFmtId="0" fontId="0" fillId="0" borderId="11" xfId="0" applyBorder="1" applyAlignment="1">
      <alignment horizontal="center"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44" applyFont="1" applyAlignment="1">
      <alignment/>
    </xf>
    <xf numFmtId="164" fontId="0" fillId="0" borderId="0" xfId="0" applyNumberFormat="1" applyFill="1" applyAlignment="1">
      <alignment horizontal="center"/>
    </xf>
    <xf numFmtId="44" fontId="0" fillId="0" borderId="0" xfId="44" applyFont="1" applyAlignment="1">
      <alignment/>
    </xf>
    <xf numFmtId="171" fontId="0" fillId="33" borderId="0" xfId="42" applyNumberFormat="1" applyFont="1" applyFill="1" applyAlignment="1">
      <alignment/>
    </xf>
    <xf numFmtId="164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0" fillId="33" borderId="15" xfId="42" applyNumberFormat="1" applyFont="1" applyFill="1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10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Alignment="1">
      <alignment horizontal="center"/>
    </xf>
    <xf numFmtId="171" fontId="0" fillId="0" borderId="10" xfId="42" applyNumberFormat="1" applyFont="1" applyBorder="1" applyAlignment="1">
      <alignment horizontal="center"/>
    </xf>
    <xf numFmtId="171" fontId="0" fillId="0" borderId="12" xfId="42" applyNumberFormat="1" applyFont="1" applyBorder="1" applyAlignment="1">
      <alignment/>
    </xf>
    <xf numFmtId="171" fontId="0" fillId="0" borderId="12" xfId="0" applyNumberFormat="1" applyBorder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>
      <alignment/>
    </xf>
    <xf numFmtId="171" fontId="0" fillId="0" borderId="0" xfId="42" applyNumberFormat="1" applyFont="1" applyFill="1" applyAlignment="1">
      <alignment/>
    </xf>
    <xf numFmtId="7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9" fontId="0" fillId="0" borderId="0" xfId="57" applyFont="1" applyBorder="1" applyAlignment="1">
      <alignment horizontal="center"/>
    </xf>
    <xf numFmtId="9" fontId="0" fillId="0" borderId="14" xfId="57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7" fontId="0" fillId="33" borderId="0" xfId="44" applyNumberFormat="1" applyFont="1" applyFill="1" applyAlignment="1">
      <alignment/>
    </xf>
    <xf numFmtId="5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169" fontId="0" fillId="0" borderId="0" xfId="44" applyNumberFormat="1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169" fontId="0" fillId="0" borderId="10" xfId="44" applyNumberFormat="1" applyFont="1" applyFill="1" applyBorder="1" applyAlignment="1">
      <alignment/>
    </xf>
    <xf numFmtId="169" fontId="0" fillId="0" borderId="16" xfId="44" applyNumberFormat="1" applyFont="1" applyFill="1" applyBorder="1" applyAlignment="1">
      <alignment/>
    </xf>
    <xf numFmtId="169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169" fontId="0" fillId="0" borderId="17" xfId="44" applyNumberFormat="1" applyFont="1" applyFill="1" applyBorder="1" applyAlignment="1">
      <alignment/>
    </xf>
    <xf numFmtId="169" fontId="0" fillId="0" borderId="18" xfId="44" applyNumberFormat="1" applyFont="1" applyFill="1" applyBorder="1" applyAlignment="1">
      <alignment/>
    </xf>
    <xf numFmtId="169" fontId="0" fillId="0" borderId="0" xfId="44" applyNumberFormat="1" applyFont="1" applyAlignment="1">
      <alignment/>
    </xf>
    <xf numFmtId="169" fontId="0" fillId="0" borderId="12" xfId="0" applyNumberFormat="1" applyBorder="1" applyAlignment="1">
      <alignment/>
    </xf>
    <xf numFmtId="174" fontId="20" fillId="0" borderId="12" xfId="44" applyNumberFormat="1" applyFont="1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164" fontId="0" fillId="3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5" fontId="0" fillId="0" borderId="0" xfId="0" applyNumberFormat="1" applyAlignment="1">
      <alignment horizontal="center"/>
    </xf>
    <xf numFmtId="3" fontId="0" fillId="33" borderId="0" xfId="0" applyNumberFormat="1" applyFill="1" applyAlignment="1">
      <alignment horizontal="center"/>
    </xf>
    <xf numFmtId="173" fontId="0" fillId="33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5</xdr:col>
      <xdr:colOff>523875</xdr:colOff>
      <xdr:row>15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3571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19</xdr:col>
      <xdr:colOff>533400</xdr:colOff>
      <xdr:row>9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952500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19</xdr:col>
      <xdr:colOff>533400</xdr:colOff>
      <xdr:row>8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762000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19</xdr:col>
      <xdr:colOff>533400</xdr:colOff>
      <xdr:row>8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762000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19</xdr:col>
      <xdr:colOff>533400</xdr:colOff>
      <xdr:row>5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90500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9</xdr:col>
      <xdr:colOff>571500</xdr:colOff>
      <xdr:row>5</xdr:row>
      <xdr:rowOff>133350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0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tabSelected="1" zoomScalePageLayoutView="0" workbookViewId="0" topLeftCell="A1">
      <selection activeCell="A12" sqref="A12"/>
    </sheetView>
  </sheetViews>
  <sheetFormatPr defaultColWidth="9.140625" defaultRowHeight="15"/>
  <sheetData>
    <row r="2" ht="15">
      <c r="A2" t="s">
        <v>78</v>
      </c>
    </row>
    <row r="4" ht="15">
      <c r="A4" t="s">
        <v>58</v>
      </c>
    </row>
    <row r="6" ht="15">
      <c r="A6" t="s">
        <v>79</v>
      </c>
    </row>
    <row r="8" ht="15">
      <c r="A8" t="s">
        <v>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="80" zoomScaleNormal="80" zoomScalePageLayoutView="0" workbookViewId="0" topLeftCell="A1">
      <selection activeCell="O6" sqref="O6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3.00390625" style="0" customWidth="1"/>
  </cols>
  <sheetData>
    <row r="1" spans="1:13" ht="15">
      <c r="A1" s="8"/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5">
      <c r="A2" t="s">
        <v>48</v>
      </c>
      <c r="B2" s="76">
        <v>100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t="s">
        <v>75</v>
      </c>
    </row>
    <row r="3" spans="1:13" ht="15">
      <c r="A3" t="s">
        <v>21</v>
      </c>
      <c r="B3" s="73">
        <f>SUM(B4:B7)</f>
        <v>35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>
      <c r="A4" t="s">
        <v>18</v>
      </c>
      <c r="B4" s="72">
        <v>40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>
      <c r="A5" t="s">
        <v>19</v>
      </c>
      <c r="B5" s="72">
        <v>-1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t="s">
        <v>20</v>
      </c>
      <c r="B6" s="72">
        <v>-1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">
      <c r="A7" t="s">
        <v>76</v>
      </c>
      <c r="B7" s="72">
        <v>-3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9" spans="1:13" ht="15">
      <c r="A9" s="8"/>
      <c r="B9" s="75" t="s">
        <v>22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5">
      <c r="A10" s="29" t="s">
        <v>56</v>
      </c>
      <c r="B10" s="74">
        <v>100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">
      <c r="A11" t="s">
        <v>47</v>
      </c>
      <c r="B11" s="71">
        <f>B10</f>
        <v>100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5">
      <c r="A12" t="s">
        <v>77</v>
      </c>
      <c r="B12" s="74">
        <v>-3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13" s="14" customFormat="1" ht="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">
      <c r="A14" t="s">
        <v>45</v>
      </c>
      <c r="B14" s="74">
        <v>80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">
      <c r="A15" t="s">
        <v>46</v>
      </c>
      <c r="B15" s="74" t="s">
        <v>44</v>
      </c>
      <c r="C15" s="74"/>
      <c r="D15" s="74"/>
      <c r="E15" s="74" t="s">
        <v>44</v>
      </c>
      <c r="F15" s="74"/>
      <c r="G15" s="74"/>
      <c r="H15" s="74" t="s">
        <v>44</v>
      </c>
      <c r="I15" s="74"/>
      <c r="J15" s="74"/>
      <c r="K15" s="74" t="s">
        <v>44</v>
      </c>
      <c r="L15" s="74"/>
      <c r="M15" s="74"/>
    </row>
    <row r="16" spans="2:13" s="14" customFormat="1" ht="1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5">
      <c r="A17" s="8"/>
      <c r="B17" s="75" t="s">
        <v>12</v>
      </c>
      <c r="C17" s="75"/>
      <c r="D17" s="75"/>
      <c r="E17" s="75" t="s">
        <v>13</v>
      </c>
      <c r="F17" s="75"/>
      <c r="G17" s="75"/>
      <c r="H17" s="75" t="s">
        <v>14</v>
      </c>
      <c r="I17" s="75"/>
      <c r="J17" s="75"/>
      <c r="K17" s="75" t="s">
        <v>15</v>
      </c>
      <c r="L17" s="75"/>
      <c r="M17" s="75"/>
    </row>
    <row r="18" spans="1:13" ht="15">
      <c r="A18" t="s">
        <v>17</v>
      </c>
      <c r="B18" s="70">
        <f>IF(B15="Yes",$B$14/4,$B$11/4)</f>
        <v>20</v>
      </c>
      <c r="C18" s="71"/>
      <c r="D18" s="71"/>
      <c r="E18" s="70">
        <f>IF(E15="Yes",$B$14/4,$B$11/4)</f>
        <v>20</v>
      </c>
      <c r="F18" s="71"/>
      <c r="G18" s="71"/>
      <c r="H18" s="70">
        <f>IF(H15="Yes",$B$14/4,$B$11/4)</f>
        <v>20</v>
      </c>
      <c r="I18" s="71"/>
      <c r="J18" s="71"/>
      <c r="K18" s="70">
        <f>IF(K15="Yes",$B$14/4,$B$11/4)</f>
        <v>20</v>
      </c>
      <c r="L18" s="71"/>
      <c r="M18" s="71"/>
    </row>
    <row r="19" spans="1:13" ht="15">
      <c r="A19" t="s">
        <v>21</v>
      </c>
      <c r="B19" s="73">
        <f>SUM(B20:D23)</f>
        <v>35</v>
      </c>
      <c r="C19" s="73"/>
      <c r="D19" s="73"/>
      <c r="E19" s="73">
        <f>SUM(E20:G23)</f>
        <v>35</v>
      </c>
      <c r="F19" s="73"/>
      <c r="G19" s="73"/>
      <c r="H19" s="73">
        <f>SUM(H20:J23)</f>
        <v>35</v>
      </c>
      <c r="I19" s="73"/>
      <c r="J19" s="73"/>
      <c r="K19" s="73">
        <f>SUM(K20:M23)</f>
        <v>35</v>
      </c>
      <c r="L19" s="73"/>
      <c r="M19" s="73"/>
    </row>
    <row r="20" spans="1:13" ht="15">
      <c r="A20" t="s">
        <v>18</v>
      </c>
      <c r="B20" s="72">
        <v>40</v>
      </c>
      <c r="C20" s="72"/>
      <c r="D20" s="72"/>
      <c r="E20" s="72">
        <v>40</v>
      </c>
      <c r="F20" s="72"/>
      <c r="G20" s="72"/>
      <c r="H20" s="72">
        <v>40</v>
      </c>
      <c r="I20" s="72"/>
      <c r="J20" s="72"/>
      <c r="K20" s="72">
        <v>40</v>
      </c>
      <c r="L20" s="72"/>
      <c r="M20" s="72"/>
    </row>
    <row r="21" spans="1:13" ht="15">
      <c r="A21" t="s">
        <v>19</v>
      </c>
      <c r="B21" s="72">
        <v>-1</v>
      </c>
      <c r="C21" s="72"/>
      <c r="D21" s="72"/>
      <c r="E21" s="72">
        <v>-1</v>
      </c>
      <c r="F21" s="72"/>
      <c r="G21" s="72"/>
      <c r="H21" s="72">
        <v>-1</v>
      </c>
      <c r="I21" s="72"/>
      <c r="J21" s="72"/>
      <c r="K21" s="72">
        <v>-1</v>
      </c>
      <c r="L21" s="72"/>
      <c r="M21" s="72"/>
    </row>
    <row r="22" spans="1:13" ht="15">
      <c r="A22" t="s">
        <v>20</v>
      </c>
      <c r="B22" s="72">
        <v>-1</v>
      </c>
      <c r="C22" s="72"/>
      <c r="D22" s="72"/>
      <c r="E22" s="72">
        <v>-1</v>
      </c>
      <c r="F22" s="72"/>
      <c r="G22" s="72"/>
      <c r="H22" s="72">
        <v>-1</v>
      </c>
      <c r="I22" s="72"/>
      <c r="J22" s="72"/>
      <c r="K22" s="72">
        <v>-1</v>
      </c>
      <c r="L22" s="72"/>
      <c r="M22" s="72"/>
    </row>
    <row r="23" spans="1:13" ht="15">
      <c r="A23" t="s">
        <v>76</v>
      </c>
      <c r="B23" s="72">
        <v>-3</v>
      </c>
      <c r="C23" s="72"/>
      <c r="D23" s="72"/>
      <c r="E23" s="72">
        <v>-3</v>
      </c>
      <c r="F23" s="72"/>
      <c r="G23" s="72"/>
      <c r="H23" s="72">
        <v>-3</v>
      </c>
      <c r="I23" s="72"/>
      <c r="J23" s="72"/>
      <c r="K23" s="72">
        <v>-3</v>
      </c>
      <c r="L23" s="72"/>
      <c r="M23" s="72"/>
    </row>
    <row r="25" spans="1:13" ht="15">
      <c r="A25" s="8"/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  <c r="L25" s="16" t="s">
        <v>10</v>
      </c>
      <c r="M25" s="16" t="s">
        <v>11</v>
      </c>
    </row>
    <row r="26" spans="1:13" ht="15">
      <c r="A26" t="s">
        <v>23</v>
      </c>
      <c r="B26" s="19">
        <f>B18/3</f>
        <v>6.666666666666667</v>
      </c>
      <c r="C26" s="19">
        <f>B26</f>
        <v>6.666666666666667</v>
      </c>
      <c r="D26" s="19">
        <f>B26</f>
        <v>6.666666666666667</v>
      </c>
      <c r="E26" s="19">
        <f>E18/3</f>
        <v>6.666666666666667</v>
      </c>
      <c r="F26" s="19">
        <f>E26</f>
        <v>6.666666666666667</v>
      </c>
      <c r="G26" s="19">
        <f>E26</f>
        <v>6.666666666666667</v>
      </c>
      <c r="H26" s="19">
        <f>H18/3</f>
        <v>6.666666666666667</v>
      </c>
      <c r="I26" s="19">
        <f>H26</f>
        <v>6.666666666666667</v>
      </c>
      <c r="J26" s="19">
        <f>H26</f>
        <v>6.666666666666667</v>
      </c>
      <c r="K26" s="19">
        <f>K18/3</f>
        <v>6.666666666666667</v>
      </c>
      <c r="L26" s="19">
        <f>K26</f>
        <v>6.666666666666667</v>
      </c>
      <c r="M26" s="19">
        <f>K26</f>
        <v>6.666666666666667</v>
      </c>
    </row>
    <row r="27" spans="1:13" ht="15">
      <c r="A27" t="s">
        <v>21</v>
      </c>
      <c r="B27" s="17">
        <f>SUM(B28:B31)</f>
        <v>35</v>
      </c>
      <c r="C27" s="17">
        <f aca="true" t="shared" si="0" ref="C27:M27">SUM(C28:C31)</f>
        <v>35</v>
      </c>
      <c r="D27" s="17">
        <f t="shared" si="0"/>
        <v>35</v>
      </c>
      <c r="E27" s="17">
        <f t="shared" si="0"/>
        <v>35</v>
      </c>
      <c r="F27" s="17">
        <f t="shared" si="0"/>
        <v>35</v>
      </c>
      <c r="G27" s="17">
        <f t="shared" si="0"/>
        <v>35</v>
      </c>
      <c r="H27" s="17">
        <f t="shared" si="0"/>
        <v>35</v>
      </c>
      <c r="I27" s="17">
        <f t="shared" si="0"/>
        <v>35</v>
      </c>
      <c r="J27" s="17">
        <f t="shared" si="0"/>
        <v>35</v>
      </c>
      <c r="K27" s="17">
        <f t="shared" si="0"/>
        <v>35</v>
      </c>
      <c r="L27" s="17">
        <f t="shared" si="0"/>
        <v>35</v>
      </c>
      <c r="M27" s="17">
        <f t="shared" si="0"/>
        <v>35</v>
      </c>
    </row>
    <row r="28" spans="1:13" ht="15">
      <c r="A28" t="s">
        <v>18</v>
      </c>
      <c r="B28" s="18">
        <v>40</v>
      </c>
      <c r="C28" s="18">
        <v>40</v>
      </c>
      <c r="D28" s="18">
        <v>40</v>
      </c>
      <c r="E28" s="18">
        <v>40</v>
      </c>
      <c r="F28" s="18">
        <v>40</v>
      </c>
      <c r="G28" s="18">
        <v>40</v>
      </c>
      <c r="H28" s="18">
        <v>40</v>
      </c>
      <c r="I28" s="18">
        <v>40</v>
      </c>
      <c r="J28" s="18">
        <v>40</v>
      </c>
      <c r="K28" s="18">
        <v>40</v>
      </c>
      <c r="L28" s="18">
        <v>40</v>
      </c>
      <c r="M28" s="18">
        <v>40</v>
      </c>
    </row>
    <row r="29" spans="1:13" ht="15">
      <c r="A29" t="s">
        <v>19</v>
      </c>
      <c r="B29" s="18">
        <v>-1</v>
      </c>
      <c r="C29" s="18">
        <v>-1</v>
      </c>
      <c r="D29" s="18">
        <v>-1</v>
      </c>
      <c r="E29" s="18">
        <v>-1</v>
      </c>
      <c r="F29" s="18">
        <v>-1</v>
      </c>
      <c r="G29" s="18">
        <v>-1</v>
      </c>
      <c r="H29" s="18">
        <v>-1</v>
      </c>
      <c r="I29" s="18">
        <v>-1</v>
      </c>
      <c r="J29" s="18">
        <v>-1</v>
      </c>
      <c r="K29" s="18">
        <v>-1</v>
      </c>
      <c r="L29" s="18">
        <v>-1</v>
      </c>
      <c r="M29" s="18">
        <v>-1</v>
      </c>
    </row>
    <row r="30" spans="1:13" ht="15">
      <c r="A30" t="s">
        <v>20</v>
      </c>
      <c r="B30" s="18">
        <v>-1</v>
      </c>
      <c r="C30" s="18">
        <v>-1</v>
      </c>
      <c r="D30" s="18">
        <v>-1</v>
      </c>
      <c r="E30" s="18">
        <v>-1</v>
      </c>
      <c r="F30" s="18">
        <v>-1</v>
      </c>
      <c r="G30" s="18">
        <v>-1</v>
      </c>
      <c r="H30" s="18">
        <v>-1</v>
      </c>
      <c r="I30" s="18">
        <v>-1</v>
      </c>
      <c r="J30" s="18">
        <v>-1</v>
      </c>
      <c r="K30" s="18">
        <v>-1</v>
      </c>
      <c r="L30" s="18">
        <v>-1</v>
      </c>
      <c r="M30" s="18">
        <v>-1</v>
      </c>
    </row>
    <row r="31" spans="1:13" ht="15">
      <c r="A31" t="s">
        <v>76</v>
      </c>
      <c r="B31" s="18">
        <v>-3</v>
      </c>
      <c r="C31" s="18">
        <v>-3</v>
      </c>
      <c r="D31" s="18">
        <v>-3</v>
      </c>
      <c r="E31" s="18">
        <v>-3</v>
      </c>
      <c r="F31" s="18">
        <v>-3</v>
      </c>
      <c r="G31" s="18">
        <v>-3</v>
      </c>
      <c r="H31" s="18">
        <v>-3</v>
      </c>
      <c r="I31" s="18">
        <v>-3</v>
      </c>
      <c r="J31" s="18">
        <v>-3</v>
      </c>
      <c r="K31" s="18">
        <v>-3</v>
      </c>
      <c r="L31" s="18">
        <v>-3</v>
      </c>
      <c r="M31" s="18">
        <v>-3</v>
      </c>
    </row>
    <row r="32" spans="2:13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t="s">
        <v>36</v>
      </c>
      <c r="B33" s="19">
        <f>$B$14/12</f>
        <v>6.666666666666667</v>
      </c>
      <c r="C33" s="19">
        <f aca="true" t="shared" si="1" ref="C33:M33">$B$14/12</f>
        <v>6.666666666666667</v>
      </c>
      <c r="D33" s="19">
        <f t="shared" si="1"/>
        <v>6.666666666666667</v>
      </c>
      <c r="E33" s="19">
        <f t="shared" si="1"/>
        <v>6.666666666666667</v>
      </c>
      <c r="F33" s="19">
        <f t="shared" si="1"/>
        <v>6.666666666666667</v>
      </c>
      <c r="G33" s="19">
        <f t="shared" si="1"/>
        <v>6.666666666666667</v>
      </c>
      <c r="H33" s="19">
        <f t="shared" si="1"/>
        <v>6.666666666666667</v>
      </c>
      <c r="I33" s="19">
        <f t="shared" si="1"/>
        <v>6.666666666666667</v>
      </c>
      <c r="J33" s="19">
        <f t="shared" si="1"/>
        <v>6.666666666666667</v>
      </c>
      <c r="K33" s="19">
        <f t="shared" si="1"/>
        <v>6.666666666666667</v>
      </c>
      <c r="L33" s="19">
        <f t="shared" si="1"/>
        <v>6.666666666666667</v>
      </c>
      <c r="M33" s="19">
        <f t="shared" si="1"/>
        <v>6.666666666666667</v>
      </c>
    </row>
    <row r="34" spans="1:13" ht="15">
      <c r="A34" t="s">
        <v>43</v>
      </c>
      <c r="B34" s="15">
        <f>B33-B26</f>
        <v>0</v>
      </c>
      <c r="C34" s="15">
        <f aca="true" t="shared" si="2" ref="C34:M34">C33-C26</f>
        <v>0</v>
      </c>
      <c r="D34" s="15">
        <f t="shared" si="2"/>
        <v>0</v>
      </c>
      <c r="E34" s="15">
        <f t="shared" si="2"/>
        <v>0</v>
      </c>
      <c r="F34" s="15">
        <f t="shared" si="2"/>
        <v>0</v>
      </c>
      <c r="G34" s="15">
        <f t="shared" si="2"/>
        <v>0</v>
      </c>
      <c r="H34" s="15">
        <f t="shared" si="2"/>
        <v>0</v>
      </c>
      <c r="I34" s="15">
        <f t="shared" si="2"/>
        <v>0</v>
      </c>
      <c r="J34" s="15">
        <f t="shared" si="2"/>
        <v>0</v>
      </c>
      <c r="K34" s="15">
        <f t="shared" si="2"/>
        <v>0</v>
      </c>
      <c r="L34" s="15">
        <f t="shared" si="2"/>
        <v>0</v>
      </c>
      <c r="M34" s="15">
        <f t="shared" si="2"/>
        <v>0</v>
      </c>
    </row>
    <row r="35" spans="2:13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7" spans="1:14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1" t="s">
        <v>27</v>
      </c>
    </row>
    <row r="38" spans="1:14" ht="15">
      <c r="A38" t="s">
        <v>32</v>
      </c>
      <c r="B38" s="21">
        <f>B2/12*(B3-B7)</f>
        <v>316.6666666666667</v>
      </c>
      <c r="C38" s="21">
        <f>B38</f>
        <v>316.6666666666667</v>
      </c>
      <c r="D38" s="21">
        <f aca="true" t="shared" si="3" ref="D38:M40">C38</f>
        <v>316.6666666666667</v>
      </c>
      <c r="E38" s="21">
        <f t="shared" si="3"/>
        <v>316.6666666666667</v>
      </c>
      <c r="F38" s="21">
        <f t="shared" si="3"/>
        <v>316.6666666666667</v>
      </c>
      <c r="G38" s="21">
        <f t="shared" si="3"/>
        <v>316.6666666666667</v>
      </c>
      <c r="H38" s="21">
        <f t="shared" si="3"/>
        <v>316.6666666666667</v>
      </c>
      <c r="I38" s="21">
        <f t="shared" si="3"/>
        <v>316.6666666666667</v>
      </c>
      <c r="J38" s="21">
        <f t="shared" si="3"/>
        <v>316.6666666666667</v>
      </c>
      <c r="K38" s="21">
        <f t="shared" si="3"/>
        <v>316.6666666666667</v>
      </c>
      <c r="L38" s="21">
        <f t="shared" si="3"/>
        <v>316.6666666666667</v>
      </c>
      <c r="M38" s="21">
        <f t="shared" si="3"/>
        <v>316.6666666666667</v>
      </c>
      <c r="N38" s="12">
        <f aca="true" t="shared" si="4" ref="N38:N46">SUM(B38:M38)</f>
        <v>3799.9999999999995</v>
      </c>
    </row>
    <row r="39" spans="1:14" ht="15">
      <c r="A39" t="s">
        <v>31</v>
      </c>
      <c r="B39" s="21">
        <f>B7*B2/12</f>
        <v>-25</v>
      </c>
      <c r="C39" s="21">
        <f>B39</f>
        <v>-25</v>
      </c>
      <c r="D39" s="21">
        <f t="shared" si="3"/>
        <v>-25</v>
      </c>
      <c r="E39" s="21">
        <f t="shared" si="3"/>
        <v>-25</v>
      </c>
      <c r="F39" s="21">
        <f t="shared" si="3"/>
        <v>-25</v>
      </c>
      <c r="G39" s="21">
        <f t="shared" si="3"/>
        <v>-25</v>
      </c>
      <c r="H39" s="21">
        <f t="shared" si="3"/>
        <v>-25</v>
      </c>
      <c r="I39" s="21">
        <f t="shared" si="3"/>
        <v>-25</v>
      </c>
      <c r="J39" s="21">
        <f t="shared" si="3"/>
        <v>-25</v>
      </c>
      <c r="K39" s="21">
        <f t="shared" si="3"/>
        <v>-25</v>
      </c>
      <c r="L39" s="21">
        <f t="shared" si="3"/>
        <v>-25</v>
      </c>
      <c r="M39" s="21">
        <f t="shared" si="3"/>
        <v>-25</v>
      </c>
      <c r="N39" s="12">
        <f t="shared" si="4"/>
        <v>-300</v>
      </c>
    </row>
    <row r="40" spans="1:14" ht="15">
      <c r="A40" t="s">
        <v>30</v>
      </c>
      <c r="B40" s="21">
        <f>IF(B10&gt;B2,(B10-B2)/12*B12,0)</f>
        <v>0</v>
      </c>
      <c r="C40" s="21">
        <f>B40</f>
        <v>0</v>
      </c>
      <c r="D40" s="21">
        <f t="shared" si="3"/>
        <v>0</v>
      </c>
      <c r="E40" s="21">
        <f t="shared" si="3"/>
        <v>0</v>
      </c>
      <c r="F40" s="21">
        <f t="shared" si="3"/>
        <v>0</v>
      </c>
      <c r="G40" s="21">
        <f t="shared" si="3"/>
        <v>0</v>
      </c>
      <c r="H40" s="21">
        <f t="shared" si="3"/>
        <v>0</v>
      </c>
      <c r="I40" s="21">
        <f t="shared" si="3"/>
        <v>0</v>
      </c>
      <c r="J40" s="21">
        <f t="shared" si="3"/>
        <v>0</v>
      </c>
      <c r="K40" s="21">
        <f t="shared" si="3"/>
        <v>0</v>
      </c>
      <c r="L40" s="21">
        <f t="shared" si="3"/>
        <v>0</v>
      </c>
      <c r="M40" s="21">
        <f t="shared" si="3"/>
        <v>0</v>
      </c>
      <c r="N40" s="12">
        <f t="shared" si="4"/>
        <v>0</v>
      </c>
    </row>
    <row r="41" spans="1:14" ht="15">
      <c r="A41" t="s">
        <v>33</v>
      </c>
      <c r="B41" s="21">
        <f>(B18-B2/4)/3*(B19-B23)</f>
        <v>-63.333333333333336</v>
      </c>
      <c r="C41" s="4">
        <f>B41</f>
        <v>-63.333333333333336</v>
      </c>
      <c r="D41" s="4">
        <f>C41</f>
        <v>-63.333333333333336</v>
      </c>
      <c r="E41" s="21">
        <f>(E18-B2/4)/3*(E19-E23)</f>
        <v>-63.333333333333336</v>
      </c>
      <c r="F41" s="4">
        <f>E41</f>
        <v>-63.333333333333336</v>
      </c>
      <c r="G41" s="4">
        <f>F41</f>
        <v>-63.333333333333336</v>
      </c>
      <c r="H41" s="21">
        <f>(H18-B2/4)/3*(H19-H23)</f>
        <v>-63.333333333333336</v>
      </c>
      <c r="I41" s="4">
        <f>H41</f>
        <v>-63.333333333333336</v>
      </c>
      <c r="J41" s="4">
        <f>I41</f>
        <v>-63.333333333333336</v>
      </c>
      <c r="K41" s="21">
        <f>(K18-B2/4)/3*(K19-K23)</f>
        <v>-63.333333333333336</v>
      </c>
      <c r="L41" s="4">
        <f>K41</f>
        <v>-63.333333333333336</v>
      </c>
      <c r="M41" s="4">
        <f>L41</f>
        <v>-63.333333333333336</v>
      </c>
      <c r="N41" s="12">
        <f t="shared" si="4"/>
        <v>-760.0000000000001</v>
      </c>
    </row>
    <row r="42" spans="1:14" ht="15">
      <c r="A42" t="s">
        <v>34</v>
      </c>
      <c r="B42" s="21">
        <f>IF($B$18&gt;$B$10/4,($B$18-$B$10/4)*B31/3,0)</f>
        <v>0</v>
      </c>
      <c r="C42" s="27">
        <f>B42</f>
        <v>0</v>
      </c>
      <c r="D42" s="47">
        <f>C42</f>
        <v>0</v>
      </c>
      <c r="E42" s="27">
        <f>IF($E$18&gt;$B$10/4,($E$18-$B$10/4)*E31/3,0)</f>
        <v>0</v>
      </c>
      <c r="F42" s="47">
        <f>E42</f>
        <v>0</v>
      </c>
      <c r="G42" s="47">
        <f>F42</f>
        <v>0</v>
      </c>
      <c r="H42" s="27">
        <f>IF($H$18&gt;$B$10/4,($H$18-$B$10/4)*H31/3,0)</f>
        <v>0</v>
      </c>
      <c r="I42" s="47">
        <f>H42</f>
        <v>0</v>
      </c>
      <c r="J42" s="47">
        <f>I42</f>
        <v>0</v>
      </c>
      <c r="K42" s="27">
        <f>IF($K$18&gt;$B$10/4,($K$18-$B$10/4)*K31/3,0)</f>
        <v>0</v>
      </c>
      <c r="L42" s="47">
        <f>K42</f>
        <v>0</v>
      </c>
      <c r="M42" s="47">
        <f>L42</f>
        <v>0</v>
      </c>
      <c r="N42" s="12">
        <f t="shared" si="4"/>
        <v>0</v>
      </c>
    </row>
    <row r="43" spans="1:14" ht="15">
      <c r="A43" t="s">
        <v>50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2"/>
    </row>
    <row r="44" spans="1:14" ht="15">
      <c r="A44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2"/>
    </row>
    <row r="45" spans="1:14" ht="15">
      <c r="A45" t="s">
        <v>41</v>
      </c>
      <c r="B45" s="21">
        <f>B34*(B27-B31)</f>
        <v>0</v>
      </c>
      <c r="C45" s="21">
        <f aca="true" t="shared" si="5" ref="C45:M45">C34*(C27-C31)</f>
        <v>0</v>
      </c>
      <c r="D45" s="21">
        <f t="shared" si="5"/>
        <v>0</v>
      </c>
      <c r="E45" s="21">
        <f t="shared" si="5"/>
        <v>0</v>
      </c>
      <c r="F45" s="21">
        <f t="shared" si="5"/>
        <v>0</v>
      </c>
      <c r="G45" s="21">
        <f t="shared" si="5"/>
        <v>0</v>
      </c>
      <c r="H45" s="21">
        <f t="shared" si="5"/>
        <v>0</v>
      </c>
      <c r="I45" s="21">
        <f t="shared" si="5"/>
        <v>0</v>
      </c>
      <c r="J45" s="21">
        <f t="shared" si="5"/>
        <v>0</v>
      </c>
      <c r="K45" s="21">
        <f t="shared" si="5"/>
        <v>0</v>
      </c>
      <c r="L45" s="21">
        <f t="shared" si="5"/>
        <v>0</v>
      </c>
      <c r="M45" s="21">
        <f t="shared" si="5"/>
        <v>0</v>
      </c>
      <c r="N45" s="12">
        <f t="shared" si="4"/>
        <v>0</v>
      </c>
    </row>
    <row r="46" spans="1:14" ht="15">
      <c r="A46" t="s">
        <v>42</v>
      </c>
      <c r="B46" s="21">
        <f>IF(B34&gt;0,B31*B34,0)</f>
        <v>0</v>
      </c>
      <c r="C46" s="21">
        <f aca="true" t="shared" si="6" ref="C46:M46">IF(C34&gt;0,C31*C34,0)</f>
        <v>0</v>
      </c>
      <c r="D46" s="21">
        <f t="shared" si="6"/>
        <v>0</v>
      </c>
      <c r="E46" s="21">
        <f t="shared" si="6"/>
        <v>0</v>
      </c>
      <c r="F46" s="21">
        <f t="shared" si="6"/>
        <v>0</v>
      </c>
      <c r="G46" s="21">
        <f t="shared" si="6"/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1">
        <f t="shared" si="6"/>
        <v>0</v>
      </c>
      <c r="L46" s="21">
        <f t="shared" si="6"/>
        <v>0</v>
      </c>
      <c r="M46" s="21">
        <f t="shared" si="6"/>
        <v>0</v>
      </c>
      <c r="N46" s="12">
        <f t="shared" si="4"/>
        <v>0</v>
      </c>
    </row>
    <row r="47" ht="15.75" thickBot="1">
      <c r="N47" s="13">
        <f>SUM(N38:N46)</f>
        <v>2739.9999999999995</v>
      </c>
    </row>
    <row r="48" ht="15.75" thickTop="1"/>
  </sheetData>
  <sheetProtection/>
  <mergeCells count="44">
    <mergeCell ref="B10:M10"/>
    <mergeCell ref="K15:M15"/>
    <mergeCell ref="B7:M7"/>
    <mergeCell ref="B9:M9"/>
    <mergeCell ref="B1:M1"/>
    <mergeCell ref="B2:M2"/>
    <mergeCell ref="B3:M3"/>
    <mergeCell ref="B4:M4"/>
    <mergeCell ref="B5:M5"/>
    <mergeCell ref="B6:M6"/>
    <mergeCell ref="B11:M11"/>
    <mergeCell ref="B12:M12"/>
    <mergeCell ref="B14:M14"/>
    <mergeCell ref="B17:D17"/>
    <mergeCell ref="E17:G17"/>
    <mergeCell ref="H17:J17"/>
    <mergeCell ref="K17:M17"/>
    <mergeCell ref="B15:D15"/>
    <mergeCell ref="E15:G15"/>
    <mergeCell ref="H15:J15"/>
    <mergeCell ref="K20:M20"/>
    <mergeCell ref="B21:D21"/>
    <mergeCell ref="E21:G21"/>
    <mergeCell ref="K18:M18"/>
    <mergeCell ref="B19:D19"/>
    <mergeCell ref="E19:G19"/>
    <mergeCell ref="H19:J19"/>
    <mergeCell ref="K19:M19"/>
    <mergeCell ref="B18:D18"/>
    <mergeCell ref="E18:G18"/>
    <mergeCell ref="K22:M22"/>
    <mergeCell ref="H21:J21"/>
    <mergeCell ref="K21:M21"/>
    <mergeCell ref="B23:D23"/>
    <mergeCell ref="E23:G23"/>
    <mergeCell ref="H23:J23"/>
    <mergeCell ref="K23:M23"/>
    <mergeCell ref="H18:J18"/>
    <mergeCell ref="B22:D22"/>
    <mergeCell ref="E22:G22"/>
    <mergeCell ref="H22:J22"/>
    <mergeCell ref="B20:D20"/>
    <mergeCell ref="E20:G20"/>
    <mergeCell ref="H20:J2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80" zoomScaleNormal="80" zoomScalePageLayoutView="0" workbookViewId="0" topLeftCell="A1">
      <selection activeCell="O5" sqref="O5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3.421875" style="0" customWidth="1"/>
  </cols>
  <sheetData>
    <row r="1" spans="1:13" ht="15">
      <c r="A1" s="8"/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5">
      <c r="A2" t="s">
        <v>48</v>
      </c>
      <c r="B2" s="76">
        <v>100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t="s">
        <v>75</v>
      </c>
    </row>
    <row r="3" spans="1:13" ht="15">
      <c r="A3" t="s">
        <v>21</v>
      </c>
      <c r="B3" s="73">
        <f>SUM(B4:B7)</f>
        <v>35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>
      <c r="A4" t="s">
        <v>18</v>
      </c>
      <c r="B4" s="72">
        <v>40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>
      <c r="A5" t="s">
        <v>19</v>
      </c>
      <c r="B5" s="72">
        <v>-1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t="s">
        <v>20</v>
      </c>
      <c r="B6" s="72">
        <v>-1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">
      <c r="A7" t="s">
        <v>76</v>
      </c>
      <c r="B7" s="72">
        <v>-3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9" spans="1:13" ht="15">
      <c r="A9" s="8"/>
      <c r="B9" s="75" t="s">
        <v>22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5">
      <c r="A10" s="29" t="s">
        <v>56</v>
      </c>
      <c r="B10" s="74">
        <v>110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">
      <c r="A11" t="s">
        <v>47</v>
      </c>
      <c r="B11" s="71">
        <f>B10</f>
        <v>110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5">
      <c r="A12" t="s">
        <v>77</v>
      </c>
      <c r="B12" s="74">
        <v>-3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4" spans="1:13" ht="15">
      <c r="A14" s="8"/>
      <c r="B14" s="75" t="s">
        <v>12</v>
      </c>
      <c r="C14" s="75"/>
      <c r="D14" s="75"/>
      <c r="E14" s="75" t="s">
        <v>13</v>
      </c>
      <c r="F14" s="75"/>
      <c r="G14" s="75"/>
      <c r="H14" s="75" t="s">
        <v>14</v>
      </c>
      <c r="I14" s="75"/>
      <c r="J14" s="75"/>
      <c r="K14" s="75" t="s">
        <v>15</v>
      </c>
      <c r="L14" s="75"/>
      <c r="M14" s="75"/>
    </row>
    <row r="15" spans="1:13" ht="15">
      <c r="A15" t="s">
        <v>49</v>
      </c>
      <c r="B15" s="74">
        <v>27.5</v>
      </c>
      <c r="C15" s="74"/>
      <c r="D15" s="74"/>
      <c r="E15" s="74">
        <v>27.5</v>
      </c>
      <c r="F15" s="74"/>
      <c r="G15" s="74"/>
      <c r="H15" s="74">
        <v>27.5</v>
      </c>
      <c r="I15" s="74"/>
      <c r="J15" s="74"/>
      <c r="K15" s="74">
        <v>27.5</v>
      </c>
      <c r="L15" s="74"/>
      <c r="M15" s="74"/>
    </row>
    <row r="16" spans="1:13" ht="15">
      <c r="A16" t="s">
        <v>21</v>
      </c>
      <c r="B16" s="73">
        <f>SUM(B17:D20)</f>
        <v>35</v>
      </c>
      <c r="C16" s="73"/>
      <c r="D16" s="73"/>
      <c r="E16" s="73">
        <f>SUM(E17:G20)</f>
        <v>35</v>
      </c>
      <c r="F16" s="73"/>
      <c r="G16" s="73"/>
      <c r="H16" s="73">
        <f>SUM(H17:J20)</f>
        <v>35</v>
      </c>
      <c r="I16" s="73"/>
      <c r="J16" s="73"/>
      <c r="K16" s="73">
        <f>SUM(K17:M20)</f>
        <v>35</v>
      </c>
      <c r="L16" s="73"/>
      <c r="M16" s="73"/>
    </row>
    <row r="17" spans="1:13" ht="15">
      <c r="A17" t="s">
        <v>18</v>
      </c>
      <c r="B17" s="72">
        <v>40</v>
      </c>
      <c r="C17" s="72"/>
      <c r="D17" s="72"/>
      <c r="E17" s="72">
        <v>40</v>
      </c>
      <c r="F17" s="72"/>
      <c r="G17" s="72"/>
      <c r="H17" s="72">
        <v>40</v>
      </c>
      <c r="I17" s="72"/>
      <c r="J17" s="72"/>
      <c r="K17" s="72">
        <v>40</v>
      </c>
      <c r="L17" s="72"/>
      <c r="M17" s="72"/>
    </row>
    <row r="18" spans="1:13" ht="15">
      <c r="A18" t="s">
        <v>19</v>
      </c>
      <c r="B18" s="72">
        <v>-1</v>
      </c>
      <c r="C18" s="72"/>
      <c r="D18" s="72"/>
      <c r="E18" s="72">
        <v>-1</v>
      </c>
      <c r="F18" s="72"/>
      <c r="G18" s="72"/>
      <c r="H18" s="72">
        <v>-1</v>
      </c>
      <c r="I18" s="72"/>
      <c r="J18" s="72"/>
      <c r="K18" s="72">
        <v>-1</v>
      </c>
      <c r="L18" s="72"/>
      <c r="M18" s="72"/>
    </row>
    <row r="19" spans="1:13" ht="15">
      <c r="A19" t="s">
        <v>20</v>
      </c>
      <c r="B19" s="72">
        <v>-1</v>
      </c>
      <c r="C19" s="72"/>
      <c r="D19" s="72"/>
      <c r="E19" s="72">
        <v>-1</v>
      </c>
      <c r="F19" s="72"/>
      <c r="G19" s="72"/>
      <c r="H19" s="72">
        <v>-1</v>
      </c>
      <c r="I19" s="72"/>
      <c r="J19" s="72"/>
      <c r="K19" s="72">
        <v>-1</v>
      </c>
      <c r="L19" s="72"/>
      <c r="M19" s="72"/>
    </row>
    <row r="20" spans="1:13" ht="15">
      <c r="A20" t="s">
        <v>76</v>
      </c>
      <c r="B20" s="72">
        <v>-3</v>
      </c>
      <c r="C20" s="72"/>
      <c r="D20" s="72"/>
      <c r="E20" s="72">
        <v>-3</v>
      </c>
      <c r="F20" s="72"/>
      <c r="G20" s="72"/>
      <c r="H20" s="72">
        <v>-3</v>
      </c>
      <c r="I20" s="72"/>
      <c r="J20" s="72"/>
      <c r="K20" s="72">
        <v>-3</v>
      </c>
      <c r="L20" s="72"/>
      <c r="M20" s="72"/>
    </row>
    <row r="22" spans="1:13" ht="15">
      <c r="A22" t="s">
        <v>37</v>
      </c>
      <c r="B22" s="74">
        <v>27.5</v>
      </c>
      <c r="C22" s="74"/>
      <c r="D22" s="74"/>
      <c r="E22" s="74">
        <v>27.5</v>
      </c>
      <c r="F22" s="74"/>
      <c r="G22" s="74"/>
      <c r="H22" s="74">
        <v>27.5</v>
      </c>
      <c r="I22" s="74"/>
      <c r="J22" s="74"/>
      <c r="K22" s="74">
        <v>27.5</v>
      </c>
      <c r="L22" s="74"/>
      <c r="M22" s="74"/>
    </row>
    <row r="24" spans="1:13" ht="15">
      <c r="A24" s="8"/>
      <c r="B24" s="9" t="s">
        <v>0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10</v>
      </c>
      <c r="M24" s="9" t="s">
        <v>11</v>
      </c>
    </row>
    <row r="25" spans="1:13" ht="15">
      <c r="A25" t="s">
        <v>23</v>
      </c>
      <c r="B25" s="7">
        <f>B15/3</f>
        <v>9.166666666666666</v>
      </c>
      <c r="C25" s="7">
        <f>B25</f>
        <v>9.166666666666666</v>
      </c>
      <c r="D25" s="22">
        <f>C25</f>
        <v>9.166666666666666</v>
      </c>
      <c r="E25" s="22">
        <f>E15/3</f>
        <v>9.166666666666666</v>
      </c>
      <c r="F25" s="22">
        <f>E25</f>
        <v>9.166666666666666</v>
      </c>
      <c r="G25" s="22">
        <f>F25</f>
        <v>9.166666666666666</v>
      </c>
      <c r="H25" s="22">
        <f>H15/3</f>
        <v>9.166666666666666</v>
      </c>
      <c r="I25" s="22">
        <f>H25</f>
        <v>9.166666666666666</v>
      </c>
      <c r="J25" s="22">
        <f>I25</f>
        <v>9.166666666666666</v>
      </c>
      <c r="K25" s="22">
        <f>K15/3</f>
        <v>9.166666666666666</v>
      </c>
      <c r="L25" s="22">
        <f>K25</f>
        <v>9.166666666666666</v>
      </c>
      <c r="M25" s="22">
        <f>L25</f>
        <v>9.166666666666666</v>
      </c>
    </row>
    <row r="26" spans="1:13" ht="15">
      <c r="A26" t="s">
        <v>21</v>
      </c>
      <c r="B26" s="2">
        <f>SUM(B27:B30)</f>
        <v>35</v>
      </c>
      <c r="C26" s="2">
        <f aca="true" t="shared" si="0" ref="C26:M26">SUM(C27:C30)</f>
        <v>35</v>
      </c>
      <c r="D26" s="2">
        <f t="shared" si="0"/>
        <v>35</v>
      </c>
      <c r="E26" s="2">
        <f t="shared" si="0"/>
        <v>35</v>
      </c>
      <c r="F26" s="2">
        <f t="shared" si="0"/>
        <v>35</v>
      </c>
      <c r="G26" s="2">
        <f t="shared" si="0"/>
        <v>35</v>
      </c>
      <c r="H26" s="2">
        <f t="shared" si="0"/>
        <v>35</v>
      </c>
      <c r="I26" s="2">
        <f t="shared" si="0"/>
        <v>35</v>
      </c>
      <c r="J26" s="2">
        <f t="shared" si="0"/>
        <v>35</v>
      </c>
      <c r="K26" s="2">
        <f t="shared" si="0"/>
        <v>35</v>
      </c>
      <c r="L26" s="2">
        <f t="shared" si="0"/>
        <v>35</v>
      </c>
      <c r="M26" s="2">
        <f t="shared" si="0"/>
        <v>35</v>
      </c>
    </row>
    <row r="27" spans="1:13" ht="15">
      <c r="A27" t="s">
        <v>18</v>
      </c>
      <c r="B27" s="5">
        <v>40</v>
      </c>
      <c r="C27" s="5">
        <v>40</v>
      </c>
      <c r="D27" s="5">
        <v>40</v>
      </c>
      <c r="E27" s="5">
        <v>40</v>
      </c>
      <c r="F27" s="5">
        <v>40</v>
      </c>
      <c r="G27" s="5">
        <v>40</v>
      </c>
      <c r="H27" s="5">
        <v>40</v>
      </c>
      <c r="I27" s="5">
        <v>40</v>
      </c>
      <c r="J27" s="5">
        <v>40</v>
      </c>
      <c r="K27" s="5">
        <v>40</v>
      </c>
      <c r="L27" s="5">
        <v>40</v>
      </c>
      <c r="M27" s="5">
        <v>40</v>
      </c>
    </row>
    <row r="28" spans="1:13" ht="15">
      <c r="A28" t="s">
        <v>19</v>
      </c>
      <c r="B28" s="5">
        <v>-1</v>
      </c>
      <c r="C28" s="5">
        <v>-1</v>
      </c>
      <c r="D28" s="5">
        <v>-1</v>
      </c>
      <c r="E28" s="5">
        <v>-1</v>
      </c>
      <c r="F28" s="5">
        <v>-1</v>
      </c>
      <c r="G28" s="5">
        <v>-1</v>
      </c>
      <c r="H28" s="5">
        <v>-1</v>
      </c>
      <c r="I28" s="5">
        <v>-1</v>
      </c>
      <c r="J28" s="5">
        <v>-1</v>
      </c>
      <c r="K28" s="5">
        <v>-1</v>
      </c>
      <c r="L28" s="5">
        <v>-1</v>
      </c>
      <c r="M28" s="5">
        <v>-1</v>
      </c>
    </row>
    <row r="29" spans="1:13" ht="15">
      <c r="A29" t="s">
        <v>20</v>
      </c>
      <c r="B29" s="5">
        <v>-1</v>
      </c>
      <c r="C29" s="5">
        <v>-1</v>
      </c>
      <c r="D29" s="5">
        <v>-1</v>
      </c>
      <c r="E29" s="5">
        <v>-1</v>
      </c>
      <c r="F29" s="5">
        <v>-1</v>
      </c>
      <c r="G29" s="5">
        <v>-1</v>
      </c>
      <c r="H29" s="5">
        <v>-1</v>
      </c>
      <c r="I29" s="5">
        <v>-1</v>
      </c>
      <c r="J29" s="5">
        <v>-1</v>
      </c>
      <c r="K29" s="5">
        <v>-1</v>
      </c>
      <c r="L29" s="5">
        <v>-1</v>
      </c>
      <c r="M29" s="5">
        <v>-1</v>
      </c>
    </row>
    <row r="30" spans="1:13" ht="15">
      <c r="A30" t="s">
        <v>76</v>
      </c>
      <c r="B30" s="5">
        <v>-3</v>
      </c>
      <c r="C30" s="26">
        <v>-3</v>
      </c>
      <c r="D30" s="26">
        <v>-3</v>
      </c>
      <c r="E30" s="26">
        <v>-3</v>
      </c>
      <c r="F30" s="26">
        <v>-3</v>
      </c>
      <c r="G30" s="26">
        <v>-3</v>
      </c>
      <c r="H30" s="26">
        <v>-3</v>
      </c>
      <c r="I30" s="26">
        <v>-3</v>
      </c>
      <c r="J30" s="26">
        <v>-3</v>
      </c>
      <c r="K30" s="26">
        <v>-3</v>
      </c>
      <c r="L30" s="26">
        <v>-3</v>
      </c>
      <c r="M30" s="26">
        <v>-3</v>
      </c>
    </row>
    <row r="31" spans="2:13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t="s">
        <v>36</v>
      </c>
      <c r="B32" s="7">
        <f>B22/3</f>
        <v>9.166666666666666</v>
      </c>
      <c r="C32" s="7">
        <f>B32</f>
        <v>9.166666666666666</v>
      </c>
      <c r="D32" s="22">
        <f>C32</f>
        <v>9.166666666666666</v>
      </c>
      <c r="E32" s="22">
        <f>E22/3</f>
        <v>9.166666666666666</v>
      </c>
      <c r="F32" s="22">
        <f>E32</f>
        <v>9.166666666666666</v>
      </c>
      <c r="G32" s="22">
        <f>F32</f>
        <v>9.166666666666666</v>
      </c>
      <c r="H32" s="22">
        <f>H22/3</f>
        <v>9.166666666666666</v>
      </c>
      <c r="I32" s="22">
        <f>H32</f>
        <v>9.166666666666666</v>
      </c>
      <c r="J32" s="22">
        <f>I32</f>
        <v>9.166666666666666</v>
      </c>
      <c r="K32" s="22">
        <f>K22/3</f>
        <v>9.166666666666666</v>
      </c>
      <c r="L32" s="22">
        <f>K32</f>
        <v>9.166666666666666</v>
      </c>
      <c r="M32" s="22">
        <f>L32</f>
        <v>9.166666666666666</v>
      </c>
    </row>
    <row r="33" spans="1:13" ht="15">
      <c r="A33" t="s">
        <v>40</v>
      </c>
      <c r="B33" s="15">
        <f>IF(B22&lt;&gt;B15,(B22-B15)/3,0)</f>
        <v>0</v>
      </c>
      <c r="C33" s="15">
        <f>B33</f>
        <v>0</v>
      </c>
      <c r="D33" s="15">
        <f>+C33</f>
        <v>0</v>
      </c>
      <c r="E33" s="15">
        <f>IF(E22&lt;&gt;E15,(E22-E15)/3,0)</f>
        <v>0</v>
      </c>
      <c r="F33" s="15">
        <f>E33</f>
        <v>0</v>
      </c>
      <c r="G33" s="15">
        <f>+F33</f>
        <v>0</v>
      </c>
      <c r="H33" s="15">
        <f>IF(H22&lt;&gt;H15,(H22-H15)/3,0)</f>
        <v>0</v>
      </c>
      <c r="I33" s="15">
        <f>H33</f>
        <v>0</v>
      </c>
      <c r="J33" s="15">
        <f>+I33</f>
        <v>0</v>
      </c>
      <c r="K33" s="15">
        <f>IF(K22&lt;&gt;K15,(K22-K15)/3,0)</f>
        <v>0</v>
      </c>
      <c r="L33" s="15">
        <f>K33</f>
        <v>0</v>
      </c>
      <c r="M33" s="15">
        <f>+L33</f>
        <v>0</v>
      </c>
    </row>
    <row r="35" spans="1:14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1" t="s">
        <v>27</v>
      </c>
    </row>
    <row r="36" spans="1:14" ht="15">
      <c r="A36" t="s">
        <v>32</v>
      </c>
      <c r="B36" s="3">
        <f>B2/12*(B3-B7)</f>
        <v>316.6666666666667</v>
      </c>
      <c r="C36" s="3">
        <f>B36</f>
        <v>316.6666666666667</v>
      </c>
      <c r="D36" s="3">
        <f aca="true" t="shared" si="1" ref="D36:M38">C36</f>
        <v>316.6666666666667</v>
      </c>
      <c r="E36" s="3">
        <f t="shared" si="1"/>
        <v>316.6666666666667</v>
      </c>
      <c r="F36" s="3">
        <f t="shared" si="1"/>
        <v>316.6666666666667</v>
      </c>
      <c r="G36" s="3">
        <f t="shared" si="1"/>
        <v>316.6666666666667</v>
      </c>
      <c r="H36" s="3">
        <f t="shared" si="1"/>
        <v>316.6666666666667</v>
      </c>
      <c r="I36" s="3">
        <f t="shared" si="1"/>
        <v>316.6666666666667</v>
      </c>
      <c r="J36" s="3">
        <f t="shared" si="1"/>
        <v>316.6666666666667</v>
      </c>
      <c r="K36" s="3">
        <f t="shared" si="1"/>
        <v>316.6666666666667</v>
      </c>
      <c r="L36" s="3">
        <f t="shared" si="1"/>
        <v>316.6666666666667</v>
      </c>
      <c r="M36" s="3">
        <f t="shared" si="1"/>
        <v>316.6666666666667</v>
      </c>
      <c r="N36" s="12">
        <f aca="true" t="shared" si="2" ref="N36:N44">SUM(B36:M36)</f>
        <v>3799.9999999999995</v>
      </c>
    </row>
    <row r="37" spans="1:14" ht="15">
      <c r="A37" t="s">
        <v>31</v>
      </c>
      <c r="B37" s="3">
        <f>B2/12*B7</f>
        <v>-25</v>
      </c>
      <c r="C37" s="3">
        <f>B37</f>
        <v>-25</v>
      </c>
      <c r="D37" s="3">
        <f t="shared" si="1"/>
        <v>-25</v>
      </c>
      <c r="E37" s="3">
        <f t="shared" si="1"/>
        <v>-25</v>
      </c>
      <c r="F37" s="3">
        <f t="shared" si="1"/>
        <v>-25</v>
      </c>
      <c r="G37" s="3">
        <f t="shared" si="1"/>
        <v>-25</v>
      </c>
      <c r="H37" s="3">
        <f t="shared" si="1"/>
        <v>-25</v>
      </c>
      <c r="I37" s="3">
        <f t="shared" si="1"/>
        <v>-25</v>
      </c>
      <c r="J37" s="3">
        <f t="shared" si="1"/>
        <v>-25</v>
      </c>
      <c r="K37" s="3">
        <f t="shared" si="1"/>
        <v>-25</v>
      </c>
      <c r="L37" s="3">
        <f t="shared" si="1"/>
        <v>-25</v>
      </c>
      <c r="M37" s="3">
        <f t="shared" si="1"/>
        <v>-25</v>
      </c>
      <c r="N37" s="12">
        <f t="shared" si="2"/>
        <v>-300</v>
      </c>
    </row>
    <row r="38" spans="1:14" ht="15">
      <c r="A38" t="s">
        <v>30</v>
      </c>
      <c r="B38" s="3">
        <f>IF(B10&gt;B2,(B10-B2)/12*B12,0)</f>
        <v>-2.5</v>
      </c>
      <c r="C38" s="3">
        <f>B38</f>
        <v>-2.5</v>
      </c>
      <c r="D38" s="3">
        <f t="shared" si="1"/>
        <v>-2.5</v>
      </c>
      <c r="E38" s="3">
        <f t="shared" si="1"/>
        <v>-2.5</v>
      </c>
      <c r="F38" s="3">
        <f t="shared" si="1"/>
        <v>-2.5</v>
      </c>
      <c r="G38" s="3">
        <f t="shared" si="1"/>
        <v>-2.5</v>
      </c>
      <c r="H38" s="3">
        <f t="shared" si="1"/>
        <v>-2.5</v>
      </c>
      <c r="I38" s="3">
        <f t="shared" si="1"/>
        <v>-2.5</v>
      </c>
      <c r="J38" s="3">
        <f t="shared" si="1"/>
        <v>-2.5</v>
      </c>
      <c r="K38" s="3">
        <f t="shared" si="1"/>
        <v>-2.5</v>
      </c>
      <c r="L38" s="3">
        <f t="shared" si="1"/>
        <v>-2.5</v>
      </c>
      <c r="M38" s="3">
        <f t="shared" si="1"/>
        <v>-2.5</v>
      </c>
      <c r="N38" s="12">
        <f t="shared" si="2"/>
        <v>-30</v>
      </c>
    </row>
    <row r="39" spans="1:14" ht="15">
      <c r="A39" t="s">
        <v>33</v>
      </c>
      <c r="B39" s="3">
        <f>(B15-$B$2/4)/3*(B16-B20)</f>
        <v>31.666666666666668</v>
      </c>
      <c r="C39" s="4">
        <f>B39</f>
        <v>31.666666666666668</v>
      </c>
      <c r="D39" s="4">
        <f>C39</f>
        <v>31.666666666666668</v>
      </c>
      <c r="E39" s="3">
        <f>(E15-$B$2/4)/3*(E16-E20)</f>
        <v>31.666666666666668</v>
      </c>
      <c r="F39" s="4">
        <f>E39</f>
        <v>31.666666666666668</v>
      </c>
      <c r="G39" s="4">
        <f>F39</f>
        <v>31.666666666666668</v>
      </c>
      <c r="H39" s="3">
        <f>(H15-$B$2/4)/3*(H16-H20)</f>
        <v>31.666666666666668</v>
      </c>
      <c r="I39" s="4">
        <f>H39</f>
        <v>31.666666666666668</v>
      </c>
      <c r="J39" s="4">
        <f>I39</f>
        <v>31.666666666666668</v>
      </c>
      <c r="K39" s="3">
        <f>(K15-$B$2/4)/3*(K16-K20)</f>
        <v>31.666666666666668</v>
      </c>
      <c r="L39" s="4">
        <f>K39</f>
        <v>31.666666666666668</v>
      </c>
      <c r="M39" s="4">
        <f>L39</f>
        <v>31.666666666666668</v>
      </c>
      <c r="N39" s="12">
        <f t="shared" si="2"/>
        <v>380.00000000000006</v>
      </c>
    </row>
    <row r="40" spans="1:14" ht="15">
      <c r="A40" t="s">
        <v>34</v>
      </c>
      <c r="B40" s="3">
        <f>IF(B15&gt;$B$10/4,(B15-$B$10/4)*B20,0)</f>
        <v>0</v>
      </c>
      <c r="C40" s="27">
        <f>B40</f>
        <v>0</v>
      </c>
      <c r="D40" s="27">
        <f>C40</f>
        <v>0</v>
      </c>
      <c r="E40" s="27">
        <f>IF(E15&gt;$B$10/4,(E15-$B$10/4)*E20,0)</f>
        <v>0</v>
      </c>
      <c r="F40" s="27">
        <f>E40</f>
        <v>0</v>
      </c>
      <c r="G40" s="27">
        <f>F40</f>
        <v>0</v>
      </c>
      <c r="H40" s="27">
        <f>IF(H15&gt;$B$10/4,(H15-$B$10/4)*H20,0)</f>
        <v>0</v>
      </c>
      <c r="I40" s="27">
        <f>H40</f>
        <v>0</v>
      </c>
      <c r="J40" s="27">
        <f>I40</f>
        <v>0</v>
      </c>
      <c r="K40" s="27">
        <f>IF(K15&gt;$B$10/4,(K15-$B$10/4)*K20,0)</f>
        <v>0</v>
      </c>
      <c r="L40" s="27">
        <f>K40</f>
        <v>0</v>
      </c>
      <c r="M40" s="27">
        <f>L40</f>
        <v>0</v>
      </c>
      <c r="N40" s="12">
        <f t="shared" si="2"/>
        <v>0</v>
      </c>
    </row>
    <row r="41" spans="1:14" ht="15">
      <c r="A41" t="s">
        <v>50</v>
      </c>
      <c r="B41" s="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2"/>
    </row>
    <row r="42" spans="1:14" ht="15">
      <c r="A42" t="s">
        <v>35</v>
      </c>
      <c r="N42" s="12"/>
    </row>
    <row r="43" spans="1:14" ht="15">
      <c r="A43" t="s">
        <v>41</v>
      </c>
      <c r="B43" s="3">
        <f aca="true" t="shared" si="3" ref="B43:M43">B33*(B26-B30)/12</f>
        <v>0</v>
      </c>
      <c r="C43" s="21">
        <f t="shared" si="3"/>
        <v>0</v>
      </c>
      <c r="D43" s="21">
        <f t="shared" si="3"/>
        <v>0</v>
      </c>
      <c r="E43" s="21">
        <f t="shared" si="3"/>
        <v>0</v>
      </c>
      <c r="F43" s="21">
        <f t="shared" si="3"/>
        <v>0</v>
      </c>
      <c r="G43" s="21">
        <f t="shared" si="3"/>
        <v>0</v>
      </c>
      <c r="H43" s="21">
        <f t="shared" si="3"/>
        <v>0</v>
      </c>
      <c r="I43" s="21">
        <f t="shared" si="3"/>
        <v>0</v>
      </c>
      <c r="J43" s="21">
        <f t="shared" si="3"/>
        <v>0</v>
      </c>
      <c r="K43" s="21">
        <f t="shared" si="3"/>
        <v>0</v>
      </c>
      <c r="L43" s="21">
        <f t="shared" si="3"/>
        <v>0</v>
      </c>
      <c r="M43" s="21">
        <f t="shared" si="3"/>
        <v>0</v>
      </c>
      <c r="N43" s="12">
        <f t="shared" si="2"/>
        <v>0</v>
      </c>
    </row>
    <row r="44" spans="1:14" ht="15">
      <c r="A44" t="s">
        <v>42</v>
      </c>
      <c r="B44" s="3">
        <f>IF(B33&gt;0,B30/12*B33,0)</f>
        <v>0</v>
      </c>
      <c r="C44" s="21">
        <f aca="true" t="shared" si="4" ref="C44:M44">IF(C33&gt;0,C30/12*C33,0)</f>
        <v>0</v>
      </c>
      <c r="D44" s="21">
        <f t="shared" si="4"/>
        <v>0</v>
      </c>
      <c r="E44" s="21">
        <f t="shared" si="4"/>
        <v>0</v>
      </c>
      <c r="F44" s="21">
        <f t="shared" si="4"/>
        <v>0</v>
      </c>
      <c r="G44" s="21">
        <f t="shared" si="4"/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12">
        <f t="shared" si="2"/>
        <v>0</v>
      </c>
    </row>
    <row r="45" ht="15.75" thickBot="1">
      <c r="N45" s="13">
        <f>SUM(N36:N43)</f>
        <v>3849.9999999999995</v>
      </c>
    </row>
    <row r="46" ht="15.75" thickTop="1"/>
  </sheetData>
  <sheetProtection/>
  <mergeCells count="43">
    <mergeCell ref="B1:M1"/>
    <mergeCell ref="B2:M2"/>
    <mergeCell ref="B3:M3"/>
    <mergeCell ref="B4:M4"/>
    <mergeCell ref="B5:M5"/>
    <mergeCell ref="B6:M6"/>
    <mergeCell ref="B7:M7"/>
    <mergeCell ref="B9:M9"/>
    <mergeCell ref="B11:M11"/>
    <mergeCell ref="B12:M12"/>
    <mergeCell ref="B14:D14"/>
    <mergeCell ref="E14:G14"/>
    <mergeCell ref="H14:J14"/>
    <mergeCell ref="K14:M14"/>
    <mergeCell ref="B10:M10"/>
    <mergeCell ref="B15:D15"/>
    <mergeCell ref="E15:G15"/>
    <mergeCell ref="H15:J15"/>
    <mergeCell ref="K15:M15"/>
    <mergeCell ref="B16:D16"/>
    <mergeCell ref="E16:G16"/>
    <mergeCell ref="H16:J16"/>
    <mergeCell ref="K16:M16"/>
    <mergeCell ref="H20:J20"/>
    <mergeCell ref="K20:M20"/>
    <mergeCell ref="B17:D17"/>
    <mergeCell ref="E17:G17"/>
    <mergeCell ref="H17:J17"/>
    <mergeCell ref="K17:M17"/>
    <mergeCell ref="B18:D18"/>
    <mergeCell ref="E18:G18"/>
    <mergeCell ref="H18:J18"/>
    <mergeCell ref="K18:M18"/>
    <mergeCell ref="B22:D22"/>
    <mergeCell ref="E22:G22"/>
    <mergeCell ref="H22:J22"/>
    <mergeCell ref="K22:M22"/>
    <mergeCell ref="B19:D19"/>
    <mergeCell ref="E19:G19"/>
    <mergeCell ref="H19:J19"/>
    <mergeCell ref="K19:M19"/>
    <mergeCell ref="B20:D20"/>
    <mergeCell ref="E20:G2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zoomScalePageLayoutView="0" workbookViewId="0" topLeftCell="A1">
      <selection activeCell="O5" sqref="O5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2.421875" style="0" customWidth="1"/>
  </cols>
  <sheetData>
    <row r="1" spans="1:13" ht="15">
      <c r="A1" s="8"/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5">
      <c r="A2" t="s">
        <v>48</v>
      </c>
      <c r="B2" s="76">
        <v>100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t="s">
        <v>75</v>
      </c>
    </row>
    <row r="3" spans="1:13" ht="15">
      <c r="A3" t="s">
        <v>21</v>
      </c>
      <c r="B3" s="73">
        <f>SUM(B4:B7)</f>
        <v>35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>
      <c r="A4" t="s">
        <v>18</v>
      </c>
      <c r="B4" s="72">
        <v>40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>
      <c r="A5" t="s">
        <v>19</v>
      </c>
      <c r="B5" s="72">
        <v>-1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t="s">
        <v>20</v>
      </c>
      <c r="B6" s="72">
        <v>-1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">
      <c r="A7" t="s">
        <v>76</v>
      </c>
      <c r="B7" s="72">
        <v>-3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9" spans="1:13" ht="15">
      <c r="A9" s="8"/>
      <c r="B9" s="75" t="s">
        <v>22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5">
      <c r="A10" s="29" t="s">
        <v>56</v>
      </c>
      <c r="B10" s="74">
        <v>110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">
      <c r="A11" t="s">
        <v>47</v>
      </c>
      <c r="B11" s="71">
        <f>B10</f>
        <v>110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5">
      <c r="A12" t="s">
        <v>77</v>
      </c>
      <c r="B12" s="74">
        <v>-3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4" spans="1:13" ht="15">
      <c r="A14" s="8"/>
      <c r="B14" s="75" t="s">
        <v>12</v>
      </c>
      <c r="C14" s="75"/>
      <c r="D14" s="75"/>
      <c r="E14" s="75" t="s">
        <v>13</v>
      </c>
      <c r="F14" s="75"/>
      <c r="G14" s="75"/>
      <c r="H14" s="75" t="s">
        <v>14</v>
      </c>
      <c r="I14" s="75"/>
      <c r="J14" s="75"/>
      <c r="K14" s="75" t="s">
        <v>15</v>
      </c>
      <c r="L14" s="75"/>
      <c r="M14" s="75"/>
    </row>
    <row r="15" spans="1:13" ht="15">
      <c r="A15" t="s">
        <v>49</v>
      </c>
      <c r="B15" s="74">
        <v>25</v>
      </c>
      <c r="C15" s="74"/>
      <c r="D15" s="74"/>
      <c r="E15" s="74">
        <v>27.5</v>
      </c>
      <c r="F15" s="74"/>
      <c r="G15" s="74"/>
      <c r="H15" s="74">
        <v>27.5</v>
      </c>
      <c r="I15" s="74"/>
      <c r="J15" s="74"/>
      <c r="K15" s="74">
        <v>27.5</v>
      </c>
      <c r="L15" s="74"/>
      <c r="M15" s="74"/>
    </row>
    <row r="16" spans="1:13" ht="15">
      <c r="A16" t="s">
        <v>21</v>
      </c>
      <c r="B16" s="73">
        <f>SUM(B17:D20)</f>
        <v>36</v>
      </c>
      <c r="C16" s="73"/>
      <c r="D16" s="73"/>
      <c r="E16" s="73">
        <f>SUM(E17:G20)</f>
        <v>35</v>
      </c>
      <c r="F16" s="73"/>
      <c r="G16" s="73"/>
      <c r="H16" s="73">
        <f>SUM(H17:J20)</f>
        <v>35</v>
      </c>
      <c r="I16" s="73"/>
      <c r="J16" s="73"/>
      <c r="K16" s="73">
        <f>SUM(K17:M20)</f>
        <v>35</v>
      </c>
      <c r="L16" s="73"/>
      <c r="M16" s="73"/>
    </row>
    <row r="17" spans="1:13" ht="15">
      <c r="A17" t="s">
        <v>18</v>
      </c>
      <c r="B17" s="72">
        <v>40</v>
      </c>
      <c r="C17" s="72"/>
      <c r="D17" s="72"/>
      <c r="E17" s="72">
        <v>40</v>
      </c>
      <c r="F17" s="72"/>
      <c r="G17" s="72"/>
      <c r="H17" s="72">
        <v>40</v>
      </c>
      <c r="I17" s="72"/>
      <c r="J17" s="72"/>
      <c r="K17" s="72">
        <v>40</v>
      </c>
      <c r="L17" s="72"/>
      <c r="M17" s="72"/>
    </row>
    <row r="18" spans="1:13" ht="15">
      <c r="A18" t="s">
        <v>19</v>
      </c>
      <c r="B18" s="72">
        <v>-1</v>
      </c>
      <c r="C18" s="72"/>
      <c r="D18" s="72"/>
      <c r="E18" s="72">
        <v>-1</v>
      </c>
      <c r="F18" s="72"/>
      <c r="G18" s="72"/>
      <c r="H18" s="72">
        <v>-1</v>
      </c>
      <c r="I18" s="72"/>
      <c r="J18" s="72"/>
      <c r="K18" s="72">
        <v>-1</v>
      </c>
      <c r="L18" s="72"/>
      <c r="M18" s="72"/>
    </row>
    <row r="19" spans="1:13" ht="15">
      <c r="A19" t="s">
        <v>20</v>
      </c>
      <c r="B19" s="72">
        <v>-1</v>
      </c>
      <c r="C19" s="72"/>
      <c r="D19" s="72"/>
      <c r="E19" s="72">
        <v>-1</v>
      </c>
      <c r="F19" s="72"/>
      <c r="G19" s="72"/>
      <c r="H19" s="72">
        <v>-1</v>
      </c>
      <c r="I19" s="72"/>
      <c r="J19" s="72"/>
      <c r="K19" s="72">
        <v>-1</v>
      </c>
      <c r="L19" s="72"/>
      <c r="M19" s="72"/>
    </row>
    <row r="20" spans="1:13" ht="15">
      <c r="A20" t="s">
        <v>76</v>
      </c>
      <c r="B20" s="72">
        <v>-2</v>
      </c>
      <c r="C20" s="72"/>
      <c r="D20" s="72"/>
      <c r="E20" s="72">
        <v>-3</v>
      </c>
      <c r="F20" s="72"/>
      <c r="G20" s="72"/>
      <c r="H20" s="72">
        <v>-3</v>
      </c>
      <c r="I20" s="72"/>
      <c r="J20" s="72"/>
      <c r="K20" s="72">
        <v>-3</v>
      </c>
      <c r="L20" s="72"/>
      <c r="M20" s="72"/>
    </row>
    <row r="22" spans="1:13" ht="15">
      <c r="A22" s="8"/>
      <c r="B22" s="9" t="s">
        <v>0</v>
      </c>
      <c r="C22" s="9" t="s">
        <v>1</v>
      </c>
      <c r="D22" s="9" t="s">
        <v>2</v>
      </c>
      <c r="E22" s="9" t="s">
        <v>3</v>
      </c>
      <c r="F22" s="9" t="s">
        <v>4</v>
      </c>
      <c r="G22" s="9" t="s">
        <v>5</v>
      </c>
      <c r="H22" s="9" t="s">
        <v>6</v>
      </c>
      <c r="I22" s="9" t="s">
        <v>7</v>
      </c>
      <c r="J22" s="9" t="s">
        <v>8</v>
      </c>
      <c r="K22" s="9" t="s">
        <v>9</v>
      </c>
      <c r="L22" s="9" t="s">
        <v>10</v>
      </c>
      <c r="M22" s="9" t="s">
        <v>11</v>
      </c>
    </row>
    <row r="23" spans="1:13" ht="15">
      <c r="A23" t="s">
        <v>23</v>
      </c>
      <c r="B23" s="25">
        <v>9.583333333333334</v>
      </c>
      <c r="C23" s="6">
        <v>9.583333333333334</v>
      </c>
      <c r="D23" s="6">
        <v>9.583333333333334</v>
      </c>
      <c r="E23" s="6">
        <f aca="true" t="shared" si="0" ref="E23:M23">27.5/3</f>
        <v>9.166666666666666</v>
      </c>
      <c r="F23" s="6">
        <f t="shared" si="0"/>
        <v>9.166666666666666</v>
      </c>
      <c r="G23" s="6">
        <f t="shared" si="0"/>
        <v>9.166666666666666</v>
      </c>
      <c r="H23" s="6">
        <f t="shared" si="0"/>
        <v>9.166666666666666</v>
      </c>
      <c r="I23" s="6">
        <f t="shared" si="0"/>
        <v>9.166666666666666</v>
      </c>
      <c r="J23" s="6">
        <f t="shared" si="0"/>
        <v>9.166666666666666</v>
      </c>
      <c r="K23" s="6">
        <f t="shared" si="0"/>
        <v>9.166666666666666</v>
      </c>
      <c r="L23" s="6">
        <f t="shared" si="0"/>
        <v>9.166666666666666</v>
      </c>
      <c r="M23" s="6">
        <f t="shared" si="0"/>
        <v>9.166666666666666</v>
      </c>
    </row>
    <row r="24" spans="1:13" ht="15">
      <c r="A24" t="s">
        <v>21</v>
      </c>
      <c r="B24" s="2">
        <f>SUM(B25:B28)</f>
        <v>38</v>
      </c>
      <c r="C24" s="2">
        <f aca="true" t="shared" si="1" ref="C24:M24">SUM(C25:C28)</f>
        <v>38</v>
      </c>
      <c r="D24" s="2">
        <f t="shared" si="1"/>
        <v>38</v>
      </c>
      <c r="E24" s="2">
        <f t="shared" si="1"/>
        <v>38</v>
      </c>
      <c r="F24" s="2">
        <f t="shared" si="1"/>
        <v>38</v>
      </c>
      <c r="G24" s="2">
        <f t="shared" si="1"/>
        <v>38</v>
      </c>
      <c r="H24" s="2">
        <f t="shared" si="1"/>
        <v>38</v>
      </c>
      <c r="I24" s="2">
        <f t="shared" si="1"/>
        <v>38</v>
      </c>
      <c r="J24" s="2">
        <f t="shared" si="1"/>
        <v>38</v>
      </c>
      <c r="K24" s="2">
        <f t="shared" si="1"/>
        <v>38</v>
      </c>
      <c r="L24" s="2">
        <f t="shared" si="1"/>
        <v>38</v>
      </c>
      <c r="M24" s="2">
        <f t="shared" si="1"/>
        <v>38</v>
      </c>
    </row>
    <row r="25" spans="1:13" ht="15">
      <c r="A25" t="s">
        <v>18</v>
      </c>
      <c r="B25" s="5">
        <v>42</v>
      </c>
      <c r="C25" s="5">
        <v>42</v>
      </c>
      <c r="D25" s="5">
        <v>42</v>
      </c>
      <c r="E25" s="5">
        <v>40</v>
      </c>
      <c r="F25" s="5">
        <v>40</v>
      </c>
      <c r="G25" s="5">
        <v>40</v>
      </c>
      <c r="H25" s="5">
        <v>40</v>
      </c>
      <c r="I25" s="5">
        <v>40</v>
      </c>
      <c r="J25" s="5">
        <v>40</v>
      </c>
      <c r="K25" s="5">
        <v>40</v>
      </c>
      <c r="L25" s="5">
        <v>40</v>
      </c>
      <c r="M25" s="5">
        <v>40</v>
      </c>
    </row>
    <row r="26" spans="1:13" ht="15">
      <c r="A26" t="s">
        <v>19</v>
      </c>
      <c r="B26" s="5">
        <v>-1</v>
      </c>
      <c r="C26" s="5">
        <v>-1</v>
      </c>
      <c r="D26" s="5">
        <v>-1</v>
      </c>
      <c r="E26" s="5">
        <v>-1</v>
      </c>
      <c r="F26" s="5">
        <v>-1</v>
      </c>
      <c r="G26" s="5">
        <v>-1</v>
      </c>
      <c r="H26" s="5">
        <v>-1</v>
      </c>
      <c r="I26" s="5">
        <v>-1</v>
      </c>
      <c r="J26" s="5">
        <v>-1</v>
      </c>
      <c r="K26" s="5">
        <v>-1</v>
      </c>
      <c r="L26" s="5">
        <v>-1</v>
      </c>
      <c r="M26" s="5">
        <v>-1</v>
      </c>
    </row>
    <row r="27" spans="1:13" ht="15">
      <c r="A27" t="s">
        <v>20</v>
      </c>
      <c r="B27" s="5">
        <v>-1</v>
      </c>
      <c r="C27" s="5">
        <v>-1</v>
      </c>
      <c r="D27" s="5">
        <v>-1</v>
      </c>
      <c r="E27" s="5">
        <v>-1</v>
      </c>
      <c r="F27" s="5">
        <v>-1</v>
      </c>
      <c r="G27" s="5">
        <v>-1</v>
      </c>
      <c r="H27" s="5">
        <v>-1</v>
      </c>
      <c r="I27" s="5">
        <v>-1</v>
      </c>
      <c r="J27" s="5">
        <v>-1</v>
      </c>
      <c r="K27" s="5">
        <v>-1</v>
      </c>
      <c r="L27" s="5">
        <v>-1</v>
      </c>
      <c r="M27" s="5">
        <v>-1</v>
      </c>
    </row>
    <row r="28" spans="1:13" ht="15">
      <c r="A28" t="s">
        <v>76</v>
      </c>
      <c r="B28" s="5">
        <v>-2</v>
      </c>
      <c r="C28" s="5">
        <v>-2</v>
      </c>
      <c r="D28" s="5">
        <v>-2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2:13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t="s">
        <v>39</v>
      </c>
      <c r="B30" s="25">
        <v>9.583333333333334</v>
      </c>
      <c r="C30" s="6">
        <v>9.583333333333334</v>
      </c>
      <c r="D30" s="6">
        <v>9.583333333333334</v>
      </c>
      <c r="E30" s="6">
        <f aca="true" t="shared" si="2" ref="E30:M30">27.5/3</f>
        <v>9.166666666666666</v>
      </c>
      <c r="F30" s="6">
        <f t="shared" si="2"/>
        <v>9.166666666666666</v>
      </c>
      <c r="G30" s="6">
        <f t="shared" si="2"/>
        <v>9.166666666666666</v>
      </c>
      <c r="H30" s="6">
        <f t="shared" si="2"/>
        <v>9.166666666666666</v>
      </c>
      <c r="I30" s="6">
        <f t="shared" si="2"/>
        <v>9.166666666666666</v>
      </c>
      <c r="J30" s="6">
        <f t="shared" si="2"/>
        <v>9.166666666666666</v>
      </c>
      <c r="K30" s="6">
        <f t="shared" si="2"/>
        <v>9.166666666666666</v>
      </c>
      <c r="L30" s="6">
        <f t="shared" si="2"/>
        <v>9.166666666666666</v>
      </c>
      <c r="M30" s="6">
        <f t="shared" si="2"/>
        <v>9.166666666666666</v>
      </c>
    </row>
    <row r="31" spans="1:13" ht="15">
      <c r="A31" t="s">
        <v>38</v>
      </c>
      <c r="B31" s="15">
        <f>B30-B23</f>
        <v>0</v>
      </c>
      <c r="C31" s="15">
        <f aca="true" t="shared" si="3" ref="C31:M31">C30-C23</f>
        <v>0</v>
      </c>
      <c r="D31" s="15">
        <f t="shared" si="3"/>
        <v>0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0</v>
      </c>
      <c r="K31" s="15">
        <f t="shared" si="3"/>
        <v>0</v>
      </c>
      <c r="L31" s="15">
        <f t="shared" si="3"/>
        <v>0</v>
      </c>
      <c r="M31" s="15">
        <f t="shared" si="3"/>
        <v>0</v>
      </c>
    </row>
    <row r="33" spans="1:14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1" t="s">
        <v>27</v>
      </c>
    </row>
    <row r="34" spans="1:14" ht="15">
      <c r="A34" t="s">
        <v>32</v>
      </c>
      <c r="B34" s="3">
        <f>B2/12*(B3-B7)</f>
        <v>316.6666666666667</v>
      </c>
      <c r="C34" s="3">
        <f>B34</f>
        <v>316.6666666666667</v>
      </c>
      <c r="D34" s="3">
        <f aca="true" t="shared" si="4" ref="D34:M34">C34</f>
        <v>316.6666666666667</v>
      </c>
      <c r="E34" s="3">
        <f t="shared" si="4"/>
        <v>316.6666666666667</v>
      </c>
      <c r="F34" s="3">
        <f t="shared" si="4"/>
        <v>316.6666666666667</v>
      </c>
      <c r="G34" s="3">
        <f t="shared" si="4"/>
        <v>316.6666666666667</v>
      </c>
      <c r="H34" s="3">
        <f t="shared" si="4"/>
        <v>316.6666666666667</v>
      </c>
      <c r="I34" s="3">
        <f t="shared" si="4"/>
        <v>316.6666666666667</v>
      </c>
      <c r="J34" s="3">
        <f t="shared" si="4"/>
        <v>316.6666666666667</v>
      </c>
      <c r="K34" s="3">
        <f t="shared" si="4"/>
        <v>316.6666666666667</v>
      </c>
      <c r="L34" s="3">
        <f t="shared" si="4"/>
        <v>316.6666666666667</v>
      </c>
      <c r="M34" s="3">
        <f t="shared" si="4"/>
        <v>316.6666666666667</v>
      </c>
      <c r="N34" s="12">
        <f aca="true" t="shared" si="5" ref="N34:N42">SUM(B34:M34)</f>
        <v>3799.9999999999995</v>
      </c>
    </row>
    <row r="35" spans="1:14" ht="15">
      <c r="A35" t="s">
        <v>31</v>
      </c>
      <c r="B35" s="21">
        <f>B7*B2/12</f>
        <v>-25</v>
      </c>
      <c r="C35" s="4">
        <f>B35</f>
        <v>-25</v>
      </c>
      <c r="D35" s="4">
        <f aca="true" t="shared" si="6" ref="D35:M35">C35</f>
        <v>-25</v>
      </c>
      <c r="E35" s="4">
        <f t="shared" si="6"/>
        <v>-25</v>
      </c>
      <c r="F35" s="4">
        <f t="shared" si="6"/>
        <v>-25</v>
      </c>
      <c r="G35" s="4">
        <f t="shared" si="6"/>
        <v>-25</v>
      </c>
      <c r="H35" s="4">
        <f t="shared" si="6"/>
        <v>-25</v>
      </c>
      <c r="I35" s="4">
        <f t="shared" si="6"/>
        <v>-25</v>
      </c>
      <c r="J35" s="4">
        <f t="shared" si="6"/>
        <v>-25</v>
      </c>
      <c r="K35" s="4">
        <f t="shared" si="6"/>
        <v>-25</v>
      </c>
      <c r="L35" s="4">
        <f t="shared" si="6"/>
        <v>-25</v>
      </c>
      <c r="M35" s="4">
        <f t="shared" si="6"/>
        <v>-25</v>
      </c>
      <c r="N35" s="12">
        <f t="shared" si="5"/>
        <v>-300</v>
      </c>
    </row>
    <row r="36" spans="1:14" ht="15">
      <c r="A36" t="s">
        <v>30</v>
      </c>
      <c r="B36" s="3">
        <f>IF(B10&gt;B2,(B10-B2)/12*B12,0)</f>
        <v>-2.5</v>
      </c>
      <c r="C36" s="3">
        <f>B36</f>
        <v>-2.5</v>
      </c>
      <c r="D36" s="3">
        <f aca="true" t="shared" si="7" ref="D36:M36">C36</f>
        <v>-2.5</v>
      </c>
      <c r="E36" s="3">
        <f t="shared" si="7"/>
        <v>-2.5</v>
      </c>
      <c r="F36" s="3">
        <f t="shared" si="7"/>
        <v>-2.5</v>
      </c>
      <c r="G36" s="3">
        <f t="shared" si="7"/>
        <v>-2.5</v>
      </c>
      <c r="H36" s="3">
        <f t="shared" si="7"/>
        <v>-2.5</v>
      </c>
      <c r="I36" s="3">
        <f t="shared" si="7"/>
        <v>-2.5</v>
      </c>
      <c r="J36" s="3">
        <f t="shared" si="7"/>
        <v>-2.5</v>
      </c>
      <c r="K36" s="3">
        <f t="shared" si="7"/>
        <v>-2.5</v>
      </c>
      <c r="L36" s="3">
        <f t="shared" si="7"/>
        <v>-2.5</v>
      </c>
      <c r="M36" s="3">
        <f t="shared" si="7"/>
        <v>-2.5</v>
      </c>
      <c r="N36" s="12">
        <f>SUM(B36:M36)</f>
        <v>-30</v>
      </c>
    </row>
    <row r="37" spans="1:14" ht="15">
      <c r="A37" t="s">
        <v>25</v>
      </c>
      <c r="B37" s="3">
        <f>(B15-$B$2/4)/3*(B16-B20)</f>
        <v>0</v>
      </c>
      <c r="C37" s="4">
        <f>B37</f>
        <v>0</v>
      </c>
      <c r="D37" s="4">
        <f>C37</f>
        <v>0</v>
      </c>
      <c r="E37" s="3">
        <f>(E15-$B$2/4)/3*(E16-E20)</f>
        <v>31.666666666666668</v>
      </c>
      <c r="F37" s="4">
        <f>E37</f>
        <v>31.666666666666668</v>
      </c>
      <c r="G37" s="4">
        <f>F37</f>
        <v>31.666666666666668</v>
      </c>
      <c r="H37" s="3">
        <f>(H15-$B$2/4)/3*(H16-H20)</f>
        <v>31.666666666666668</v>
      </c>
      <c r="I37" s="4">
        <f>H37</f>
        <v>31.666666666666668</v>
      </c>
      <c r="J37" s="4">
        <f>I37</f>
        <v>31.666666666666668</v>
      </c>
      <c r="K37" s="3">
        <f>(K15-$B$2/4)/3*(K16-K20)</f>
        <v>31.666666666666668</v>
      </c>
      <c r="L37" s="4">
        <f>K37</f>
        <v>31.666666666666668</v>
      </c>
      <c r="M37" s="4">
        <f>L37</f>
        <v>31.666666666666668</v>
      </c>
      <c r="N37" s="12">
        <f t="shared" si="5"/>
        <v>285</v>
      </c>
    </row>
    <row r="38" spans="1:14" ht="15">
      <c r="A38" t="s">
        <v>34</v>
      </c>
      <c r="B38" s="23">
        <f>IF(B15&gt;$B$10/4,(B15-$B$10/4)*B20/3,0)</f>
        <v>0</v>
      </c>
      <c r="C38" s="23">
        <f>B38</f>
        <v>0</v>
      </c>
      <c r="D38" s="23">
        <f>C38</f>
        <v>0</v>
      </c>
      <c r="E38" s="27">
        <f>IF(E15&gt;$B$10/4,(E15-$B$10/4)*E20/3,0)</f>
        <v>0</v>
      </c>
      <c r="F38" s="27">
        <f>E38</f>
        <v>0</v>
      </c>
      <c r="G38" s="27">
        <f>F38</f>
        <v>0</v>
      </c>
      <c r="H38" s="27">
        <f>IF(H15&gt;$B$10/4,(H15-$B$10/4)*H20/3,0)</f>
        <v>0</v>
      </c>
      <c r="I38" s="27">
        <f>H38</f>
        <v>0</v>
      </c>
      <c r="J38" s="27">
        <f>I38</f>
        <v>0</v>
      </c>
      <c r="K38" s="27">
        <f>IF(K15&gt;$B$10/4,(K15-$B$10/4)*K20/3,0)</f>
        <v>0</v>
      </c>
      <c r="L38" s="27">
        <f>K38</f>
        <v>0</v>
      </c>
      <c r="M38" s="27">
        <f>L38</f>
        <v>0</v>
      </c>
      <c r="N38" s="12">
        <f t="shared" si="5"/>
        <v>0</v>
      </c>
    </row>
    <row r="39" spans="1:14" ht="15">
      <c r="A39" t="s">
        <v>50</v>
      </c>
      <c r="B39" s="3">
        <f>(B23-$B$15/3)*(B24-B28)</f>
        <v>50</v>
      </c>
      <c r="C39" s="3">
        <f aca="true" t="shared" si="8" ref="C39:M39">(C23-$B$15/3)*(C24-C28)</f>
        <v>50</v>
      </c>
      <c r="D39" s="3">
        <f t="shared" si="8"/>
        <v>50</v>
      </c>
      <c r="E39" s="3">
        <f t="shared" si="8"/>
        <v>31.66666666666662</v>
      </c>
      <c r="F39" s="3">
        <f t="shared" si="8"/>
        <v>31.66666666666662</v>
      </c>
      <c r="G39" s="3">
        <f t="shared" si="8"/>
        <v>31.66666666666662</v>
      </c>
      <c r="H39" s="3">
        <f t="shared" si="8"/>
        <v>31.66666666666662</v>
      </c>
      <c r="I39" s="3">
        <f t="shared" si="8"/>
        <v>31.66666666666662</v>
      </c>
      <c r="J39" s="3">
        <f t="shared" si="8"/>
        <v>31.66666666666662</v>
      </c>
      <c r="K39" s="3">
        <f t="shared" si="8"/>
        <v>31.66666666666662</v>
      </c>
      <c r="L39" s="3">
        <f t="shared" si="8"/>
        <v>31.66666666666662</v>
      </c>
      <c r="M39" s="3">
        <f t="shared" si="8"/>
        <v>31.66666666666662</v>
      </c>
      <c r="N39" s="12">
        <f t="shared" si="5"/>
        <v>434.99999999999966</v>
      </c>
    </row>
    <row r="40" spans="1:14" ht="15">
      <c r="A40" t="s">
        <v>35</v>
      </c>
      <c r="B40" s="3">
        <f>IF(B23&gt;$B$15/3,(B23-$B$15/3)*B28,0)</f>
        <v>-2.5</v>
      </c>
      <c r="C40" s="3">
        <f>IF(C23&gt;$B$15/3,(C23-$B$15/3)*C28,0)</f>
        <v>-2.5</v>
      </c>
      <c r="D40" s="3">
        <f>IF(D23&gt;$B$15/3,(D23-$B$15/3)*D28,0)</f>
        <v>-2.5</v>
      </c>
      <c r="E40" s="3">
        <f>IF(E23&gt;$E$15/3,(E23-$E$15/3)*E28,0)</f>
        <v>0</v>
      </c>
      <c r="F40" s="3">
        <f>IF(F23&gt;$E$15/3,(F23-$E$15/3)*F28,0)</f>
        <v>0</v>
      </c>
      <c r="G40" s="3">
        <f>IF(G23&gt;$E$15/3,(G23-$E$15/3)*G28,0)</f>
        <v>0</v>
      </c>
      <c r="H40" s="3">
        <f>IF(H23&gt;$H$15/3,(H23-$H$15/3)*H28,0)</f>
        <v>0</v>
      </c>
      <c r="I40" s="3">
        <f>IF(I23&gt;$H$15/3,(I23-$H$15/3)*I28,0)</f>
        <v>0</v>
      </c>
      <c r="J40" s="3">
        <f>IF(J23&gt;$H$15/3,(J23-$H$15/3)*J28,0)</f>
        <v>0</v>
      </c>
      <c r="K40" s="3">
        <f>IF(K23&gt;$K$15/3,(K23-$K$15/3)*K28,0)</f>
        <v>0</v>
      </c>
      <c r="L40" s="3">
        <f>IF(L23&gt;$K$15/3,(L23-$K$15/3)*L28,0)</f>
        <v>0</v>
      </c>
      <c r="M40" s="3">
        <f>IF(M23&gt;$K$15/3,(M23-$K$15/3)*M28,0)</f>
        <v>0</v>
      </c>
      <c r="N40" s="12">
        <f t="shared" si="5"/>
        <v>-7.5</v>
      </c>
    </row>
    <row r="41" spans="1:14" ht="15">
      <c r="A41" t="s">
        <v>28</v>
      </c>
      <c r="B41" s="3">
        <f>B31*(B24-B28)</f>
        <v>0</v>
      </c>
      <c r="C41" s="27">
        <f aca="true" t="shared" si="9" ref="C41:M41">C31*(C24-C28)</f>
        <v>0</v>
      </c>
      <c r="D41" s="27">
        <f t="shared" si="9"/>
        <v>0</v>
      </c>
      <c r="E41" s="27">
        <f t="shared" si="9"/>
        <v>0</v>
      </c>
      <c r="F41" s="27">
        <f t="shared" si="9"/>
        <v>0</v>
      </c>
      <c r="G41" s="27">
        <f t="shared" si="9"/>
        <v>0</v>
      </c>
      <c r="H41" s="27">
        <f t="shared" si="9"/>
        <v>0</v>
      </c>
      <c r="I41" s="27">
        <f t="shared" si="9"/>
        <v>0</v>
      </c>
      <c r="J41" s="27">
        <f t="shared" si="9"/>
        <v>0</v>
      </c>
      <c r="K41" s="27">
        <f t="shared" si="9"/>
        <v>0</v>
      </c>
      <c r="L41" s="27">
        <f t="shared" si="9"/>
        <v>0</v>
      </c>
      <c r="M41" s="27">
        <f t="shared" si="9"/>
        <v>0</v>
      </c>
      <c r="N41" s="12">
        <f t="shared" si="5"/>
        <v>0</v>
      </c>
    </row>
    <row r="42" spans="1:14" ht="15">
      <c r="A42" t="s">
        <v>57</v>
      </c>
      <c r="B42" s="27">
        <f>IF(B31&gt;0,B28/12*B31,0)</f>
        <v>0</v>
      </c>
      <c r="C42" s="27">
        <f aca="true" t="shared" si="10" ref="C42:M42">IF(C31&gt;0,C28/12*C31,0)</f>
        <v>0</v>
      </c>
      <c r="D42" s="27">
        <f t="shared" si="10"/>
        <v>0</v>
      </c>
      <c r="E42" s="27">
        <f t="shared" si="10"/>
        <v>0</v>
      </c>
      <c r="F42" s="27">
        <f t="shared" si="10"/>
        <v>0</v>
      </c>
      <c r="G42" s="27">
        <f t="shared" si="10"/>
        <v>0</v>
      </c>
      <c r="H42" s="27">
        <f>IF(H31&gt;0,H28/12*H31,0)</f>
        <v>0</v>
      </c>
      <c r="I42" s="27">
        <f t="shared" si="10"/>
        <v>0</v>
      </c>
      <c r="J42" s="27">
        <f t="shared" si="10"/>
        <v>0</v>
      </c>
      <c r="K42" s="27">
        <f t="shared" si="10"/>
        <v>0</v>
      </c>
      <c r="L42" s="27">
        <f t="shared" si="10"/>
        <v>0</v>
      </c>
      <c r="M42" s="27">
        <f t="shared" si="10"/>
        <v>0</v>
      </c>
      <c r="N42" s="12">
        <f t="shared" si="5"/>
        <v>0</v>
      </c>
    </row>
    <row r="43" ht="15.75" thickBot="1">
      <c r="N43" s="13">
        <f>SUM(N34:N41)</f>
        <v>4182.499999999999</v>
      </c>
    </row>
    <row r="44" ht="15.75" thickTop="1"/>
  </sheetData>
  <sheetProtection/>
  <mergeCells count="39">
    <mergeCell ref="B1:M1"/>
    <mergeCell ref="B2:M2"/>
    <mergeCell ref="B3:M3"/>
    <mergeCell ref="B4:M4"/>
    <mergeCell ref="B5:M5"/>
    <mergeCell ref="B6:M6"/>
    <mergeCell ref="B7:M7"/>
    <mergeCell ref="B9:M9"/>
    <mergeCell ref="B11:M11"/>
    <mergeCell ref="B12:M12"/>
    <mergeCell ref="B14:D14"/>
    <mergeCell ref="E14:G14"/>
    <mergeCell ref="H14:J14"/>
    <mergeCell ref="K14:M14"/>
    <mergeCell ref="B10:M10"/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O2" sqref="O2"/>
    </sheetView>
  </sheetViews>
  <sheetFormatPr defaultColWidth="9.140625" defaultRowHeight="15"/>
  <cols>
    <col min="1" max="1" width="30.140625" style="0" customWidth="1"/>
    <col min="2" max="13" width="10.421875" style="0" customWidth="1"/>
    <col min="14" max="14" width="12.57421875" style="0" customWidth="1"/>
  </cols>
  <sheetData>
    <row r="1" spans="1:13" ht="15">
      <c r="A1" s="8"/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>
      <c r="A2" t="s">
        <v>48</v>
      </c>
      <c r="B2" s="76">
        <v>100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">
      <c r="A3" t="s">
        <v>21</v>
      </c>
      <c r="B3" s="73">
        <f>SUM(B4:B6)</f>
        <v>35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>
      <c r="A4" t="s">
        <v>18</v>
      </c>
      <c r="B4" s="72">
        <v>40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>
      <c r="A5" t="s">
        <v>19</v>
      </c>
      <c r="B5" s="72">
        <v>-1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t="s">
        <v>29</v>
      </c>
      <c r="B6" s="72">
        <v>-4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8" spans="1:13" ht="15">
      <c r="A8" s="8"/>
      <c r="B8" s="75" t="s">
        <v>12</v>
      </c>
      <c r="C8" s="75"/>
      <c r="D8" s="75"/>
      <c r="E8" s="75" t="s">
        <v>13</v>
      </c>
      <c r="F8" s="75"/>
      <c r="G8" s="75"/>
      <c r="H8" s="75" t="s">
        <v>14</v>
      </c>
      <c r="I8" s="75"/>
      <c r="J8" s="75"/>
      <c r="K8" s="75" t="s">
        <v>15</v>
      </c>
      <c r="L8" s="75"/>
      <c r="M8" s="75"/>
    </row>
    <row r="9" spans="1:13" ht="15">
      <c r="A9" t="s">
        <v>49</v>
      </c>
      <c r="B9" s="74">
        <v>30</v>
      </c>
      <c r="C9" s="74"/>
      <c r="D9" s="74"/>
      <c r="E9" s="74">
        <v>28</v>
      </c>
      <c r="F9" s="74"/>
      <c r="G9" s="74"/>
      <c r="H9" s="74">
        <v>24</v>
      </c>
      <c r="I9" s="74"/>
      <c r="J9" s="74"/>
      <c r="K9" s="74">
        <v>30</v>
      </c>
      <c r="L9" s="74"/>
      <c r="M9" s="74"/>
    </row>
    <row r="10" spans="1:13" ht="15">
      <c r="A10" t="s">
        <v>21</v>
      </c>
      <c r="B10" s="73">
        <f>SUM(B11:D13)</f>
        <v>35</v>
      </c>
      <c r="C10" s="73"/>
      <c r="D10" s="73"/>
      <c r="E10" s="73">
        <f>SUM(E11:G13)</f>
        <v>35</v>
      </c>
      <c r="F10" s="73"/>
      <c r="G10" s="73"/>
      <c r="H10" s="73">
        <f>SUM(H11:J13)</f>
        <v>35</v>
      </c>
      <c r="I10" s="73"/>
      <c r="J10" s="73"/>
      <c r="K10" s="73">
        <f>SUM(K11:M13)</f>
        <v>35</v>
      </c>
      <c r="L10" s="73"/>
      <c r="M10" s="73"/>
    </row>
    <row r="11" spans="1:13" ht="15">
      <c r="A11" t="s">
        <v>18</v>
      </c>
      <c r="B11" s="72">
        <v>40</v>
      </c>
      <c r="C11" s="72"/>
      <c r="D11" s="72"/>
      <c r="E11" s="72">
        <v>40</v>
      </c>
      <c r="F11" s="72"/>
      <c r="G11" s="72"/>
      <c r="H11" s="72">
        <v>40</v>
      </c>
      <c r="I11" s="72"/>
      <c r="J11" s="72"/>
      <c r="K11" s="72">
        <v>40</v>
      </c>
      <c r="L11" s="72"/>
      <c r="M11" s="72"/>
    </row>
    <row r="12" spans="1:13" ht="15">
      <c r="A12" t="s">
        <v>19</v>
      </c>
      <c r="B12" s="72">
        <v>-1</v>
      </c>
      <c r="C12" s="72"/>
      <c r="D12" s="72"/>
      <c r="E12" s="72">
        <v>-1</v>
      </c>
      <c r="F12" s="72"/>
      <c r="G12" s="72"/>
      <c r="H12" s="72">
        <v>-1</v>
      </c>
      <c r="I12" s="72"/>
      <c r="J12" s="72"/>
      <c r="K12" s="72">
        <v>-1</v>
      </c>
      <c r="L12" s="72"/>
      <c r="M12" s="72"/>
    </row>
    <row r="13" spans="1:13" ht="15">
      <c r="A13" t="s">
        <v>29</v>
      </c>
      <c r="B13" s="72">
        <v>-4</v>
      </c>
      <c r="C13" s="72"/>
      <c r="D13" s="72"/>
      <c r="E13" s="72">
        <v>-4</v>
      </c>
      <c r="F13" s="72"/>
      <c r="G13" s="72"/>
      <c r="H13" s="72">
        <v>-4</v>
      </c>
      <c r="I13" s="72"/>
      <c r="J13" s="72"/>
      <c r="K13" s="72">
        <v>-4</v>
      </c>
      <c r="L13" s="72"/>
      <c r="M13" s="72"/>
    </row>
    <row r="15" spans="1:13" ht="15">
      <c r="A15" s="8"/>
      <c r="B15" s="9" t="s">
        <v>0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9" t="s">
        <v>9</v>
      </c>
      <c r="L15" s="9" t="s">
        <v>10</v>
      </c>
      <c r="M15" s="9" t="s">
        <v>11</v>
      </c>
    </row>
    <row r="16" spans="1:13" ht="15">
      <c r="A16" t="s">
        <v>23</v>
      </c>
      <c r="B16" s="6">
        <v>12</v>
      </c>
      <c r="C16" s="6">
        <v>12</v>
      </c>
      <c r="D16" s="6">
        <v>12</v>
      </c>
      <c r="E16" s="6">
        <v>8.333333333333334</v>
      </c>
      <c r="F16" s="6">
        <v>8.333333333333334</v>
      </c>
      <c r="G16" s="6">
        <v>8.333333333333334</v>
      </c>
      <c r="H16" s="6">
        <v>8.333333333333334</v>
      </c>
      <c r="I16" s="6">
        <v>8.333333333333334</v>
      </c>
      <c r="J16" s="6">
        <v>8.333333333333334</v>
      </c>
      <c r="K16" s="6">
        <v>11</v>
      </c>
      <c r="L16" s="6">
        <v>11</v>
      </c>
      <c r="M16" s="6">
        <v>11</v>
      </c>
    </row>
    <row r="17" spans="1:13" ht="15">
      <c r="A17" t="s">
        <v>21</v>
      </c>
      <c r="B17" s="2">
        <f aca="true" t="shared" si="0" ref="B17:M17">SUM(B18:B20)</f>
        <v>35</v>
      </c>
      <c r="C17" s="2">
        <f t="shared" si="0"/>
        <v>35</v>
      </c>
      <c r="D17" s="2">
        <f t="shared" si="0"/>
        <v>35</v>
      </c>
      <c r="E17" s="2">
        <f t="shared" si="0"/>
        <v>35</v>
      </c>
      <c r="F17" s="2">
        <f t="shared" si="0"/>
        <v>35</v>
      </c>
      <c r="G17" s="2">
        <f t="shared" si="0"/>
        <v>35</v>
      </c>
      <c r="H17" s="2">
        <f t="shared" si="0"/>
        <v>35</v>
      </c>
      <c r="I17" s="2">
        <f t="shared" si="0"/>
        <v>35</v>
      </c>
      <c r="J17" s="2">
        <f t="shared" si="0"/>
        <v>35</v>
      </c>
      <c r="K17" s="2">
        <f t="shared" si="0"/>
        <v>35</v>
      </c>
      <c r="L17" s="2">
        <f t="shared" si="0"/>
        <v>35</v>
      </c>
      <c r="M17" s="2">
        <f t="shared" si="0"/>
        <v>35</v>
      </c>
    </row>
    <row r="18" spans="1:13" ht="15">
      <c r="A18" t="s">
        <v>18</v>
      </c>
      <c r="B18" s="5">
        <v>40</v>
      </c>
      <c r="C18" s="5">
        <v>40</v>
      </c>
      <c r="D18" s="5">
        <v>40</v>
      </c>
      <c r="E18" s="5">
        <v>40</v>
      </c>
      <c r="F18" s="5">
        <v>40</v>
      </c>
      <c r="G18" s="5">
        <v>40</v>
      </c>
      <c r="H18" s="5">
        <v>40</v>
      </c>
      <c r="I18" s="5">
        <v>40</v>
      </c>
      <c r="J18" s="5">
        <v>40</v>
      </c>
      <c r="K18" s="5">
        <v>40</v>
      </c>
      <c r="L18" s="5">
        <v>40</v>
      </c>
      <c r="M18" s="5">
        <v>40</v>
      </c>
    </row>
    <row r="19" spans="1:13" ht="15">
      <c r="A19" t="s">
        <v>19</v>
      </c>
      <c r="B19" s="5">
        <v>-1</v>
      </c>
      <c r="C19" s="5">
        <v>-1</v>
      </c>
      <c r="D19" s="5">
        <v>-1</v>
      </c>
      <c r="E19" s="5">
        <v>-1</v>
      </c>
      <c r="F19" s="5">
        <v>-1</v>
      </c>
      <c r="G19" s="5">
        <v>-1</v>
      </c>
      <c r="H19" s="5">
        <v>-1</v>
      </c>
      <c r="I19" s="5">
        <v>-1</v>
      </c>
      <c r="J19" s="5">
        <v>-1</v>
      </c>
      <c r="K19" s="5">
        <v>-1</v>
      </c>
      <c r="L19" s="5">
        <v>-1</v>
      </c>
      <c r="M19" s="5">
        <v>-1</v>
      </c>
    </row>
    <row r="20" spans="1:13" ht="15">
      <c r="A20" t="s">
        <v>29</v>
      </c>
      <c r="B20" s="5">
        <v>-4</v>
      </c>
      <c r="C20" s="5">
        <v>-4</v>
      </c>
      <c r="D20" s="5">
        <v>-4</v>
      </c>
      <c r="E20" s="5">
        <v>-4</v>
      </c>
      <c r="F20" s="5">
        <v>-4</v>
      </c>
      <c r="G20" s="5">
        <v>-4</v>
      </c>
      <c r="H20" s="5">
        <v>-4</v>
      </c>
      <c r="I20" s="5">
        <v>-4</v>
      </c>
      <c r="J20" s="5">
        <v>-4</v>
      </c>
      <c r="K20" s="5">
        <v>-4</v>
      </c>
      <c r="L20" s="5">
        <v>-4</v>
      </c>
      <c r="M20" s="5">
        <v>-4</v>
      </c>
    </row>
    <row r="21" spans="2:13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t="s">
        <v>39</v>
      </c>
      <c r="B22" s="6">
        <v>8.333333333333334</v>
      </c>
      <c r="C22" s="6">
        <v>8.333333333333334</v>
      </c>
      <c r="D22" s="6">
        <v>8.333333333333334</v>
      </c>
      <c r="E22" s="6">
        <v>8.333333333333334</v>
      </c>
      <c r="F22" s="6">
        <v>8.333333333333334</v>
      </c>
      <c r="G22" s="6">
        <v>8.333333333333334</v>
      </c>
      <c r="H22" s="6">
        <v>8.333333333333334</v>
      </c>
      <c r="I22" s="6">
        <v>8.333333333333334</v>
      </c>
      <c r="J22" s="6">
        <v>8.333333333333334</v>
      </c>
      <c r="K22" s="6">
        <v>8.333333333333334</v>
      </c>
      <c r="L22" s="6">
        <v>8.333333333333334</v>
      </c>
      <c r="M22" s="6">
        <v>8.333333333333334</v>
      </c>
    </row>
    <row r="23" spans="1:13" ht="15">
      <c r="A23" t="s">
        <v>38</v>
      </c>
      <c r="B23" s="15">
        <f aca="true" t="shared" si="1" ref="B23:M23">B22-B16</f>
        <v>-3.666666666666666</v>
      </c>
      <c r="C23" s="15">
        <f t="shared" si="1"/>
        <v>-3.666666666666666</v>
      </c>
      <c r="D23" s="15">
        <f t="shared" si="1"/>
        <v>-3.666666666666666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-2.666666666666666</v>
      </c>
      <c r="L23" s="15">
        <f t="shared" si="1"/>
        <v>-2.666666666666666</v>
      </c>
      <c r="M23" s="15">
        <f t="shared" si="1"/>
        <v>-2.666666666666666</v>
      </c>
    </row>
    <row r="25" spans="1:14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 t="s">
        <v>27</v>
      </c>
    </row>
    <row r="26" spans="1:14" ht="15">
      <c r="A26" t="s">
        <v>24</v>
      </c>
      <c r="B26" s="10">
        <f>B2/12*B3</f>
        <v>291.6666666666667</v>
      </c>
      <c r="C26" s="10">
        <f>B26</f>
        <v>291.6666666666667</v>
      </c>
      <c r="D26" s="10">
        <f aca="true" t="shared" si="2" ref="D26:M26">C26</f>
        <v>291.6666666666667</v>
      </c>
      <c r="E26" s="10">
        <f t="shared" si="2"/>
        <v>291.6666666666667</v>
      </c>
      <c r="F26" s="10">
        <f t="shared" si="2"/>
        <v>291.6666666666667</v>
      </c>
      <c r="G26" s="10">
        <f t="shared" si="2"/>
        <v>291.6666666666667</v>
      </c>
      <c r="H26" s="10">
        <f t="shared" si="2"/>
        <v>291.6666666666667</v>
      </c>
      <c r="I26" s="10">
        <f t="shared" si="2"/>
        <v>291.6666666666667</v>
      </c>
      <c r="J26" s="10">
        <f t="shared" si="2"/>
        <v>291.6666666666667</v>
      </c>
      <c r="K26" s="10">
        <f t="shared" si="2"/>
        <v>291.6666666666667</v>
      </c>
      <c r="L26" s="10">
        <f t="shared" si="2"/>
        <v>291.6666666666667</v>
      </c>
      <c r="M26" s="10">
        <f t="shared" si="2"/>
        <v>291.6666666666667</v>
      </c>
      <c r="N26" s="12">
        <f>SUM(B26:M26)</f>
        <v>3499.9999999999995</v>
      </c>
    </row>
    <row r="27" spans="1:14" ht="15">
      <c r="A27" t="s">
        <v>25</v>
      </c>
      <c r="B27" s="10">
        <f>(B9-B2/4)/3*(B10)</f>
        <v>58.333333333333336</v>
      </c>
      <c r="C27" s="4">
        <f>B27</f>
        <v>58.333333333333336</v>
      </c>
      <c r="D27" s="4">
        <f>C27</f>
        <v>58.333333333333336</v>
      </c>
      <c r="E27" s="10">
        <f>(E9-B2/4)/3*(E10)</f>
        <v>35</v>
      </c>
      <c r="F27" s="4">
        <f>E27</f>
        <v>35</v>
      </c>
      <c r="G27" s="4">
        <f>F27</f>
        <v>35</v>
      </c>
      <c r="H27" s="10">
        <f>(H9-B2/4)/3*(H10)</f>
        <v>-11.666666666666666</v>
      </c>
      <c r="I27" s="4">
        <f>H27</f>
        <v>-11.666666666666666</v>
      </c>
      <c r="J27" s="4">
        <f>I27</f>
        <v>-11.666666666666666</v>
      </c>
      <c r="K27" s="10">
        <f>(K9-B2/4)/3*(K10)</f>
        <v>58.333333333333336</v>
      </c>
      <c r="L27" s="4">
        <f>K27</f>
        <v>58.333333333333336</v>
      </c>
      <c r="M27" s="4">
        <f>L27</f>
        <v>58.333333333333336</v>
      </c>
      <c r="N27" s="12">
        <f>SUM(B27:M27)</f>
        <v>419.99999999999994</v>
      </c>
    </row>
    <row r="28" spans="1:14" ht="15">
      <c r="A28" t="s">
        <v>26</v>
      </c>
      <c r="B28" s="10">
        <f>(B16-B9/3)*(B17)</f>
        <v>70</v>
      </c>
      <c r="C28" s="10">
        <f>(C16-B9/3)*(C17)</f>
        <v>70</v>
      </c>
      <c r="D28" s="10">
        <f>(D16-B9/3)*(D17)</f>
        <v>70</v>
      </c>
      <c r="E28" s="10">
        <f>(E16-E9/3)*(E17)</f>
        <v>-35</v>
      </c>
      <c r="F28" s="10">
        <f>(F16-E9/3)*(F17)</f>
        <v>-35</v>
      </c>
      <c r="G28" s="10">
        <f>(G16-E9/3)*(G17)</f>
        <v>-35</v>
      </c>
      <c r="H28" s="10">
        <f>(H16-H9/3)*(H17)</f>
        <v>11.666666666666687</v>
      </c>
      <c r="I28" s="10">
        <f>(I16-H9/3)*(I17)</f>
        <v>11.666666666666687</v>
      </c>
      <c r="J28" s="10">
        <f>(J16-H9/3)*(J17)</f>
        <v>11.666666666666687</v>
      </c>
      <c r="K28" s="10">
        <f>(K16-K9/3)*(K17)</f>
        <v>35</v>
      </c>
      <c r="L28" s="10">
        <f>(L16-K9/3)*(L17)</f>
        <v>35</v>
      </c>
      <c r="M28" s="10">
        <f>(M16-K9/3)*(M17)</f>
        <v>35</v>
      </c>
      <c r="N28" s="12">
        <f>SUM(B28:M28)</f>
        <v>245.00000000000006</v>
      </c>
    </row>
    <row r="29" spans="1:14" ht="15">
      <c r="A29" t="s">
        <v>28</v>
      </c>
      <c r="B29" s="3">
        <f>B23*B17</f>
        <v>-128.33333333333331</v>
      </c>
      <c r="C29" s="21">
        <f aca="true" t="shared" si="3" ref="C29:M29">C23*C17</f>
        <v>-128.33333333333331</v>
      </c>
      <c r="D29" s="21">
        <f t="shared" si="3"/>
        <v>-128.33333333333331</v>
      </c>
      <c r="E29" s="21">
        <f t="shared" si="3"/>
        <v>0</v>
      </c>
      <c r="F29" s="21">
        <f t="shared" si="3"/>
        <v>0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3"/>
        <v>0</v>
      </c>
      <c r="K29" s="21">
        <f t="shared" si="3"/>
        <v>-93.33333333333331</v>
      </c>
      <c r="L29" s="21">
        <f t="shared" si="3"/>
        <v>-93.33333333333331</v>
      </c>
      <c r="M29" s="21">
        <f t="shared" si="3"/>
        <v>-93.33333333333331</v>
      </c>
      <c r="N29" s="12">
        <f>SUM(B29:M29)</f>
        <v>-664.9999999999998</v>
      </c>
    </row>
    <row r="30" ht="15.75" thickBot="1">
      <c r="N30" s="13">
        <f>SUM(N26:N29)</f>
        <v>3500</v>
      </c>
    </row>
    <row r="31" ht="15.75" thickTop="1"/>
  </sheetData>
  <sheetProtection/>
  <mergeCells count="30">
    <mergeCell ref="B8:D8"/>
    <mergeCell ref="E8:G8"/>
    <mergeCell ref="H8:J8"/>
    <mergeCell ref="K8:M8"/>
    <mergeCell ref="B1:M1"/>
    <mergeCell ref="B2:M2"/>
    <mergeCell ref="B3:M3"/>
    <mergeCell ref="B4:M4"/>
    <mergeCell ref="B5:M5"/>
    <mergeCell ref="B6:M6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13:D13"/>
    <mergeCell ref="E13:G13"/>
    <mergeCell ref="H13:J13"/>
    <mergeCell ref="K13:M13"/>
    <mergeCell ref="B11:D11"/>
    <mergeCell ref="E11:G11"/>
    <mergeCell ref="H11:J11"/>
    <mergeCell ref="K11:M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="80" zoomScaleNormal="80" zoomScalePageLayoutView="0" workbookViewId="0" topLeftCell="A1">
      <selection activeCell="B42" sqref="B42"/>
    </sheetView>
  </sheetViews>
  <sheetFormatPr defaultColWidth="9.140625" defaultRowHeight="15"/>
  <cols>
    <col min="1" max="1" width="35.57421875" style="0" bestFit="1" customWidth="1"/>
    <col min="2" max="14" width="11.28125" style="0" customWidth="1"/>
    <col min="15" max="15" width="2.57421875" style="0" customWidth="1"/>
  </cols>
  <sheetData>
    <row r="1" spans="1:13" ht="15">
      <c r="A1" s="32" t="s">
        <v>55</v>
      </c>
      <c r="B1" s="51" t="s">
        <v>17</v>
      </c>
      <c r="C1" s="51" t="s">
        <v>66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t="s">
        <v>51</v>
      </c>
      <c r="B2" s="34">
        <v>5000</v>
      </c>
      <c r="C2" s="48">
        <f>B2/SUM($B$2:$B$4)</f>
        <v>0.14285714285714285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t="s">
        <v>52</v>
      </c>
      <c r="B3" s="35">
        <v>10000</v>
      </c>
      <c r="C3" s="48">
        <f>B3/SUM($B$2:$B$4)</f>
        <v>0.2857142857142857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>
      <c r="A4" t="s">
        <v>53</v>
      </c>
      <c r="B4" s="36">
        <v>20000</v>
      </c>
      <c r="C4" s="48">
        <f>B4/SUM($B$2:$B$4)</f>
        <v>0.5714285714285714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.75" thickBot="1">
      <c r="A5" s="30" t="s">
        <v>27</v>
      </c>
      <c r="B5" s="37">
        <f>SUM(B2:B4)</f>
        <v>35000</v>
      </c>
      <c r="C5" s="49">
        <f>B5/SUM($B$2:$B$4)</f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 thickTop="1">
      <c r="A6" s="28"/>
      <c r="B6" s="38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ht="15">
      <c r="B7" s="39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5">
      <c r="A8" s="32" t="s">
        <v>60</v>
      </c>
      <c r="B8" s="40" t="s">
        <v>17</v>
      </c>
      <c r="C8" s="51" t="s">
        <v>66</v>
      </c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">
      <c r="A9" t="s">
        <v>51</v>
      </c>
      <c r="B9" s="34">
        <v>4900</v>
      </c>
      <c r="C9" s="48">
        <f>B9/SUM($B$9:$B$11)</f>
        <v>0.13172043010752688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5">
      <c r="A10" t="s">
        <v>52</v>
      </c>
      <c r="B10" s="35">
        <v>11500</v>
      </c>
      <c r="C10" s="48">
        <f>B10/SUM($B$9:$B$11)</f>
        <v>0.30913978494623656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">
      <c r="A11" t="s">
        <v>53</v>
      </c>
      <c r="B11" s="36">
        <v>20800</v>
      </c>
      <c r="C11" s="48">
        <f>B11/SUM($B$9:$B$11)</f>
        <v>0.5591397849462365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 thickBot="1">
      <c r="A12" s="30" t="s">
        <v>27</v>
      </c>
      <c r="B12" s="37">
        <f>SUM(B9:B11)</f>
        <v>37200</v>
      </c>
      <c r="C12" s="49">
        <f>B12/SUM($B$9:$B$11)</f>
        <v>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2:13" ht="15.75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5" spans="1:14" ht="15">
      <c r="A15" s="8"/>
      <c r="B15" s="75" t="s">
        <v>12</v>
      </c>
      <c r="C15" s="75"/>
      <c r="D15" s="75"/>
      <c r="E15" s="75" t="s">
        <v>13</v>
      </c>
      <c r="F15" s="75"/>
      <c r="G15" s="75"/>
      <c r="H15" s="75" t="s">
        <v>14</v>
      </c>
      <c r="I15" s="75"/>
      <c r="J15" s="75"/>
      <c r="K15" s="75" t="s">
        <v>15</v>
      </c>
      <c r="L15" s="75"/>
      <c r="M15" s="75"/>
      <c r="N15" s="11" t="s">
        <v>27</v>
      </c>
    </row>
    <row r="16" spans="1:16" ht="15">
      <c r="A16" s="28" t="s">
        <v>54</v>
      </c>
      <c r="B16" s="80">
        <v>35</v>
      </c>
      <c r="C16" s="80"/>
      <c r="D16" s="80"/>
      <c r="E16" s="80">
        <v>35</v>
      </c>
      <c r="F16" s="80"/>
      <c r="G16" s="80"/>
      <c r="H16" s="80">
        <v>35</v>
      </c>
      <c r="I16" s="80"/>
      <c r="J16" s="80"/>
      <c r="K16" s="80">
        <v>50</v>
      </c>
      <c r="L16" s="80"/>
      <c r="M16" s="80"/>
      <c r="N16" s="68">
        <f>MAX(MIN(B16:M16),MIN(MAX(B16:M16),SUMPRODUCT(B19:M19,B16:M16)/SUM(B19:M19)))</f>
        <v>50</v>
      </c>
      <c r="O16" s="69"/>
      <c r="P16" s="69" t="s">
        <v>67</v>
      </c>
    </row>
    <row r="17" spans="1:14" ht="15">
      <c r="A17" t="s">
        <v>68</v>
      </c>
      <c r="B17" s="79">
        <v>7000</v>
      </c>
      <c r="C17" s="79"/>
      <c r="D17" s="79"/>
      <c r="E17" s="79">
        <v>9000</v>
      </c>
      <c r="F17" s="79"/>
      <c r="G17" s="79"/>
      <c r="H17" s="79">
        <v>10000</v>
      </c>
      <c r="I17" s="79"/>
      <c r="J17" s="79"/>
      <c r="K17" s="79">
        <v>11000</v>
      </c>
      <c r="L17" s="79"/>
      <c r="M17" s="79"/>
      <c r="N17" s="41">
        <f>SUM(B17:M17)</f>
        <v>37000</v>
      </c>
    </row>
    <row r="18" spans="1:14" ht="15">
      <c r="A18" t="s">
        <v>63</v>
      </c>
      <c r="B18" s="77">
        <f>$B$5/4</f>
        <v>8750</v>
      </c>
      <c r="C18" s="77"/>
      <c r="D18" s="77"/>
      <c r="E18" s="77">
        <f>B18</f>
        <v>8750</v>
      </c>
      <c r="F18" s="77"/>
      <c r="G18" s="77"/>
      <c r="H18" s="77">
        <f>E18</f>
        <v>8750</v>
      </c>
      <c r="I18" s="77"/>
      <c r="J18" s="77"/>
      <c r="K18" s="77">
        <f>H18</f>
        <v>8750</v>
      </c>
      <c r="L18" s="77"/>
      <c r="M18" s="77"/>
      <c r="N18" s="41">
        <f>SUM(B18:M18)</f>
        <v>35000</v>
      </c>
    </row>
    <row r="19" spans="1:14" ht="15">
      <c r="A19" t="s">
        <v>65</v>
      </c>
      <c r="B19" s="77">
        <f>B17-$B$5/4</f>
        <v>-1750</v>
      </c>
      <c r="C19" s="77"/>
      <c r="D19" s="77"/>
      <c r="E19" s="77">
        <f>E17-$B$5/4</f>
        <v>250</v>
      </c>
      <c r="F19" s="77"/>
      <c r="G19" s="77"/>
      <c r="H19" s="77">
        <f>H17-$B$5/4</f>
        <v>1250</v>
      </c>
      <c r="I19" s="77"/>
      <c r="J19" s="77"/>
      <c r="K19" s="77">
        <f>K17-$B$5/4</f>
        <v>2250</v>
      </c>
      <c r="L19" s="77"/>
      <c r="M19" s="77"/>
      <c r="N19" s="41">
        <f>SUM(B19:M19)</f>
        <v>2000</v>
      </c>
    </row>
    <row r="20" spans="1:14" ht="15">
      <c r="A20" t="s">
        <v>69</v>
      </c>
      <c r="B20" s="78">
        <f>-B19*B16</f>
        <v>61250</v>
      </c>
      <c r="C20" s="78"/>
      <c r="D20" s="78"/>
      <c r="E20" s="78">
        <f>-E19*E16</f>
        <v>-8750</v>
      </c>
      <c r="F20" s="78"/>
      <c r="G20" s="78"/>
      <c r="H20" s="78">
        <f>-H19*H16</f>
        <v>-43750</v>
      </c>
      <c r="I20" s="78"/>
      <c r="J20" s="78"/>
      <c r="K20" s="78">
        <f>-K19*K16</f>
        <v>-112500</v>
      </c>
      <c r="L20" s="78"/>
      <c r="M20" s="78"/>
      <c r="N20" s="53">
        <f>SUM(B20:M20)</f>
        <v>-103750</v>
      </c>
    </row>
    <row r="21" spans="2:14" ht="15">
      <c r="B21" s="43"/>
      <c r="C21" s="1"/>
      <c r="D21" s="1"/>
      <c r="E21" s="43"/>
      <c r="F21" s="1"/>
      <c r="G21" s="1"/>
      <c r="H21" s="43"/>
      <c r="I21" s="1"/>
      <c r="J21" s="1"/>
      <c r="K21" s="43"/>
      <c r="L21" s="1"/>
      <c r="M21" s="1"/>
      <c r="N21" s="44"/>
    </row>
    <row r="23" spans="1:14" ht="15">
      <c r="A23" s="8"/>
      <c r="B23" s="51" t="s">
        <v>0</v>
      </c>
      <c r="C23" s="51" t="s">
        <v>1</v>
      </c>
      <c r="D23" s="51" t="s">
        <v>2</v>
      </c>
      <c r="E23" s="51" t="s">
        <v>3</v>
      </c>
      <c r="F23" s="51" t="s">
        <v>4</v>
      </c>
      <c r="G23" s="51" t="s">
        <v>5</v>
      </c>
      <c r="H23" s="51" t="s">
        <v>6</v>
      </c>
      <c r="I23" s="51" t="s">
        <v>7</v>
      </c>
      <c r="J23" s="51" t="s">
        <v>8</v>
      </c>
      <c r="K23" s="51" t="s">
        <v>9</v>
      </c>
      <c r="L23" s="51" t="s">
        <v>10</v>
      </c>
      <c r="M23" s="51" t="s">
        <v>11</v>
      </c>
      <c r="N23" s="11" t="s">
        <v>27</v>
      </c>
    </row>
    <row r="24" spans="1:16" ht="15">
      <c r="A24" t="s">
        <v>54</v>
      </c>
      <c r="B24" s="52">
        <v>35</v>
      </c>
      <c r="C24" s="52">
        <v>35</v>
      </c>
      <c r="D24" s="52">
        <v>35</v>
      </c>
      <c r="E24" s="52">
        <v>35</v>
      </c>
      <c r="F24" s="52">
        <v>35</v>
      </c>
      <c r="G24" s="52">
        <v>35</v>
      </c>
      <c r="H24" s="52">
        <v>50</v>
      </c>
      <c r="I24" s="52">
        <v>1000</v>
      </c>
      <c r="J24" s="52">
        <v>50</v>
      </c>
      <c r="K24" s="52">
        <v>35</v>
      </c>
      <c r="L24" s="52">
        <v>35</v>
      </c>
      <c r="M24" s="52">
        <v>35</v>
      </c>
      <c r="N24" s="68">
        <f>MAX(MIN(B24:M24),MIN(MAX(B24:M24),SUMPRODUCT(B27:M27,B24:M24)/SUM(B27:M27)))</f>
        <v>226.56862745098036</v>
      </c>
      <c r="O24" s="69"/>
      <c r="P24" s="69" t="s">
        <v>67</v>
      </c>
    </row>
    <row r="25" spans="1:14" ht="15">
      <c r="A25" t="s">
        <v>61</v>
      </c>
      <c r="B25" s="24">
        <v>1500</v>
      </c>
      <c r="C25" s="24">
        <v>2000</v>
      </c>
      <c r="D25" s="24">
        <v>2500</v>
      </c>
      <c r="E25" s="24">
        <v>3000</v>
      </c>
      <c r="F25" s="24">
        <v>3100</v>
      </c>
      <c r="G25" s="24">
        <v>3200</v>
      </c>
      <c r="H25" s="24">
        <v>3300</v>
      </c>
      <c r="I25" s="24">
        <v>3500</v>
      </c>
      <c r="J25" s="24">
        <v>3500</v>
      </c>
      <c r="K25" s="24">
        <v>3750</v>
      </c>
      <c r="L25" s="24">
        <v>4000</v>
      </c>
      <c r="M25" s="24">
        <v>4500</v>
      </c>
      <c r="N25" s="42">
        <f>SUM(B25:M25)</f>
        <v>37850</v>
      </c>
    </row>
    <row r="26" spans="1:14" ht="15">
      <c r="A26" t="s">
        <v>64</v>
      </c>
      <c r="B26" s="45">
        <f>B12/12</f>
        <v>3100</v>
      </c>
      <c r="C26" s="45">
        <f>B26</f>
        <v>3100</v>
      </c>
      <c r="D26" s="45">
        <f aca="true" t="shared" si="0" ref="D26:L26">C26</f>
        <v>3100</v>
      </c>
      <c r="E26" s="45">
        <f t="shared" si="0"/>
        <v>3100</v>
      </c>
      <c r="F26" s="45">
        <f t="shared" si="0"/>
        <v>3100</v>
      </c>
      <c r="G26" s="45">
        <f t="shared" si="0"/>
        <v>3100</v>
      </c>
      <c r="H26" s="45">
        <f t="shared" si="0"/>
        <v>3100</v>
      </c>
      <c r="I26" s="45">
        <f t="shared" si="0"/>
        <v>3100</v>
      </c>
      <c r="J26" s="45">
        <f t="shared" si="0"/>
        <v>3100</v>
      </c>
      <c r="K26" s="45">
        <f t="shared" si="0"/>
        <v>3100</v>
      </c>
      <c r="L26" s="45">
        <f t="shared" si="0"/>
        <v>3100</v>
      </c>
      <c r="M26" s="45">
        <f>L26</f>
        <v>3100</v>
      </c>
      <c r="N26" s="42">
        <f>SUM(B26:M26)</f>
        <v>37200</v>
      </c>
    </row>
    <row r="27" spans="1:14" ht="15">
      <c r="A27" t="s">
        <v>62</v>
      </c>
      <c r="B27" s="31">
        <f>B25-$B$17/3</f>
        <v>-833.3333333333335</v>
      </c>
      <c r="C27" s="31">
        <f>C25-$B$17/3</f>
        <v>-333.3333333333335</v>
      </c>
      <c r="D27" s="31">
        <f>D25-$B$17/3</f>
        <v>166.66666666666652</v>
      </c>
      <c r="E27" s="31">
        <f>E25-$E$17/3</f>
        <v>0</v>
      </c>
      <c r="F27" s="31">
        <f>F25-$E$17/3</f>
        <v>100</v>
      </c>
      <c r="G27" s="31">
        <f>G25-$E$17/3</f>
        <v>200</v>
      </c>
      <c r="H27" s="31">
        <f>H25-$H$17/3</f>
        <v>-33.333333333333485</v>
      </c>
      <c r="I27" s="31">
        <f>I25-$H$17/3</f>
        <v>166.66666666666652</v>
      </c>
      <c r="J27" s="31">
        <f>J25-$H$17/3</f>
        <v>166.66666666666652</v>
      </c>
      <c r="K27" s="31">
        <f>K25-$K$17/3</f>
        <v>83.33333333333348</v>
      </c>
      <c r="L27" s="31">
        <f>L25-$K$17/3</f>
        <v>333.3333333333335</v>
      </c>
      <c r="M27" s="31">
        <f>M25-$K$17/3</f>
        <v>833.3333333333335</v>
      </c>
      <c r="N27" s="41">
        <f>SUM(B27:M27)</f>
        <v>849.9999999999995</v>
      </c>
    </row>
    <row r="28" spans="1:14" ht="15">
      <c r="A28" t="s">
        <v>69</v>
      </c>
      <c r="B28" s="66">
        <f>-B27*B24</f>
        <v>29166.66666666667</v>
      </c>
      <c r="C28" s="66">
        <f aca="true" t="shared" si="1" ref="C28:M28">-C27*C24</f>
        <v>11666.666666666672</v>
      </c>
      <c r="D28" s="66">
        <f t="shared" si="1"/>
        <v>-5833.3333333333285</v>
      </c>
      <c r="E28" s="66">
        <f t="shared" si="1"/>
        <v>0</v>
      </c>
      <c r="F28" s="66">
        <f t="shared" si="1"/>
        <v>-3500</v>
      </c>
      <c r="G28" s="66">
        <f t="shared" si="1"/>
        <v>-7000</v>
      </c>
      <c r="H28" s="66">
        <f t="shared" si="1"/>
        <v>1666.6666666666742</v>
      </c>
      <c r="I28" s="66">
        <f t="shared" si="1"/>
        <v>-166666.6666666665</v>
      </c>
      <c r="J28" s="66">
        <f t="shared" si="1"/>
        <v>-8333.333333333325</v>
      </c>
      <c r="K28" s="66">
        <f t="shared" si="1"/>
        <v>-2916.666666666672</v>
      </c>
      <c r="L28" s="66">
        <f t="shared" si="1"/>
        <v>-11666.666666666672</v>
      </c>
      <c r="M28" s="66">
        <f t="shared" si="1"/>
        <v>-29166.66666666667</v>
      </c>
      <c r="N28" s="67">
        <f>SUM(B28:M28)</f>
        <v>-192583.3333333332</v>
      </c>
    </row>
    <row r="29" spans="2:14" ht="1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6"/>
    </row>
    <row r="31" spans="1:16" ht="30">
      <c r="A31" s="54" t="s">
        <v>70</v>
      </c>
      <c r="B31" s="55" t="s">
        <v>71</v>
      </c>
      <c r="C31" s="56" t="s">
        <v>72</v>
      </c>
      <c r="D31" s="57" t="s">
        <v>27</v>
      </c>
      <c r="N31" s="68">
        <f>MAX(MIN(N16,N24),MIN(MAX(N16,N24),(N19*N16+N27*N24)/(N19+N27)))</f>
        <v>102.66081871345025</v>
      </c>
      <c r="O31" s="69"/>
      <c r="P31" s="69" t="s">
        <v>73</v>
      </c>
    </row>
    <row r="32" spans="1:4" ht="15">
      <c r="A32" s="14" t="s">
        <v>51</v>
      </c>
      <c r="B32" s="58">
        <f>-(B9-B2)*$N$31</f>
        <v>10266.081871345026</v>
      </c>
      <c r="C32" s="58">
        <f>$C$35*C9</f>
        <v>-9283.594290385454</v>
      </c>
      <c r="D32" s="59">
        <f>SUM(B32:C32)</f>
        <v>982.4875809595724</v>
      </c>
    </row>
    <row r="33" spans="1:4" ht="15">
      <c r="A33" s="14" t="s">
        <v>52</v>
      </c>
      <c r="B33" s="58">
        <f>-(B10-B3)*$N$31</f>
        <v>-153991.2280701754</v>
      </c>
      <c r="C33" s="58">
        <f>$C$35*C10</f>
        <v>-21788.027416210763</v>
      </c>
      <c r="D33" s="59">
        <f>SUM(B33:C33)</f>
        <v>-175779.25548638616</v>
      </c>
    </row>
    <row r="34" spans="1:4" ht="15">
      <c r="A34" s="14" t="s">
        <v>53</v>
      </c>
      <c r="B34" s="60">
        <f>-(B11-B4)*$N$31</f>
        <v>-82128.65497076021</v>
      </c>
      <c r="C34" s="61">
        <f>$C$35*C11</f>
        <v>-39407.91045714642</v>
      </c>
      <c r="D34" s="62">
        <f>SUM(B34:C34)</f>
        <v>-121536.56542790664</v>
      </c>
    </row>
    <row r="35" spans="1:14" ht="15.75" thickBot="1">
      <c r="A35" s="63" t="s">
        <v>27</v>
      </c>
      <c r="B35" s="64">
        <f>SUM(B32:B34)</f>
        <v>-225853.80116959056</v>
      </c>
      <c r="C35" s="64">
        <f>N35-B35</f>
        <v>-70479.53216374264</v>
      </c>
      <c r="D35" s="65">
        <f>SUM(D32:D34)</f>
        <v>-296333.33333333326</v>
      </c>
      <c r="M35" s="50" t="s">
        <v>74</v>
      </c>
      <c r="N35" s="67">
        <f>N28+N20</f>
        <v>-296333.3333333332</v>
      </c>
    </row>
    <row r="36" ht="15.75" thickTop="1"/>
  </sheetData>
  <sheetProtection/>
  <mergeCells count="24"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dtretheway</dc:creator>
  <cp:keywords/>
  <dc:description/>
  <cp:lastModifiedBy>ckirsten</cp:lastModifiedBy>
  <dcterms:created xsi:type="dcterms:W3CDTF">2012-11-02T15:20:17Z</dcterms:created>
  <dcterms:modified xsi:type="dcterms:W3CDTF">2012-12-14T00:16:14Z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Web conference Dec 18, 2012|f17bfc84-9736-4f5f-a49f-6e3c575f2b08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5;#Stakeholder processes|71659ab1-dac7-419e-9529-abc47c232b66</vt:lpwstr>
  </property>
  <property fmtid="{D5CDD505-2E9C-101B-9397-08002B2CF9AE}" pid="6" name="ISOKeywordsTaxHTFiel">
    <vt:lpwstr>FERC|6376a590-7ed4-4e0d-8f56-6d18e21ebc99;stakeholder initiative|eed0ce1e-bb47-425b-8cdd-84244efe7e65;stakeholder meeting|8025968f-9056-4c6d-a251-ca47de55a03d</vt:lpwstr>
  </property>
  <property fmtid="{D5CDD505-2E9C-101B-9397-08002B2CF9AE}" pid="7" name="ISOKeywor">
    <vt:lpwstr>90;#FERC|6376a590-7ed4-4e0d-8f56-6d18e21ebc99;#26;#stakeholder initiative|eed0ce1e-bb47-425b-8cdd-84244efe7e65;#185;#stakeholder meeting|8025968f-9056-4c6d-a251-ca47de55a03d</vt:lpwstr>
  </property>
  <property fmtid="{D5CDD505-2E9C-101B-9397-08002B2CF9AE}" pid="8" name="m9e70a6096144fc698577b786817f2">
    <vt:lpwstr/>
  </property>
  <property fmtid="{D5CDD505-2E9C-101B-9397-08002B2CF9AE}" pid="9" name="ISOGro">
    <vt:lpwstr>2369;#Web conference Dec 18, 2012|f17bfc84-9736-4f5f-a49f-6e3c575f2b08</vt:lpwstr>
  </property>
  <property fmtid="{D5CDD505-2E9C-101B-9397-08002B2CF9AE}" pid="10" name="ISOArchi">
    <vt:lpwstr/>
  </property>
  <property fmtid="{D5CDD505-2E9C-101B-9397-08002B2CF9AE}" pid="11" name="TaxCatchA">
    <vt:lpwstr>90;#FERC|6376a590-7ed4-4e0d-8f56-6d18e21ebc99;#26;#stakeholder initiative|eed0ce1e-bb47-425b-8cdd-84244efe7e65;#2369;#Web conference Dec 18, 2012|f17bfc84-9736-4f5f-a49f-6e3c575f2b08;#5;#Stakeholder processes|71659ab1-dac7-419e-9529-abc47c232b66;#185;#sta</vt:lpwstr>
  </property>
  <property fmtid="{D5CDD505-2E9C-101B-9397-08002B2CF9AE}" pid="12" name="ParentISOGrou">
    <vt:lpwstr>FERC Order No 764 market changes - papers and proposals|6eb8f52d-8e77-4ae9-8119-453d64bd8374</vt:lpwstr>
  </property>
</Properties>
</file>