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kosborne\profile\Desktop\EDAM WGs\WG 2\"/>
    </mc:Choice>
  </mc:AlternateContent>
  <bookViews>
    <workbookView xWindow="0" yWindow="0" windowWidth="21912" windowHeight="10236" tabRatio="797" activeTab="1"/>
  </bookViews>
  <sheets>
    <sheet name="Example 1" sheetId="2" r:id="rId1"/>
    <sheet name="Example 2" sheetId="7" r:id="rId2"/>
    <sheet name="Example 3" sheetId="18" r:id="rId3"/>
    <sheet name="Example 4 Only ETSR Congestion" sheetId="12" r:id="rId4"/>
    <sheet name="Example 5 Only ITC Binding" sheetId="16" r:id="rId5"/>
    <sheet name="Example 6 ETSR ITC Binding " sheetId="1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8" l="1"/>
  <c r="D35" i="18"/>
  <c r="C35" i="18"/>
  <c r="D34" i="18"/>
  <c r="C34" i="18"/>
  <c r="D31" i="18"/>
  <c r="C31" i="18"/>
  <c r="D30" i="18"/>
  <c r="C30" i="18"/>
  <c r="R26" i="18"/>
  <c r="C25" i="18"/>
  <c r="O22" i="18"/>
  <c r="O26" i="18" s="1"/>
  <c r="U21" i="18"/>
  <c r="U23" i="18" s="1"/>
  <c r="U27" i="18" s="1"/>
  <c r="R21" i="18"/>
  <c r="R23" i="18" s="1"/>
  <c r="R27" i="18" s="1"/>
  <c r="O21" i="18"/>
  <c r="O24" i="18" s="1"/>
  <c r="O28" i="18" s="1"/>
  <c r="L21" i="18"/>
  <c r="L23" i="18" s="1"/>
  <c r="C21" i="18"/>
  <c r="C26" i="18" s="1"/>
  <c r="C20" i="18"/>
  <c r="C22" i="18" s="1"/>
  <c r="C38" i="18" s="1"/>
  <c r="U19" i="18"/>
  <c r="U28" i="18" s="1"/>
  <c r="R19" i="18"/>
  <c r="R28" i="18" s="1"/>
  <c r="O19" i="18"/>
  <c r="L19" i="18"/>
  <c r="L28" i="18" s="1"/>
  <c r="R18" i="18"/>
  <c r="U17" i="18"/>
  <c r="U26" i="18" s="1"/>
  <c r="R17" i="18"/>
  <c r="O17" i="18"/>
  <c r="O18" i="18" s="1"/>
  <c r="L17" i="18"/>
  <c r="L26" i="18" s="1"/>
  <c r="R15" i="18"/>
  <c r="L12" i="18"/>
  <c r="U11" i="18"/>
  <c r="U15" i="18" s="1"/>
  <c r="R11" i="18"/>
  <c r="L11" i="18"/>
  <c r="L15" i="18" s="1"/>
  <c r="C27" i="18" l="1"/>
  <c r="C39" i="18" s="1"/>
  <c r="O15" i="18"/>
  <c r="L18" i="18"/>
  <c r="L27" i="18" s="1"/>
  <c r="O23" i="18"/>
  <c r="O27" i="18" s="1"/>
  <c r="X26" i="7" l="1"/>
  <c r="U26" i="7"/>
  <c r="S11" i="16"/>
  <c r="P11" i="16"/>
  <c r="M11" i="16"/>
  <c r="P52" i="17"/>
  <c r="S33" i="16"/>
  <c r="S32" i="16"/>
  <c r="S31" i="16"/>
  <c r="P32" i="16"/>
  <c r="P33" i="16"/>
  <c r="P31" i="16"/>
  <c r="P35" i="16"/>
  <c r="M32" i="16"/>
  <c r="M33" i="16"/>
  <c r="M31" i="16"/>
  <c r="M34" i="16"/>
  <c r="E22" i="17"/>
  <c r="S21" i="16"/>
  <c r="P21" i="16"/>
  <c r="M21" i="16"/>
  <c r="S21" i="17"/>
  <c r="S24" i="17" s="1"/>
  <c r="S31" i="17" s="1"/>
  <c r="P21" i="17"/>
  <c r="M21" i="17"/>
  <c r="M36" i="17" s="1"/>
  <c r="S52" i="17"/>
  <c r="S51" i="17"/>
  <c r="S50" i="17"/>
  <c r="P50" i="17"/>
  <c r="E45" i="17"/>
  <c r="D45" i="17"/>
  <c r="C45" i="17"/>
  <c r="E44" i="17"/>
  <c r="D44" i="17"/>
  <c r="C44" i="17"/>
  <c r="E41" i="17"/>
  <c r="D41" i="17"/>
  <c r="C41" i="17"/>
  <c r="E40" i="17"/>
  <c r="D40" i="17"/>
  <c r="C40" i="17"/>
  <c r="M40" i="17"/>
  <c r="M52" i="17" s="1"/>
  <c r="D36" i="17"/>
  <c r="D35" i="17"/>
  <c r="D34" i="17"/>
  <c r="D31" i="17"/>
  <c r="E32" i="17" s="1"/>
  <c r="C30" i="17"/>
  <c r="E26" i="17"/>
  <c r="D26" i="17"/>
  <c r="E25" i="17"/>
  <c r="D25" i="17"/>
  <c r="E24" i="17"/>
  <c r="D24" i="17"/>
  <c r="P24" i="17"/>
  <c r="C23" i="17"/>
  <c r="D21" i="17"/>
  <c r="E21" i="17" s="1"/>
  <c r="C20" i="17"/>
  <c r="C27" i="17" s="1"/>
  <c r="S10" i="17"/>
  <c r="S11" i="17" s="1"/>
  <c r="P10" i="17"/>
  <c r="P38" i="17" s="1"/>
  <c r="M10" i="17"/>
  <c r="S10" i="16"/>
  <c r="P34" i="16"/>
  <c r="S23" i="16"/>
  <c r="P23" i="16"/>
  <c r="M39" i="16"/>
  <c r="M37" i="16"/>
  <c r="P10" i="16"/>
  <c r="M19" i="16"/>
  <c r="M18" i="16"/>
  <c r="M17" i="16"/>
  <c r="M24" i="16"/>
  <c r="M36" i="16" s="1"/>
  <c r="M28" i="16"/>
  <c r="P11" i="17" l="1"/>
  <c r="P34" i="17"/>
  <c r="P39" i="17"/>
  <c r="M33" i="17"/>
  <c r="M11" i="17"/>
  <c r="M15" i="17" s="1"/>
  <c r="S32" i="17"/>
  <c r="S22" i="17"/>
  <c r="S34" i="17"/>
  <c r="S33" i="17"/>
  <c r="P22" i="17"/>
  <c r="P33" i="17"/>
  <c r="P35" i="17"/>
  <c r="P32" i="17"/>
  <c r="M32" i="17"/>
  <c r="M34" i="17"/>
  <c r="M22" i="17"/>
  <c r="E27" i="17"/>
  <c r="E31" i="17"/>
  <c r="M25" i="17" s="1"/>
  <c r="P19" i="17"/>
  <c r="P37" i="17" s="1"/>
  <c r="M19" i="17"/>
  <c r="M38" i="16"/>
  <c r="M27" i="16"/>
  <c r="M23" i="16"/>
  <c r="M50" i="16" s="1"/>
  <c r="M22" i="16"/>
  <c r="M26" i="16" s="1"/>
  <c r="C37" i="17"/>
  <c r="S17" i="17"/>
  <c r="S27" i="17" s="1"/>
  <c r="M17" i="17"/>
  <c r="P15" i="17"/>
  <c r="P17" i="17"/>
  <c r="S19" i="17"/>
  <c r="S37" i="17" s="1"/>
  <c r="M24" i="17"/>
  <c r="P28" i="17"/>
  <c r="P29" i="17"/>
  <c r="P47" i="17" s="1"/>
  <c r="C33" i="17"/>
  <c r="M23" i="17"/>
  <c r="S28" i="17"/>
  <c r="S29" i="17"/>
  <c r="S47" i="17" s="1"/>
  <c r="S38" i="17"/>
  <c r="S39" i="17"/>
  <c r="S49" i="17" s="1"/>
  <c r="M30" i="17"/>
  <c r="M50" i="17" s="1"/>
  <c r="M35" i="16"/>
  <c r="M10" i="16"/>
  <c r="D32" i="16"/>
  <c r="E21" i="16"/>
  <c r="E24" i="16"/>
  <c r="E25" i="16"/>
  <c r="E26" i="16"/>
  <c r="E45" i="16"/>
  <c r="E44" i="16"/>
  <c r="E41" i="16"/>
  <c r="E40" i="16"/>
  <c r="S51" i="16"/>
  <c r="P51" i="16"/>
  <c r="S50" i="16"/>
  <c r="P50" i="16"/>
  <c r="S49" i="16"/>
  <c r="P49" i="16"/>
  <c r="D45" i="16"/>
  <c r="C45" i="16"/>
  <c r="D44" i="16"/>
  <c r="C44" i="16"/>
  <c r="D41" i="16"/>
  <c r="C41" i="16"/>
  <c r="D40" i="16"/>
  <c r="C40" i="16"/>
  <c r="S38" i="16"/>
  <c r="S48" i="16" s="1"/>
  <c r="S37" i="16"/>
  <c r="D36" i="16"/>
  <c r="D35" i="16"/>
  <c r="D34" i="16"/>
  <c r="C33" i="16"/>
  <c r="D31" i="16"/>
  <c r="C30" i="16"/>
  <c r="C37" i="16" s="1"/>
  <c r="M51" i="16" s="1"/>
  <c r="S28" i="16"/>
  <c r="S46" i="16" s="1"/>
  <c r="P28" i="16"/>
  <c r="P46" i="16" s="1"/>
  <c r="S27" i="16"/>
  <c r="P27" i="16"/>
  <c r="D26" i="16"/>
  <c r="D25" i="16"/>
  <c r="D24" i="16"/>
  <c r="C23" i="16"/>
  <c r="D21" i="16"/>
  <c r="C20" i="16"/>
  <c r="M29" i="16" s="1"/>
  <c r="M49" i="16" s="1"/>
  <c r="S19" i="16"/>
  <c r="S36" i="16" s="1"/>
  <c r="P19" i="16"/>
  <c r="P36" i="16" s="1"/>
  <c r="S17" i="16"/>
  <c r="S26" i="16" s="1"/>
  <c r="P17" i="16"/>
  <c r="D30" i="2"/>
  <c r="D28" i="2"/>
  <c r="M37" i="17" l="1"/>
  <c r="M28" i="17"/>
  <c r="M29" i="17"/>
  <c r="M47" i="17" s="1"/>
  <c r="E37" i="17"/>
  <c r="S46" i="17"/>
  <c r="M27" i="17"/>
  <c r="P49" i="17"/>
  <c r="P45" i="17"/>
  <c r="P27" i="17"/>
  <c r="P18" i="17"/>
  <c r="P31" i="17" s="1"/>
  <c r="S15" i="17"/>
  <c r="P18" i="16"/>
  <c r="C27" i="16"/>
  <c r="S45" i="16"/>
  <c r="P30" i="16"/>
  <c r="S30" i="16"/>
  <c r="P44" i="16"/>
  <c r="S47" i="16"/>
  <c r="M48" i="16"/>
  <c r="P15" i="16"/>
  <c r="M30" i="16"/>
  <c r="P26" i="16"/>
  <c r="M46" i="16"/>
  <c r="S44" i="16"/>
  <c r="M47" i="16"/>
  <c r="P37" i="16"/>
  <c r="P38" i="16"/>
  <c r="P48" i="16" s="1"/>
  <c r="S15" i="16"/>
  <c r="M38" i="17" l="1"/>
  <c r="M39" i="17"/>
  <c r="M49" i="17" s="1"/>
  <c r="P48" i="17"/>
  <c r="M46" i="17"/>
  <c r="P51" i="17"/>
  <c r="P53" i="17"/>
  <c r="M48" i="17"/>
  <c r="S48" i="17"/>
  <c r="M35" i="17"/>
  <c r="M51" i="17" s="1"/>
  <c r="M18" i="17"/>
  <c r="M31" i="17" s="1"/>
  <c r="P45" i="16"/>
  <c r="P47" i="16"/>
  <c r="M15" i="16"/>
  <c r="M52" i="16"/>
  <c r="M45" i="16"/>
  <c r="M44" i="16"/>
  <c r="S35" i="16"/>
  <c r="S52" i="16" s="1"/>
  <c r="S53" i="16" s="1"/>
  <c r="P46" i="17" l="1"/>
  <c r="P54" i="17" s="1"/>
  <c r="S53" i="17"/>
  <c r="S45" i="17"/>
  <c r="M45" i="17"/>
  <c r="M54" i="17" s="1"/>
  <c r="M53" i="17"/>
  <c r="M53" i="16"/>
  <c r="P52" i="16"/>
  <c r="P53" i="16" s="1"/>
  <c r="S54" i="17" l="1"/>
  <c r="B20" i="2"/>
  <c r="D35" i="12"/>
  <c r="C35" i="12"/>
  <c r="D34" i="12"/>
  <c r="C34" i="12"/>
  <c r="D31" i="12"/>
  <c r="C31" i="12"/>
  <c r="D30" i="12"/>
  <c r="C30" i="12"/>
  <c r="D35" i="7"/>
  <c r="C35" i="7"/>
  <c r="C31" i="7"/>
  <c r="D31" i="7"/>
  <c r="D30" i="7"/>
  <c r="C30" i="7"/>
  <c r="C25" i="12"/>
  <c r="C21" i="12"/>
  <c r="C20" i="12"/>
  <c r="C22" i="12" l="1"/>
  <c r="C26" i="12"/>
  <c r="C27" i="12" s="1"/>
  <c r="D31" i="2" l="1"/>
  <c r="O20" i="2" l="1"/>
  <c r="R12" i="7"/>
  <c r="L36" i="2" l="1"/>
  <c r="L35" i="2"/>
  <c r="L34" i="2"/>
  <c r="L33" i="2"/>
  <c r="L32" i="2"/>
  <c r="L29" i="2"/>
  <c r="L21" i="2"/>
  <c r="S33" i="12" l="1"/>
  <c r="P33" i="12"/>
  <c r="M33" i="12"/>
  <c r="S51" i="12" l="1"/>
  <c r="P51" i="12"/>
  <c r="M51" i="12"/>
  <c r="S50" i="12"/>
  <c r="P50" i="12"/>
  <c r="M50" i="12"/>
  <c r="S49" i="12"/>
  <c r="P49" i="12"/>
  <c r="M49" i="12"/>
  <c r="S48" i="12"/>
  <c r="P48" i="12"/>
  <c r="M48" i="12"/>
  <c r="S47" i="12"/>
  <c r="P47" i="12"/>
  <c r="M47" i="12"/>
  <c r="S46" i="12"/>
  <c r="P46" i="12"/>
  <c r="M46" i="12"/>
  <c r="S37" i="12"/>
  <c r="P37" i="12"/>
  <c r="S32" i="12"/>
  <c r="P32" i="12"/>
  <c r="P31" i="12"/>
  <c r="S27" i="12"/>
  <c r="P27" i="12"/>
  <c r="S23" i="12"/>
  <c r="S30" i="12" s="1"/>
  <c r="P23" i="12"/>
  <c r="S31" i="12"/>
  <c r="M31" i="12"/>
  <c r="S19" i="12"/>
  <c r="S36" i="12" s="1"/>
  <c r="P19" i="12"/>
  <c r="P36" i="12" s="1"/>
  <c r="M19" i="12"/>
  <c r="S17" i="12"/>
  <c r="S26" i="12" s="1"/>
  <c r="P17" i="12"/>
  <c r="M17" i="12"/>
  <c r="S11" i="12"/>
  <c r="S15" i="12" s="1"/>
  <c r="P11" i="12"/>
  <c r="P15" i="12" s="1"/>
  <c r="S45" i="12" l="1"/>
  <c r="P45" i="12"/>
  <c r="P44" i="12"/>
  <c r="M18" i="12"/>
  <c r="S35" i="12"/>
  <c r="S52" i="12" s="1"/>
  <c r="P18" i="12"/>
  <c r="P30" i="12" s="1"/>
  <c r="P35" i="12" s="1"/>
  <c r="P52" i="12" s="1"/>
  <c r="S44" i="12"/>
  <c r="M23" i="12"/>
  <c r="M24" i="12"/>
  <c r="M36" i="12" s="1"/>
  <c r="P26" i="12"/>
  <c r="M27" i="12"/>
  <c r="M44" i="12" s="1"/>
  <c r="M32" i="12"/>
  <c r="M37" i="12"/>
  <c r="M22" i="12"/>
  <c r="M26" i="12" s="1"/>
  <c r="M30" i="12" l="1"/>
  <c r="M11" i="12"/>
  <c r="M15" i="12" s="1"/>
  <c r="M35" i="12"/>
  <c r="M52" i="12" s="1"/>
  <c r="M45" i="12"/>
  <c r="X12" i="7"/>
  <c r="X16" i="7" s="1"/>
  <c r="X18" i="7" s="1"/>
  <c r="X29" i="7" s="1"/>
  <c r="X31" i="7"/>
  <c r="X22" i="7"/>
  <c r="X23" i="7" s="1"/>
  <c r="X30" i="7" l="1"/>
  <c r="L31" i="7" l="1"/>
  <c r="O31" i="7"/>
  <c r="U31" i="7"/>
  <c r="U22" i="7"/>
  <c r="U23" i="7" s="1"/>
  <c r="U12" i="7"/>
  <c r="U16" i="7" s="1"/>
  <c r="R18" i="7"/>
  <c r="R22" i="7"/>
  <c r="R23" i="7" s="1"/>
  <c r="O22" i="7"/>
  <c r="O23" i="7" s="1"/>
  <c r="O11" i="7"/>
  <c r="D34" i="7"/>
  <c r="C34" i="7"/>
  <c r="C25" i="7"/>
  <c r="C21" i="7"/>
  <c r="C26" i="7" s="1"/>
  <c r="C20" i="7"/>
  <c r="L13" i="7"/>
  <c r="L12" i="7"/>
  <c r="R25" i="7" l="1"/>
  <c r="R27" i="7"/>
  <c r="R31" i="7" s="1"/>
  <c r="C22" i="7"/>
  <c r="C38" i="7" s="1"/>
  <c r="U18" i="7"/>
  <c r="U29" i="7" s="1"/>
  <c r="O12" i="7"/>
  <c r="O18" i="7" s="1"/>
  <c r="O19" i="7" s="1"/>
  <c r="O30" i="7" s="1"/>
  <c r="O13" i="7"/>
  <c r="L16" i="7"/>
  <c r="L18" i="7" s="1"/>
  <c r="L19" i="7" s="1"/>
  <c r="L30" i="7" s="1"/>
  <c r="C27" i="7"/>
  <c r="C39" i="7" s="1"/>
  <c r="R13" i="7"/>
  <c r="R29" i="7" l="1"/>
  <c r="R26" i="7"/>
  <c r="O29" i="7"/>
  <c r="L29" i="7"/>
  <c r="R16" i="7"/>
  <c r="U19" i="7"/>
  <c r="U30" i="7" s="1"/>
  <c r="O16" i="7"/>
  <c r="R19" i="7"/>
  <c r="R30" i="7" s="1"/>
  <c r="O6" i="2" l="1"/>
  <c r="O7" i="2" l="1"/>
  <c r="O9" i="2" s="1"/>
  <c r="O27" i="2" s="1"/>
  <c r="O8" i="2"/>
  <c r="B6" i="2"/>
  <c r="B27" i="2" s="1"/>
  <c r="B31" i="2" s="1"/>
  <c r="R6" i="2"/>
  <c r="L6" i="2"/>
  <c r="B17" i="2"/>
  <c r="B14" i="2" l="1"/>
  <c r="O36" i="2"/>
  <c r="L7" i="2"/>
  <c r="L9" i="2" s="1"/>
  <c r="L8" i="2"/>
  <c r="O11" i="2"/>
  <c r="O14" i="2" s="1"/>
  <c r="U7" i="2"/>
  <c r="R7" i="2"/>
  <c r="X7" i="2"/>
  <c r="B24" i="2"/>
  <c r="U9" i="2" l="1"/>
  <c r="U27" i="2" s="1"/>
  <c r="R8" i="2"/>
  <c r="R20" i="2" s="1"/>
  <c r="X8" i="2"/>
  <c r="X20" i="2" s="1"/>
  <c r="R9" i="2"/>
  <c r="R27" i="2" s="1"/>
  <c r="X9" i="2"/>
  <c r="X27" i="2" s="1"/>
  <c r="U8" i="2"/>
  <c r="U20" i="2" s="1"/>
  <c r="U35" i="2" s="1"/>
  <c r="O24" i="2"/>
  <c r="O25" i="2"/>
  <c r="O23" i="2"/>
  <c r="O13" i="2"/>
  <c r="O17" i="2" s="1"/>
  <c r="L11" i="2"/>
  <c r="L13" i="2" s="1"/>
  <c r="L17" i="2" s="1"/>
  <c r="X11" i="2" l="1"/>
  <c r="X13" i="2" s="1"/>
  <c r="U11" i="2"/>
  <c r="U14" i="2" s="1"/>
  <c r="U25" i="2" s="1"/>
  <c r="R11" i="2"/>
  <c r="R13" i="2" s="1"/>
  <c r="R19" i="2" s="1"/>
  <c r="O18" i="2"/>
  <c r="O32" i="2" s="1"/>
  <c r="O26" i="2"/>
  <c r="O34" i="2" s="1"/>
  <c r="O19" i="2"/>
  <c r="O33" i="2" s="1"/>
  <c r="U36" i="2"/>
  <c r="X14" i="2"/>
  <c r="O35" i="2"/>
  <c r="X35" i="2"/>
  <c r="R35" i="2"/>
  <c r="L14" i="2"/>
  <c r="L23" i="2" s="1"/>
  <c r="U24" i="2" l="1"/>
  <c r="U26" i="2" s="1"/>
  <c r="U34" i="2" s="1"/>
  <c r="R18" i="2"/>
  <c r="R21" i="2" s="1"/>
  <c r="U13" i="2"/>
  <c r="U18" i="2" s="1"/>
  <c r="U23" i="2"/>
  <c r="R14" i="2"/>
  <c r="R24" i="2" s="1"/>
  <c r="R17" i="2"/>
  <c r="X24" i="2"/>
  <c r="X25" i="2"/>
  <c r="O21" i="2"/>
  <c r="X18" i="2"/>
  <c r="X19" i="2"/>
  <c r="O29" i="2"/>
  <c r="X17" i="2"/>
  <c r="X23" i="2"/>
  <c r="X36" i="2"/>
  <c r="R36" i="2"/>
  <c r="U29" i="2" l="1"/>
  <c r="U32" i="2"/>
  <c r="U17" i="2"/>
  <c r="R25" i="2"/>
  <c r="R33" i="2" s="1"/>
  <c r="R23" i="2"/>
  <c r="U19" i="2"/>
  <c r="U33" i="2" s="1"/>
  <c r="X21" i="2"/>
  <c r="X33" i="2"/>
  <c r="X26" i="2"/>
  <c r="X34" i="2" s="1"/>
  <c r="X32" i="2"/>
  <c r="R32" i="2"/>
  <c r="U21" i="2" l="1"/>
  <c r="R26" i="2"/>
  <c r="R34" i="2" s="1"/>
  <c r="X29" i="2"/>
  <c r="R29" i="2" l="1"/>
</calcChain>
</file>

<file path=xl/comments1.xml><?xml version="1.0" encoding="utf-8"?>
<comments xmlns="http://schemas.openxmlformats.org/spreadsheetml/2006/main">
  <authors>
    <author>Rothleder, Mark</author>
  </authors>
  <commentList>
    <comment ref="O45" authorId="0" shapeId="0">
      <text>
        <r>
          <rPr>
            <b/>
            <sz val="9"/>
            <color indexed="81"/>
            <rFont val="Tahoma"/>
            <charset val="1"/>
          </rPr>
          <t>Rothleder, Mark:</t>
        </r>
        <r>
          <rPr>
            <sz val="9"/>
            <color indexed="81"/>
            <rFont val="Tahoma"/>
            <charset val="1"/>
          </rPr>
          <t xml:space="preserve">
This alternative can create a shortfall for LSE1 who has transfer all the way thtouigh.
</t>
        </r>
      </text>
    </comment>
  </commentList>
</comments>
</file>

<file path=xl/comments2.xml><?xml version="1.0" encoding="utf-8"?>
<comments xmlns="http://schemas.openxmlformats.org/spreadsheetml/2006/main">
  <authors>
    <author>Lynn, James</author>
  </authors>
  <commentList>
    <comment ref="X18" authorId="0" shapeId="0">
      <text>
        <r>
          <rPr>
            <b/>
            <sz val="9"/>
            <color indexed="81"/>
            <rFont val="Tahoma"/>
            <family val="2"/>
          </rPr>
          <t>Lynn, James:</t>
        </r>
        <r>
          <rPr>
            <sz val="9"/>
            <color indexed="81"/>
            <rFont val="Tahoma"/>
            <family val="2"/>
          </rPr>
          <t xml:space="preserve">
Why is all the revenue going to BA-A? What is the criteris for determining who the transfer revenue belongs to?
</t>
        </r>
      </text>
    </comment>
  </commentList>
</comments>
</file>

<file path=xl/sharedStrings.xml><?xml version="1.0" encoding="utf-8"?>
<sst xmlns="http://schemas.openxmlformats.org/spreadsheetml/2006/main" count="523" uniqueCount="101">
  <si>
    <t>TC2</t>
  </si>
  <si>
    <t>TPA</t>
  </si>
  <si>
    <t>TC3</t>
  </si>
  <si>
    <t>TPB</t>
  </si>
  <si>
    <t>MW</t>
  </si>
  <si>
    <t>Usage</t>
  </si>
  <si>
    <t>BA-A</t>
  </si>
  <si>
    <t>BA-B</t>
  </si>
  <si>
    <t>Transfer Revenue</t>
  </si>
  <si>
    <t>BA-A Price</t>
  </si>
  <si>
    <t>BA-B Price</t>
  </si>
  <si>
    <t>Physical Limit (MW)</t>
  </si>
  <si>
    <t>Scheduling Limit (MW)</t>
  </si>
  <si>
    <t>Transfer Qty (MW)</t>
  </si>
  <si>
    <t>BA-A Hurdle Free</t>
  </si>
  <si>
    <t>BA-B Hurdle Free</t>
  </si>
  <si>
    <t>Maximum Hurdle Free</t>
  </si>
  <si>
    <t>Price Differential</t>
  </si>
  <si>
    <t>BA-A Hurdle Only</t>
  </si>
  <si>
    <t>Payment to TPA</t>
  </si>
  <si>
    <t>Remaining Transfer Revenue</t>
  </si>
  <si>
    <t>TC4</t>
  </si>
  <si>
    <t>TPC</t>
  </si>
  <si>
    <t>Non EDAM BAA</t>
  </si>
  <si>
    <t>Bid</t>
  </si>
  <si>
    <t>BA-C Hurdle Free</t>
  </si>
  <si>
    <t>BA-A Hurdle</t>
  </si>
  <si>
    <t>BA-C Hurdle</t>
  </si>
  <si>
    <t>BA-C Price</t>
  </si>
  <si>
    <t>Non-EDAM BAA Bid Price</t>
  </si>
  <si>
    <t>BA-A Share</t>
  </si>
  <si>
    <t>BA-C Share</t>
  </si>
  <si>
    <t>Payment to TPC</t>
  </si>
  <si>
    <t>EDAM BA-A</t>
  </si>
  <si>
    <t>EDAM BA-C</t>
  </si>
  <si>
    <t>BA-B Share (CAISO)</t>
  </si>
  <si>
    <t>BA-B Congestion Revenue</t>
  </si>
  <si>
    <t>ITC limit</t>
  </si>
  <si>
    <t>Import Qty (MW)</t>
  </si>
  <si>
    <t>ITC Shadow Price</t>
  </si>
  <si>
    <t>ITC Binding</t>
  </si>
  <si>
    <t>No</t>
  </si>
  <si>
    <t>Yes</t>
  </si>
  <si>
    <t>Transfer limit: ETSR1 &amp; ETSR2</t>
  </si>
  <si>
    <t>Transfer limit: ETSR3</t>
  </si>
  <si>
    <t>Transfer limit: ETSR4</t>
  </si>
  <si>
    <t>Transfer Limit:  ETSR1&amp;2 Binding</t>
  </si>
  <si>
    <t>BA-B (CAISO)</t>
  </si>
  <si>
    <t>Intertie Import Bid</t>
  </si>
  <si>
    <t>BA-A Total</t>
  </si>
  <si>
    <t>BA-B Total</t>
  </si>
  <si>
    <t>BA-A  Share</t>
  </si>
  <si>
    <t>BA-B Share</t>
  </si>
  <si>
    <t>BA-C Total</t>
  </si>
  <si>
    <t>Transfer Limit:  ETSR1 Binding</t>
  </si>
  <si>
    <t>Transfer Limiit: ETSR2 Binding</t>
  </si>
  <si>
    <t>Transfer limit:  ETSR2</t>
  </si>
  <si>
    <t>Transfer limit: ETSR</t>
  </si>
  <si>
    <t>Please review comments for additional explanations.</t>
  </si>
  <si>
    <t>Scenario 1</t>
  </si>
  <si>
    <t>Scenario 2</t>
  </si>
  <si>
    <t>Scenario 3</t>
  </si>
  <si>
    <t>Scenario 4</t>
  </si>
  <si>
    <t>Scenario 5</t>
  </si>
  <si>
    <t>LSE1 (TC1)</t>
  </si>
  <si>
    <t>LSE2 (TC2)</t>
  </si>
  <si>
    <t>-LSE1 (TC1)</t>
  </si>
  <si>
    <t>-TC2</t>
  </si>
  <si>
    <t>-TPA</t>
  </si>
  <si>
    <t>-TC3</t>
  </si>
  <si>
    <t>-TPB</t>
  </si>
  <si>
    <t>Alt 1: Proportioanl to Transfer MW</t>
  </si>
  <si>
    <t>LSE1</t>
  </si>
  <si>
    <t>LSE2</t>
  </si>
  <si>
    <t>CRR Surplus</t>
  </si>
  <si>
    <t>Total Allcoation</t>
  </si>
  <si>
    <t>Total Allocation</t>
  </si>
  <si>
    <t>Total</t>
  </si>
  <si>
    <t>Scenario 2C: 
(No sharing of ITC or ETSR)</t>
  </si>
  <si>
    <t>Scenario 2B: 
(Share ETSR but ITC to BA-B )</t>
  </si>
  <si>
    <t>Scenario 2a: 
(Share ETSR &amp; Share ITC)</t>
  </si>
  <si>
    <t>Scenario 3A: 
(Share ETSR &amp; Share ITC)</t>
  </si>
  <si>
    <t>Scenario 3B: 
(Share ETSR but ITC to BA-B )</t>
  </si>
  <si>
    <t>Scenario 3C: 
(No sharing of ITC or ETSR)</t>
  </si>
  <si>
    <t>BA-B Hurdle Only</t>
  </si>
  <si>
    <t>Maximum Hurdle Rate</t>
  </si>
  <si>
    <t>EIM TRANSFER 1 (ETSR1)</t>
  </si>
  <si>
    <t>EIM TRANSFER 2 (ETSR2)</t>
  </si>
  <si>
    <t>EIM TRANSFER 3 (ETSR3)</t>
  </si>
  <si>
    <t>EIM TRANSFER 4 (ETSR4)</t>
  </si>
  <si>
    <t>Transfer limit: ETSR1</t>
  </si>
  <si>
    <t>BA-B Hurdle</t>
  </si>
  <si>
    <t>Import Qty (MW) BA-B</t>
  </si>
  <si>
    <t>Payment to TPB</t>
  </si>
  <si>
    <t>Total allocation</t>
  </si>
  <si>
    <t>Non-EDAM BAA Price</t>
  </si>
  <si>
    <t>Limit</t>
  </si>
  <si>
    <t>Transmission used</t>
  </si>
  <si>
    <t>CRR Shortfall Account</t>
  </si>
  <si>
    <t>CRR Shortfall</t>
  </si>
  <si>
    <t>ITC Shadow Congestion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</si>
</sst>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44" fontId="0" fillId="0" borderId="0" xfId="1" applyFon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/>
    <xf numFmtId="44" fontId="0" fillId="0" borderId="0" xfId="1" applyFont="1" applyFill="1"/>
    <xf numFmtId="0" fontId="0" fillId="0" borderId="1" xfId="0" applyFill="1" applyBorder="1"/>
    <xf numFmtId="44" fontId="0" fillId="0" borderId="1" xfId="1" applyFont="1" applyFill="1" applyBorder="1"/>
    <xf numFmtId="0" fontId="0" fillId="0" borderId="0" xfId="0" applyBorder="1"/>
    <xf numFmtId="44" fontId="0" fillId="0" borderId="1" xfId="1" applyFont="1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0" fontId="0" fillId="0" borderId="4" xfId="0" applyFill="1" applyBorder="1"/>
    <xf numFmtId="0" fontId="0" fillId="0" borderId="8" xfId="0" applyBorder="1" applyAlignment="1">
      <alignment horizontal="center"/>
    </xf>
    <xf numFmtId="44" fontId="0" fillId="0" borderId="7" xfId="1" applyFont="1" applyFill="1" applyBorder="1"/>
    <xf numFmtId="44" fontId="0" fillId="0" borderId="9" xfId="1" applyFont="1" applyFill="1" applyBorder="1"/>
    <xf numFmtId="44" fontId="0" fillId="0" borderId="7" xfId="1" applyFont="1" applyBorder="1"/>
    <xf numFmtId="0" fontId="0" fillId="0" borderId="5" xfId="0" applyBorder="1"/>
    <xf numFmtId="0" fontId="0" fillId="0" borderId="4" xfId="0" applyBorder="1"/>
    <xf numFmtId="0" fontId="0" fillId="0" borderId="10" xfId="0" applyFill="1" applyBorder="1"/>
    <xf numFmtId="44" fontId="0" fillId="0" borderId="11" xfId="1" applyFont="1" applyBorder="1"/>
    <xf numFmtId="44" fontId="0" fillId="2" borderId="9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quotePrefix="1"/>
    <xf numFmtId="0" fontId="0" fillId="0" borderId="3" xfId="0" applyBorder="1" applyAlignment="1">
      <alignment horizontal="center"/>
    </xf>
    <xf numFmtId="0" fontId="0" fillId="3" borderId="0" xfId="0" applyFill="1"/>
    <xf numFmtId="44" fontId="0" fillId="3" borderId="0" xfId="0" applyNumberFormat="1" applyFill="1"/>
    <xf numFmtId="0" fontId="0" fillId="3" borderId="0" xfId="0" applyFill="1" applyBorder="1"/>
    <xf numFmtId="44" fontId="0" fillId="3" borderId="0" xfId="1" applyFont="1" applyFill="1"/>
    <xf numFmtId="0" fontId="0" fillId="3" borderId="0" xfId="0" quotePrefix="1" applyFill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left" indent="1"/>
    </xf>
    <xf numFmtId="0" fontId="0" fillId="0" borderId="12" xfId="0" applyFill="1" applyBorder="1"/>
    <xf numFmtId="44" fontId="0" fillId="0" borderId="12" xfId="1" applyFont="1" applyBorder="1"/>
    <xf numFmtId="0" fontId="0" fillId="0" borderId="12" xfId="0" applyNumberFormat="1" applyBorder="1"/>
    <xf numFmtId="44" fontId="0" fillId="0" borderId="12" xfId="0" applyNumberFormat="1" applyBorder="1"/>
    <xf numFmtId="0" fontId="6" fillId="0" borderId="12" xfId="0" applyFont="1" applyBorder="1"/>
    <xf numFmtId="0" fontId="6" fillId="0" borderId="0" xfId="0" applyFont="1" applyBorder="1"/>
    <xf numFmtId="44" fontId="0" fillId="0" borderId="0" xfId="1" applyFont="1" applyBorder="1"/>
    <xf numFmtId="44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0" applyNumberFormat="1" applyFill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4</xdr:col>
      <xdr:colOff>38100</xdr:colOff>
      <xdr:row>35</xdr:row>
      <xdr:rowOff>47625</xdr:rowOff>
    </xdr:to>
    <xdr:pic>
      <xdr:nvPicPr>
        <xdr:cNvPr id="3" name="Picture 2" descr="CAISOLogo-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334327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118533</xdr:colOff>
      <xdr:row>11</xdr:row>
      <xdr:rowOff>152400</xdr:rowOff>
    </xdr:from>
    <xdr:to>
      <xdr:col>8</xdr:col>
      <xdr:colOff>182033</xdr:colOff>
      <xdr:row>18</xdr:row>
      <xdr:rowOff>114300</xdr:rowOff>
    </xdr:to>
    <xdr:sp macro="" textlink="">
      <xdr:nvSpPr>
        <xdr:cNvPr id="4" name="Oval 3"/>
        <xdr:cNvSpPr/>
      </xdr:nvSpPr>
      <xdr:spPr>
        <a:xfrm>
          <a:off x="4927600" y="2159000"/>
          <a:ext cx="1350433" cy="12361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BA--B</a:t>
          </a:r>
          <a:r>
            <a:rPr lang="en-US" sz="1100" baseline="0"/>
            <a:t> </a:t>
          </a:r>
        </a:p>
        <a:p>
          <a:pPr algn="ctr"/>
          <a:endParaRPr lang="en-US" sz="1100"/>
        </a:p>
      </xdr:txBody>
    </xdr:sp>
    <xdr:clientData/>
  </xdr:twoCellAnchor>
  <xdr:twoCellAnchor>
    <xdr:from>
      <xdr:col>6</xdr:col>
      <xdr:colOff>143933</xdr:colOff>
      <xdr:row>3</xdr:row>
      <xdr:rowOff>12700</xdr:rowOff>
    </xdr:from>
    <xdr:to>
      <xdr:col>8</xdr:col>
      <xdr:colOff>207433</xdr:colOff>
      <xdr:row>9</xdr:row>
      <xdr:rowOff>152400</xdr:rowOff>
    </xdr:to>
    <xdr:sp macro="" textlink="">
      <xdr:nvSpPr>
        <xdr:cNvPr id="5" name="Oval 4"/>
        <xdr:cNvSpPr/>
      </xdr:nvSpPr>
      <xdr:spPr>
        <a:xfrm>
          <a:off x="4953000" y="558800"/>
          <a:ext cx="1350433" cy="12361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BA-A</a:t>
          </a:r>
          <a:r>
            <a:rPr lang="en-US" sz="1100" baseline="0"/>
            <a:t> </a:t>
          </a:r>
        </a:p>
        <a:p>
          <a:pPr algn="ctr"/>
          <a:endParaRPr lang="en-US" sz="1100"/>
        </a:p>
      </xdr:txBody>
    </xdr:sp>
    <xdr:clientData/>
  </xdr:twoCellAnchor>
  <xdr:twoCellAnchor>
    <xdr:from>
      <xdr:col>6</xdr:col>
      <xdr:colOff>482599</xdr:colOff>
      <xdr:row>9</xdr:row>
      <xdr:rowOff>50800</xdr:rowOff>
    </xdr:from>
    <xdr:to>
      <xdr:col>6</xdr:col>
      <xdr:colOff>486832</xdr:colOff>
      <xdr:row>12</xdr:row>
      <xdr:rowOff>55034</xdr:rowOff>
    </xdr:to>
    <xdr:cxnSp macro="">
      <xdr:nvCxnSpPr>
        <xdr:cNvPr id="2" name="Straight Arrow Connector 1"/>
        <xdr:cNvCxnSpPr/>
      </xdr:nvCxnSpPr>
      <xdr:spPr>
        <a:xfrm flipH="1">
          <a:off x="5291666" y="1693333"/>
          <a:ext cx="4233" cy="550334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474134</xdr:colOff>
      <xdr:row>9</xdr:row>
      <xdr:rowOff>67734</xdr:rowOff>
    </xdr:from>
    <xdr:to>
      <xdr:col>7</xdr:col>
      <xdr:colOff>478367</xdr:colOff>
      <xdr:row>12</xdr:row>
      <xdr:rowOff>71968</xdr:rowOff>
    </xdr:to>
    <xdr:cxnSp macro="">
      <xdr:nvCxnSpPr>
        <xdr:cNvPr id="9" name="Straight Arrow Connector 8"/>
        <xdr:cNvCxnSpPr/>
      </xdr:nvCxnSpPr>
      <xdr:spPr>
        <a:xfrm flipH="1">
          <a:off x="5926667" y="1710267"/>
          <a:ext cx="4233" cy="550334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410633</xdr:colOff>
      <xdr:row>9</xdr:row>
      <xdr:rowOff>42334</xdr:rowOff>
    </xdr:from>
    <xdr:to>
      <xdr:col>6</xdr:col>
      <xdr:colOff>638292</xdr:colOff>
      <xdr:row>12</xdr:row>
      <xdr:rowOff>63854</xdr:rowOff>
    </xdr:to>
    <xdr:sp macro="" textlink="">
      <xdr:nvSpPr>
        <xdr:cNvPr id="11" name="TextBox 10"/>
        <xdr:cNvSpPr txBox="1"/>
      </xdr:nvSpPr>
      <xdr:spPr>
        <a:xfrm>
          <a:off x="4576233" y="1684867"/>
          <a:ext cx="871126" cy="56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ETSR1</a:t>
          </a:r>
        </a:p>
      </xdr:txBody>
    </xdr:sp>
    <xdr:clientData/>
  </xdr:twoCellAnchor>
  <xdr:twoCellAnchor>
    <xdr:from>
      <xdr:col>7</xdr:col>
      <xdr:colOff>486834</xdr:colOff>
      <xdr:row>9</xdr:row>
      <xdr:rowOff>148166</xdr:rowOff>
    </xdr:from>
    <xdr:to>
      <xdr:col>9</xdr:col>
      <xdr:colOff>71026</xdr:colOff>
      <xdr:row>12</xdr:row>
      <xdr:rowOff>169686</xdr:rowOff>
    </xdr:to>
    <xdr:sp macro="" textlink="">
      <xdr:nvSpPr>
        <xdr:cNvPr id="12" name="TextBox 11"/>
        <xdr:cNvSpPr txBox="1"/>
      </xdr:nvSpPr>
      <xdr:spPr>
        <a:xfrm>
          <a:off x="5939367" y="1790699"/>
          <a:ext cx="871126" cy="56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161925</xdr:rowOff>
    </xdr:from>
    <xdr:to>
      <xdr:col>8</xdr:col>
      <xdr:colOff>361951</xdr:colOff>
      <xdr:row>13</xdr:row>
      <xdr:rowOff>38100</xdr:rowOff>
    </xdr:to>
    <xdr:cxnSp macro="">
      <xdr:nvCxnSpPr>
        <xdr:cNvPr id="2" name="Straight Arrow Connector 1"/>
        <xdr:cNvCxnSpPr/>
      </xdr:nvCxnSpPr>
      <xdr:spPr>
        <a:xfrm flipH="1">
          <a:off x="6267450" y="161925"/>
          <a:ext cx="1" cy="21717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61853</xdr:colOff>
      <xdr:row>19</xdr:row>
      <xdr:rowOff>180152</xdr:rowOff>
    </xdr:from>
    <xdr:to>
      <xdr:col>7</xdr:col>
      <xdr:colOff>576203</xdr:colOff>
      <xdr:row>33</xdr:row>
      <xdr:rowOff>6233</xdr:rowOff>
    </xdr:to>
    <xdr:sp macro="" textlink="">
      <xdr:nvSpPr>
        <xdr:cNvPr id="3" name="Oval 2"/>
        <xdr:cNvSpPr/>
      </xdr:nvSpPr>
      <xdr:spPr>
        <a:xfrm>
          <a:off x="4408075" y="3858449"/>
          <a:ext cx="1803165" cy="249778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  <a:p>
          <a:pPr algn="ctr"/>
          <a:r>
            <a:rPr lang="en-US" sz="1100"/>
            <a:t>BA--B</a:t>
          </a:r>
          <a:r>
            <a:rPr lang="en-US" sz="1100" baseline="0"/>
            <a:t> </a:t>
          </a: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442501</xdr:colOff>
      <xdr:row>19</xdr:row>
      <xdr:rowOff>155222</xdr:rowOff>
    </xdr:from>
    <xdr:to>
      <xdr:col>8</xdr:col>
      <xdr:colOff>90076</xdr:colOff>
      <xdr:row>19</xdr:row>
      <xdr:rowOff>155222</xdr:rowOff>
    </xdr:to>
    <xdr:cxnSp macro="">
      <xdr:nvCxnSpPr>
        <xdr:cNvPr id="6" name="Straight Connector 5"/>
        <xdr:cNvCxnSpPr/>
      </xdr:nvCxnSpPr>
      <xdr:spPr>
        <a:xfrm>
          <a:off x="4144315" y="3828814"/>
          <a:ext cx="222520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10</xdr:row>
      <xdr:rowOff>76200</xdr:rowOff>
    </xdr:from>
    <xdr:to>
      <xdr:col>5</xdr:col>
      <xdr:colOff>361950</xdr:colOff>
      <xdr:row>14</xdr:row>
      <xdr:rowOff>76200</xdr:rowOff>
    </xdr:to>
    <xdr:sp macro="" textlink="">
      <xdr:nvSpPr>
        <xdr:cNvPr id="7" name="Oval 6"/>
        <xdr:cNvSpPr/>
      </xdr:nvSpPr>
      <xdr:spPr>
        <a:xfrm>
          <a:off x="3657600" y="1800225"/>
          <a:ext cx="781050" cy="762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EDAM-BA-A</a:t>
          </a:r>
        </a:p>
      </xdr:txBody>
    </xdr:sp>
    <xdr:clientData/>
  </xdr:twoCellAnchor>
  <xdr:twoCellAnchor>
    <xdr:from>
      <xdr:col>5</xdr:col>
      <xdr:colOff>600075</xdr:colOff>
      <xdr:row>10</xdr:row>
      <xdr:rowOff>76200</xdr:rowOff>
    </xdr:from>
    <xdr:to>
      <xdr:col>7</xdr:col>
      <xdr:colOff>161925</xdr:colOff>
      <xdr:row>14</xdr:row>
      <xdr:rowOff>76200</xdr:rowOff>
    </xdr:to>
    <xdr:sp macro="" textlink="">
      <xdr:nvSpPr>
        <xdr:cNvPr id="8" name="Oval 7"/>
        <xdr:cNvSpPr/>
      </xdr:nvSpPr>
      <xdr:spPr>
        <a:xfrm>
          <a:off x="4676775" y="1800225"/>
          <a:ext cx="781050" cy="762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EDAM-BA-C</a:t>
          </a:r>
        </a:p>
      </xdr:txBody>
    </xdr:sp>
    <xdr:clientData/>
  </xdr:twoCellAnchor>
  <xdr:twoCellAnchor>
    <xdr:from>
      <xdr:col>5</xdr:col>
      <xdr:colOff>142875</xdr:colOff>
      <xdr:row>14</xdr:row>
      <xdr:rowOff>38100</xdr:rowOff>
    </xdr:from>
    <xdr:to>
      <xdr:col>6</xdr:col>
      <xdr:colOff>192851</xdr:colOff>
      <xdr:row>19</xdr:row>
      <xdr:rowOff>117593</xdr:rowOff>
    </xdr:to>
    <xdr:cxnSp macro="">
      <xdr:nvCxnSpPr>
        <xdr:cNvPr id="9" name="Straight Arrow Connector 8"/>
        <xdr:cNvCxnSpPr/>
      </xdr:nvCxnSpPr>
      <xdr:spPr>
        <a:xfrm>
          <a:off x="4489097" y="2794470"/>
          <a:ext cx="694384" cy="9967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14</xdr:row>
      <xdr:rowOff>76200</xdr:rowOff>
    </xdr:from>
    <xdr:to>
      <xdr:col>6</xdr:col>
      <xdr:colOff>418629</xdr:colOff>
      <xdr:row>19</xdr:row>
      <xdr:rowOff>108186</xdr:rowOff>
    </xdr:to>
    <xdr:cxnSp macro="">
      <xdr:nvCxnSpPr>
        <xdr:cNvPr id="10" name="Straight Arrow Connector 9"/>
        <xdr:cNvCxnSpPr>
          <a:stCxn id="8" idx="4"/>
        </xdr:cNvCxnSpPr>
      </xdr:nvCxnSpPr>
      <xdr:spPr>
        <a:xfrm>
          <a:off x="5371630" y="2832570"/>
          <a:ext cx="37629" cy="94920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370769</xdr:colOff>
      <xdr:row>19</xdr:row>
      <xdr:rowOff>112889</xdr:rowOff>
    </xdr:from>
    <xdr:to>
      <xdr:col>6</xdr:col>
      <xdr:colOff>390407</xdr:colOff>
      <xdr:row>21</xdr:row>
      <xdr:rowOff>90782</xdr:rowOff>
    </xdr:to>
    <xdr:cxnSp macro="">
      <xdr:nvCxnSpPr>
        <xdr:cNvPr id="11" name="Straight Arrow Connector 10"/>
        <xdr:cNvCxnSpPr/>
      </xdr:nvCxnSpPr>
      <xdr:spPr>
        <a:xfrm flipH="1">
          <a:off x="5361399" y="3786481"/>
          <a:ext cx="19638" cy="34478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437209</xdr:colOff>
      <xdr:row>20</xdr:row>
      <xdr:rowOff>44215</xdr:rowOff>
    </xdr:from>
    <xdr:to>
      <xdr:col>6</xdr:col>
      <xdr:colOff>599134</xdr:colOff>
      <xdr:row>20</xdr:row>
      <xdr:rowOff>180034</xdr:rowOff>
    </xdr:to>
    <xdr:sp macro="" textlink="">
      <xdr:nvSpPr>
        <xdr:cNvPr id="12" name="Arc 11"/>
        <xdr:cNvSpPr/>
      </xdr:nvSpPr>
      <xdr:spPr>
        <a:xfrm>
          <a:off x="4783431" y="3901252"/>
          <a:ext cx="806333" cy="135819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336667</xdr:colOff>
      <xdr:row>20</xdr:row>
      <xdr:rowOff>161102</xdr:rowOff>
    </xdr:from>
    <xdr:to>
      <xdr:col>7</xdr:col>
      <xdr:colOff>609599</xdr:colOff>
      <xdr:row>21</xdr:row>
      <xdr:rowOff>180152</xdr:rowOff>
    </xdr:to>
    <xdr:sp macro="" textlink="">
      <xdr:nvSpPr>
        <xdr:cNvPr id="13" name="TextBox 12"/>
        <xdr:cNvSpPr txBox="1"/>
      </xdr:nvSpPr>
      <xdr:spPr>
        <a:xfrm>
          <a:off x="5327297" y="4018139"/>
          <a:ext cx="917339" cy="202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ITC</a:t>
          </a:r>
          <a:r>
            <a:rPr lang="en-US" sz="1100" baseline="0"/>
            <a:t> limit</a:t>
          </a:r>
          <a:endParaRPr lang="en-US" sz="1100"/>
        </a:p>
      </xdr:txBody>
    </xdr:sp>
    <xdr:clientData/>
  </xdr:twoCellAnchor>
  <xdr:twoCellAnchor>
    <xdr:from>
      <xdr:col>4</xdr:col>
      <xdr:colOff>230482</xdr:colOff>
      <xdr:row>14</xdr:row>
      <xdr:rowOff>123825</xdr:rowOff>
    </xdr:from>
    <xdr:to>
      <xdr:col>5</xdr:col>
      <xdr:colOff>183445</xdr:colOff>
      <xdr:row>17</xdr:row>
      <xdr:rowOff>56445</xdr:rowOff>
    </xdr:to>
    <xdr:sp macro="" textlink="">
      <xdr:nvSpPr>
        <xdr:cNvPr id="14" name="TextBox 13"/>
        <xdr:cNvSpPr txBox="1"/>
      </xdr:nvSpPr>
      <xdr:spPr>
        <a:xfrm>
          <a:off x="3932296" y="2880195"/>
          <a:ext cx="597371" cy="48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ETSR1</a:t>
          </a:r>
        </a:p>
        <a:p>
          <a:r>
            <a:rPr lang="en-US" sz="1100"/>
            <a:t>ETSR3</a:t>
          </a:r>
        </a:p>
      </xdr:txBody>
    </xdr:sp>
    <xdr:clientData/>
  </xdr:twoCellAnchor>
  <xdr:twoCellAnchor>
    <xdr:from>
      <xdr:col>6</xdr:col>
      <xdr:colOff>546452</xdr:colOff>
      <xdr:row>14</xdr:row>
      <xdr:rowOff>128411</xdr:rowOff>
    </xdr:from>
    <xdr:to>
      <xdr:col>7</xdr:col>
      <xdr:colOff>479778</xdr:colOff>
      <xdr:row>17</xdr:row>
      <xdr:rowOff>42334</xdr:rowOff>
    </xdr:to>
    <xdr:sp macro="" textlink="">
      <xdr:nvSpPr>
        <xdr:cNvPr id="15" name="TextBox 14"/>
        <xdr:cNvSpPr txBox="1"/>
      </xdr:nvSpPr>
      <xdr:spPr>
        <a:xfrm>
          <a:off x="5537082" y="2884781"/>
          <a:ext cx="577733" cy="464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ETSR2</a:t>
          </a:r>
        </a:p>
        <a:p>
          <a:r>
            <a:rPr lang="en-US" sz="1100"/>
            <a:t>ETSR4</a:t>
          </a:r>
        </a:p>
      </xdr:txBody>
    </xdr:sp>
    <xdr:clientData/>
  </xdr:twoCellAnchor>
  <xdr:twoCellAnchor>
    <xdr:from>
      <xdr:col>4</xdr:col>
      <xdr:colOff>342900</xdr:colOff>
      <xdr:row>15</xdr:row>
      <xdr:rowOff>171450</xdr:rowOff>
    </xdr:from>
    <xdr:to>
      <xdr:col>5</xdr:col>
      <xdr:colOff>504825</xdr:colOff>
      <xdr:row>16</xdr:row>
      <xdr:rowOff>123825</xdr:rowOff>
    </xdr:to>
    <xdr:sp macro="" textlink="">
      <xdr:nvSpPr>
        <xdr:cNvPr id="16" name="Arc 15"/>
        <xdr:cNvSpPr/>
      </xdr:nvSpPr>
      <xdr:spPr>
        <a:xfrm>
          <a:off x="3810000" y="2847975"/>
          <a:ext cx="771525" cy="142875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428625</xdr:colOff>
      <xdr:row>15</xdr:row>
      <xdr:rowOff>142875</xdr:rowOff>
    </xdr:from>
    <xdr:to>
      <xdr:col>6</xdr:col>
      <xdr:colOff>590550</xdr:colOff>
      <xdr:row>16</xdr:row>
      <xdr:rowOff>95250</xdr:rowOff>
    </xdr:to>
    <xdr:sp macro="" textlink="">
      <xdr:nvSpPr>
        <xdr:cNvPr id="17" name="Arc 16"/>
        <xdr:cNvSpPr/>
      </xdr:nvSpPr>
      <xdr:spPr>
        <a:xfrm>
          <a:off x="4505325" y="2819400"/>
          <a:ext cx="771525" cy="142875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23518</xdr:colOff>
      <xdr:row>41</xdr:row>
      <xdr:rowOff>14111</xdr:rowOff>
    </xdr:from>
    <xdr:to>
      <xdr:col>3</xdr:col>
      <xdr:colOff>509293</xdr:colOff>
      <xdr:row>44</xdr:row>
      <xdr:rowOff>57032</xdr:rowOff>
    </xdr:to>
    <xdr:pic>
      <xdr:nvPicPr>
        <xdr:cNvPr id="18" name="Picture 17" descr="CAISOLogo-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8" y="7836370"/>
          <a:ext cx="3543183" cy="597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161925</xdr:rowOff>
    </xdr:from>
    <xdr:to>
      <xdr:col>8</xdr:col>
      <xdr:colOff>361951</xdr:colOff>
      <xdr:row>13</xdr:row>
      <xdr:rowOff>38100</xdr:rowOff>
    </xdr:to>
    <xdr:cxnSp macro="">
      <xdr:nvCxnSpPr>
        <xdr:cNvPr id="2" name="Straight Arrow Connector 1"/>
        <xdr:cNvCxnSpPr/>
      </xdr:nvCxnSpPr>
      <xdr:spPr>
        <a:xfrm flipH="1">
          <a:off x="6635750" y="500592"/>
          <a:ext cx="1" cy="2064808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65617</xdr:colOff>
      <xdr:row>19</xdr:row>
      <xdr:rowOff>97366</xdr:rowOff>
    </xdr:from>
    <xdr:to>
      <xdr:col>7</xdr:col>
      <xdr:colOff>579967</xdr:colOff>
      <xdr:row>31</xdr:row>
      <xdr:rowOff>106891</xdr:rowOff>
    </xdr:to>
    <xdr:sp macro="" textlink="">
      <xdr:nvSpPr>
        <xdr:cNvPr id="3" name="Oval 2"/>
        <xdr:cNvSpPr/>
      </xdr:nvSpPr>
      <xdr:spPr>
        <a:xfrm>
          <a:off x="4409017" y="3721099"/>
          <a:ext cx="1801283" cy="227859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  <a:p>
          <a:pPr algn="ctr"/>
          <a:r>
            <a:rPr lang="en-US" sz="1100"/>
            <a:t>BA--B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(CAISO)</a:t>
          </a:r>
          <a:endParaRPr lang="en-US" sz="1100"/>
        </a:p>
      </xdr:txBody>
    </xdr:sp>
    <xdr:clientData/>
  </xdr:twoCellAnchor>
  <xdr:twoCellAnchor>
    <xdr:from>
      <xdr:col>7</xdr:col>
      <xdr:colOff>295275</xdr:colOff>
      <xdr:row>12</xdr:row>
      <xdr:rowOff>142875</xdr:rowOff>
    </xdr:from>
    <xdr:to>
      <xdr:col>8</xdr:col>
      <xdr:colOff>466725</xdr:colOff>
      <xdr:row>16</xdr:row>
      <xdr:rowOff>142875</xdr:rowOff>
    </xdr:to>
    <xdr:sp macro="" textlink="">
      <xdr:nvSpPr>
        <xdr:cNvPr id="4" name="Oval 3"/>
        <xdr:cNvSpPr/>
      </xdr:nvSpPr>
      <xdr:spPr>
        <a:xfrm>
          <a:off x="5925608" y="2488142"/>
          <a:ext cx="814917" cy="7281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Non-EDAM</a:t>
          </a:r>
        </a:p>
      </xdr:txBody>
    </xdr:sp>
    <xdr:clientData/>
  </xdr:twoCellAnchor>
  <xdr:twoCellAnchor>
    <xdr:from>
      <xdr:col>7</xdr:col>
      <xdr:colOff>51741</xdr:colOff>
      <xdr:row>16</xdr:row>
      <xdr:rowOff>35416</xdr:rowOff>
    </xdr:from>
    <xdr:to>
      <xdr:col>7</xdr:col>
      <xdr:colOff>414754</xdr:colOff>
      <xdr:row>19</xdr:row>
      <xdr:rowOff>47037</xdr:rowOff>
    </xdr:to>
    <xdr:cxnSp macro="">
      <xdr:nvCxnSpPr>
        <xdr:cNvPr id="5" name="Straight Arrow Connector 4"/>
        <xdr:cNvCxnSpPr>
          <a:stCxn id="4" idx="3"/>
        </xdr:cNvCxnSpPr>
      </xdr:nvCxnSpPr>
      <xdr:spPr>
        <a:xfrm flipH="1">
          <a:off x="5682074" y="3108816"/>
          <a:ext cx="363013" cy="56195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461315</xdr:colOff>
      <xdr:row>19</xdr:row>
      <xdr:rowOff>79964</xdr:rowOff>
    </xdr:from>
    <xdr:to>
      <xdr:col>8</xdr:col>
      <xdr:colOff>108890</xdr:colOff>
      <xdr:row>19</xdr:row>
      <xdr:rowOff>79964</xdr:rowOff>
    </xdr:to>
    <xdr:cxnSp macro="">
      <xdr:nvCxnSpPr>
        <xdr:cNvPr id="6" name="Straight Connector 5"/>
        <xdr:cNvCxnSpPr/>
      </xdr:nvCxnSpPr>
      <xdr:spPr>
        <a:xfrm>
          <a:off x="4161248" y="3703697"/>
          <a:ext cx="222144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10</xdr:row>
      <xdr:rowOff>76200</xdr:rowOff>
    </xdr:from>
    <xdr:to>
      <xdr:col>5</xdr:col>
      <xdr:colOff>361950</xdr:colOff>
      <xdr:row>14</xdr:row>
      <xdr:rowOff>76200</xdr:rowOff>
    </xdr:to>
    <xdr:sp macro="" textlink="">
      <xdr:nvSpPr>
        <xdr:cNvPr id="7" name="Oval 6"/>
        <xdr:cNvSpPr/>
      </xdr:nvSpPr>
      <xdr:spPr>
        <a:xfrm>
          <a:off x="3890433" y="2057400"/>
          <a:ext cx="814917" cy="7281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EDAM-BA-A</a:t>
          </a:r>
        </a:p>
      </xdr:txBody>
    </xdr:sp>
    <xdr:clientData/>
  </xdr:twoCellAnchor>
  <xdr:twoCellAnchor>
    <xdr:from>
      <xdr:col>5</xdr:col>
      <xdr:colOff>600075</xdr:colOff>
      <xdr:row>10</xdr:row>
      <xdr:rowOff>76200</xdr:rowOff>
    </xdr:from>
    <xdr:to>
      <xdr:col>7</xdr:col>
      <xdr:colOff>161925</xdr:colOff>
      <xdr:row>14</xdr:row>
      <xdr:rowOff>76200</xdr:rowOff>
    </xdr:to>
    <xdr:sp macro="" textlink="">
      <xdr:nvSpPr>
        <xdr:cNvPr id="8" name="Oval 7"/>
        <xdr:cNvSpPr/>
      </xdr:nvSpPr>
      <xdr:spPr>
        <a:xfrm>
          <a:off x="4943475" y="2057400"/>
          <a:ext cx="848783" cy="7281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EDAM-BA-C</a:t>
          </a:r>
        </a:p>
      </xdr:txBody>
    </xdr:sp>
    <xdr:clientData/>
  </xdr:twoCellAnchor>
  <xdr:twoCellAnchor>
    <xdr:from>
      <xdr:col>5</xdr:col>
      <xdr:colOff>142875</xdr:colOff>
      <xdr:row>14</xdr:row>
      <xdr:rowOff>38100</xdr:rowOff>
    </xdr:from>
    <xdr:to>
      <xdr:col>6</xdr:col>
      <xdr:colOff>56444</xdr:colOff>
      <xdr:row>19</xdr:row>
      <xdr:rowOff>42334</xdr:rowOff>
    </xdr:to>
    <xdr:cxnSp macro="">
      <xdr:nvCxnSpPr>
        <xdr:cNvPr id="9" name="Straight Arrow Connector 8"/>
        <xdr:cNvCxnSpPr/>
      </xdr:nvCxnSpPr>
      <xdr:spPr>
        <a:xfrm>
          <a:off x="4486275" y="2747433"/>
          <a:ext cx="557036" cy="91863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296333</xdr:colOff>
      <xdr:row>14</xdr:row>
      <xdr:rowOff>76200</xdr:rowOff>
    </xdr:from>
    <xdr:to>
      <xdr:col>6</xdr:col>
      <xdr:colOff>381000</xdr:colOff>
      <xdr:row>19</xdr:row>
      <xdr:rowOff>32926</xdr:rowOff>
    </xdr:to>
    <xdr:cxnSp macro="">
      <xdr:nvCxnSpPr>
        <xdr:cNvPr id="10" name="Straight Arrow Connector 9"/>
        <xdr:cNvCxnSpPr>
          <a:stCxn id="8" idx="4"/>
        </xdr:cNvCxnSpPr>
      </xdr:nvCxnSpPr>
      <xdr:spPr>
        <a:xfrm flipH="1">
          <a:off x="5283200" y="2785533"/>
          <a:ext cx="84667" cy="8711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322792</xdr:colOff>
      <xdr:row>19</xdr:row>
      <xdr:rowOff>97366</xdr:rowOff>
    </xdr:from>
    <xdr:to>
      <xdr:col>6</xdr:col>
      <xdr:colOff>335493</xdr:colOff>
      <xdr:row>20</xdr:row>
      <xdr:rowOff>110067</xdr:rowOff>
    </xdr:to>
    <xdr:cxnSp macro="">
      <xdr:nvCxnSpPr>
        <xdr:cNvPr id="11" name="Straight Arrow Connector 10"/>
        <xdr:cNvCxnSpPr>
          <a:stCxn id="3" idx="0"/>
        </xdr:cNvCxnSpPr>
      </xdr:nvCxnSpPr>
      <xdr:spPr>
        <a:xfrm>
          <a:off x="5309659" y="3721099"/>
          <a:ext cx="12701" cy="20320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408515</xdr:colOff>
      <xdr:row>19</xdr:row>
      <xdr:rowOff>165100</xdr:rowOff>
    </xdr:from>
    <xdr:to>
      <xdr:col>6</xdr:col>
      <xdr:colOff>570440</xdr:colOff>
      <xdr:row>20</xdr:row>
      <xdr:rowOff>117475</xdr:rowOff>
    </xdr:to>
    <xdr:sp macro="" textlink="">
      <xdr:nvSpPr>
        <xdr:cNvPr id="12" name="Arc 11"/>
        <xdr:cNvSpPr/>
      </xdr:nvSpPr>
      <xdr:spPr>
        <a:xfrm>
          <a:off x="4751915" y="3788833"/>
          <a:ext cx="805392" cy="142875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329142</xdr:colOff>
      <xdr:row>20</xdr:row>
      <xdr:rowOff>82551</xdr:rowOff>
    </xdr:from>
    <xdr:to>
      <xdr:col>7</xdr:col>
      <xdr:colOff>601134</xdr:colOff>
      <xdr:row>21</xdr:row>
      <xdr:rowOff>101600</xdr:rowOff>
    </xdr:to>
    <xdr:sp macro="" textlink="">
      <xdr:nvSpPr>
        <xdr:cNvPr id="13" name="TextBox 12"/>
        <xdr:cNvSpPr txBox="1"/>
      </xdr:nvSpPr>
      <xdr:spPr>
        <a:xfrm>
          <a:off x="5316009" y="3896784"/>
          <a:ext cx="915458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ITC</a:t>
          </a:r>
          <a:r>
            <a:rPr lang="en-US" sz="1100" baseline="0"/>
            <a:t> limit</a:t>
          </a:r>
          <a:endParaRPr lang="en-US" sz="1100"/>
        </a:p>
      </xdr:txBody>
    </xdr:sp>
    <xdr:clientData/>
  </xdr:twoCellAnchor>
  <xdr:twoCellAnchor>
    <xdr:from>
      <xdr:col>4</xdr:col>
      <xdr:colOff>219075</xdr:colOff>
      <xdr:row>14</xdr:row>
      <xdr:rowOff>123825</xdr:rowOff>
    </xdr:from>
    <xdr:to>
      <xdr:col>5</xdr:col>
      <xdr:colOff>457200</xdr:colOff>
      <xdr:row>17</xdr:row>
      <xdr:rowOff>114300</xdr:rowOff>
    </xdr:to>
    <xdr:sp macro="" textlink="">
      <xdr:nvSpPr>
        <xdr:cNvPr id="14" name="TextBox 13"/>
        <xdr:cNvSpPr txBox="1"/>
      </xdr:nvSpPr>
      <xdr:spPr>
        <a:xfrm>
          <a:off x="3919008" y="2833158"/>
          <a:ext cx="881592" cy="536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ETSR1</a:t>
          </a:r>
        </a:p>
        <a:p>
          <a:r>
            <a:rPr lang="en-US" sz="1100"/>
            <a:t>ETSR3</a:t>
          </a:r>
        </a:p>
      </xdr:txBody>
    </xdr:sp>
    <xdr:clientData/>
  </xdr:twoCellAnchor>
  <xdr:twoCellAnchor>
    <xdr:from>
      <xdr:col>4</xdr:col>
      <xdr:colOff>342900</xdr:colOff>
      <xdr:row>15</xdr:row>
      <xdr:rowOff>171450</xdr:rowOff>
    </xdr:from>
    <xdr:to>
      <xdr:col>5</xdr:col>
      <xdr:colOff>504825</xdr:colOff>
      <xdr:row>16</xdr:row>
      <xdr:rowOff>123825</xdr:rowOff>
    </xdr:to>
    <xdr:sp macro="" textlink="">
      <xdr:nvSpPr>
        <xdr:cNvPr id="15" name="Arc 14"/>
        <xdr:cNvSpPr/>
      </xdr:nvSpPr>
      <xdr:spPr>
        <a:xfrm>
          <a:off x="4042833" y="3062817"/>
          <a:ext cx="805392" cy="134408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428625</xdr:colOff>
      <xdr:row>15</xdr:row>
      <xdr:rowOff>142875</xdr:rowOff>
    </xdr:from>
    <xdr:to>
      <xdr:col>6</xdr:col>
      <xdr:colOff>590550</xdr:colOff>
      <xdr:row>16</xdr:row>
      <xdr:rowOff>95250</xdr:rowOff>
    </xdr:to>
    <xdr:sp macro="" textlink="">
      <xdr:nvSpPr>
        <xdr:cNvPr id="16" name="Arc 15"/>
        <xdr:cNvSpPr/>
      </xdr:nvSpPr>
      <xdr:spPr>
        <a:xfrm>
          <a:off x="4772025" y="3034242"/>
          <a:ext cx="805392" cy="134408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136408</xdr:colOff>
      <xdr:row>41</xdr:row>
      <xdr:rowOff>122296</xdr:rowOff>
    </xdr:from>
    <xdr:to>
      <xdr:col>3</xdr:col>
      <xdr:colOff>622183</xdr:colOff>
      <xdr:row>44</xdr:row>
      <xdr:rowOff>165216</xdr:rowOff>
    </xdr:to>
    <xdr:pic>
      <xdr:nvPicPr>
        <xdr:cNvPr id="17" name="Picture 16" descr="CAISOLogo-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08" y="7911629"/>
          <a:ext cx="3542242" cy="5932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395933</xdr:colOff>
      <xdr:row>14</xdr:row>
      <xdr:rowOff>71967</xdr:rowOff>
    </xdr:from>
    <xdr:to>
      <xdr:col>7</xdr:col>
      <xdr:colOff>333962</xdr:colOff>
      <xdr:row>16</xdr:row>
      <xdr:rowOff>150519</xdr:rowOff>
    </xdr:to>
    <xdr:sp macro="" textlink="">
      <xdr:nvSpPr>
        <xdr:cNvPr id="18" name="TextBox 17"/>
        <xdr:cNvSpPr txBox="1"/>
      </xdr:nvSpPr>
      <xdr:spPr>
        <a:xfrm>
          <a:off x="5382800" y="2781300"/>
          <a:ext cx="581495" cy="442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ETSR2</a:t>
          </a:r>
        </a:p>
        <a:p>
          <a:r>
            <a:rPr lang="en-US" sz="1100"/>
            <a:t>ETSR4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161925</xdr:rowOff>
    </xdr:from>
    <xdr:to>
      <xdr:col>8</xdr:col>
      <xdr:colOff>361951</xdr:colOff>
      <xdr:row>13</xdr:row>
      <xdr:rowOff>38100</xdr:rowOff>
    </xdr:to>
    <xdr:cxnSp macro="">
      <xdr:nvCxnSpPr>
        <xdr:cNvPr id="2" name="Straight Arrow Connector 1"/>
        <xdr:cNvCxnSpPr/>
      </xdr:nvCxnSpPr>
      <xdr:spPr>
        <a:xfrm flipH="1">
          <a:off x="6267450" y="352425"/>
          <a:ext cx="1" cy="21717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19</xdr:row>
      <xdr:rowOff>114300</xdr:rowOff>
    </xdr:from>
    <xdr:to>
      <xdr:col>7</xdr:col>
      <xdr:colOff>571500</xdr:colOff>
      <xdr:row>31</xdr:row>
      <xdr:rowOff>123825</xdr:rowOff>
    </xdr:to>
    <xdr:sp macro="" textlink="">
      <xdr:nvSpPr>
        <xdr:cNvPr id="3" name="Oval 2"/>
        <xdr:cNvSpPr/>
      </xdr:nvSpPr>
      <xdr:spPr>
        <a:xfrm>
          <a:off x="4133850" y="3743325"/>
          <a:ext cx="1733550" cy="22955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BAA--B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(CAISO)</a:t>
          </a:r>
          <a:endParaRPr lang="en-US" sz="1100"/>
        </a:p>
      </xdr:txBody>
    </xdr:sp>
    <xdr:clientData/>
  </xdr:twoCellAnchor>
  <xdr:twoCellAnchor>
    <xdr:from>
      <xdr:col>7</xdr:col>
      <xdr:colOff>388408</xdr:colOff>
      <xdr:row>14</xdr:row>
      <xdr:rowOff>83608</xdr:rowOff>
    </xdr:from>
    <xdr:to>
      <xdr:col>8</xdr:col>
      <xdr:colOff>559858</xdr:colOff>
      <xdr:row>18</xdr:row>
      <xdr:rowOff>83608</xdr:rowOff>
    </xdr:to>
    <xdr:sp macro="" textlink="">
      <xdr:nvSpPr>
        <xdr:cNvPr id="4" name="Oval 3"/>
        <xdr:cNvSpPr/>
      </xdr:nvSpPr>
      <xdr:spPr>
        <a:xfrm>
          <a:off x="6018741" y="2797175"/>
          <a:ext cx="814917" cy="7281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Non-EDAM</a:t>
          </a:r>
        </a:p>
      </xdr:txBody>
    </xdr:sp>
    <xdr:clientData/>
  </xdr:twoCellAnchor>
  <xdr:twoCellAnchor>
    <xdr:from>
      <xdr:col>7</xdr:col>
      <xdr:colOff>40217</xdr:colOff>
      <xdr:row>17</xdr:row>
      <xdr:rowOff>154049</xdr:rowOff>
    </xdr:from>
    <xdr:to>
      <xdr:col>7</xdr:col>
      <xdr:colOff>502790</xdr:colOff>
      <xdr:row>19</xdr:row>
      <xdr:rowOff>117475</xdr:rowOff>
    </xdr:to>
    <xdr:cxnSp macro="">
      <xdr:nvCxnSpPr>
        <xdr:cNvPr id="5" name="Straight Arrow Connector 4"/>
        <xdr:cNvCxnSpPr>
          <a:stCxn id="4" idx="3"/>
        </xdr:cNvCxnSpPr>
      </xdr:nvCxnSpPr>
      <xdr:spPr>
        <a:xfrm flipH="1">
          <a:off x="5670550" y="3413716"/>
          <a:ext cx="462573" cy="3317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502708</xdr:colOff>
      <xdr:row>19</xdr:row>
      <xdr:rowOff>114300</xdr:rowOff>
    </xdr:from>
    <xdr:to>
      <xdr:col>8</xdr:col>
      <xdr:colOff>150283</xdr:colOff>
      <xdr:row>19</xdr:row>
      <xdr:rowOff>114300</xdr:rowOff>
    </xdr:to>
    <xdr:cxnSp macro="">
      <xdr:nvCxnSpPr>
        <xdr:cNvPr id="6" name="Straight Connector 5"/>
        <xdr:cNvCxnSpPr/>
      </xdr:nvCxnSpPr>
      <xdr:spPr>
        <a:xfrm>
          <a:off x="4202641" y="3742267"/>
          <a:ext cx="222144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10</xdr:row>
      <xdr:rowOff>76200</xdr:rowOff>
    </xdr:from>
    <xdr:to>
      <xdr:col>5</xdr:col>
      <xdr:colOff>361950</xdr:colOff>
      <xdr:row>14</xdr:row>
      <xdr:rowOff>76200</xdr:rowOff>
    </xdr:to>
    <xdr:sp macro="" textlink="">
      <xdr:nvSpPr>
        <xdr:cNvPr id="7" name="Oval 6"/>
        <xdr:cNvSpPr/>
      </xdr:nvSpPr>
      <xdr:spPr>
        <a:xfrm>
          <a:off x="3657600" y="1990725"/>
          <a:ext cx="781050" cy="762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EDAM-BA-A</a:t>
          </a:r>
        </a:p>
      </xdr:txBody>
    </xdr:sp>
    <xdr:clientData/>
  </xdr:twoCellAnchor>
  <xdr:twoCellAnchor>
    <xdr:from>
      <xdr:col>5</xdr:col>
      <xdr:colOff>600075</xdr:colOff>
      <xdr:row>10</xdr:row>
      <xdr:rowOff>76200</xdr:rowOff>
    </xdr:from>
    <xdr:to>
      <xdr:col>7</xdr:col>
      <xdr:colOff>161925</xdr:colOff>
      <xdr:row>14</xdr:row>
      <xdr:rowOff>76200</xdr:rowOff>
    </xdr:to>
    <xdr:sp macro="" textlink="">
      <xdr:nvSpPr>
        <xdr:cNvPr id="8" name="Oval 7"/>
        <xdr:cNvSpPr/>
      </xdr:nvSpPr>
      <xdr:spPr>
        <a:xfrm>
          <a:off x="4676775" y="1990725"/>
          <a:ext cx="781050" cy="762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EDAM-BA-C</a:t>
          </a:r>
        </a:p>
      </xdr:txBody>
    </xdr:sp>
    <xdr:clientData/>
  </xdr:twoCellAnchor>
  <xdr:twoCellAnchor>
    <xdr:from>
      <xdr:col>5</xdr:col>
      <xdr:colOff>142875</xdr:colOff>
      <xdr:row>14</xdr:row>
      <xdr:rowOff>38100</xdr:rowOff>
    </xdr:from>
    <xdr:to>
      <xdr:col>6</xdr:col>
      <xdr:colOff>29633</xdr:colOff>
      <xdr:row>19</xdr:row>
      <xdr:rowOff>84666</xdr:rowOff>
    </xdr:to>
    <xdr:cxnSp macro="">
      <xdr:nvCxnSpPr>
        <xdr:cNvPr id="9" name="Straight Arrow Connector 8"/>
        <xdr:cNvCxnSpPr/>
      </xdr:nvCxnSpPr>
      <xdr:spPr>
        <a:xfrm>
          <a:off x="4486275" y="2751667"/>
          <a:ext cx="530225" cy="96096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14</xdr:row>
      <xdr:rowOff>76200</xdr:rowOff>
    </xdr:from>
    <xdr:to>
      <xdr:col>6</xdr:col>
      <xdr:colOff>381000</xdr:colOff>
      <xdr:row>19</xdr:row>
      <xdr:rowOff>114300</xdr:rowOff>
    </xdr:to>
    <xdr:cxnSp macro="">
      <xdr:nvCxnSpPr>
        <xdr:cNvPr id="10" name="Straight Arrow Connector 9"/>
        <xdr:cNvCxnSpPr>
          <a:stCxn id="8" idx="4"/>
          <a:endCxn id="3" idx="0"/>
        </xdr:cNvCxnSpPr>
      </xdr:nvCxnSpPr>
      <xdr:spPr>
        <a:xfrm flipH="1">
          <a:off x="5301192" y="2789767"/>
          <a:ext cx="66675" cy="952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19</xdr:row>
      <xdr:rowOff>121708</xdr:rowOff>
    </xdr:from>
    <xdr:to>
      <xdr:col>6</xdr:col>
      <xdr:colOff>342900</xdr:colOff>
      <xdr:row>21</xdr:row>
      <xdr:rowOff>42333</xdr:rowOff>
    </xdr:to>
    <xdr:cxnSp macro="">
      <xdr:nvCxnSpPr>
        <xdr:cNvPr id="11" name="Straight Arrow Connector 10"/>
        <xdr:cNvCxnSpPr/>
      </xdr:nvCxnSpPr>
      <xdr:spPr>
        <a:xfrm flipH="1">
          <a:off x="5301192" y="3749675"/>
          <a:ext cx="28575" cy="3016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374649</xdr:colOff>
      <xdr:row>20</xdr:row>
      <xdr:rowOff>4232</xdr:rowOff>
    </xdr:from>
    <xdr:to>
      <xdr:col>6</xdr:col>
      <xdr:colOff>536574</xdr:colOff>
      <xdr:row>20</xdr:row>
      <xdr:rowOff>142874</xdr:rowOff>
    </xdr:to>
    <xdr:sp macro="" textlink="">
      <xdr:nvSpPr>
        <xdr:cNvPr id="12" name="Arc 11"/>
        <xdr:cNvSpPr/>
      </xdr:nvSpPr>
      <xdr:spPr>
        <a:xfrm>
          <a:off x="4718049" y="3822699"/>
          <a:ext cx="805392" cy="138642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282575</xdr:colOff>
      <xdr:row>20</xdr:row>
      <xdr:rowOff>135466</xdr:rowOff>
    </xdr:from>
    <xdr:to>
      <xdr:col>7</xdr:col>
      <xdr:colOff>381000</xdr:colOff>
      <xdr:row>21</xdr:row>
      <xdr:rowOff>143933</xdr:rowOff>
    </xdr:to>
    <xdr:sp macro="" textlink="">
      <xdr:nvSpPr>
        <xdr:cNvPr id="13" name="TextBox 12"/>
        <xdr:cNvSpPr txBox="1"/>
      </xdr:nvSpPr>
      <xdr:spPr>
        <a:xfrm>
          <a:off x="5269442" y="3953933"/>
          <a:ext cx="741891" cy="198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ITC</a:t>
          </a:r>
          <a:r>
            <a:rPr lang="en-US" sz="1100" baseline="0"/>
            <a:t> limit</a:t>
          </a:r>
          <a:endParaRPr lang="en-US" sz="1100"/>
        </a:p>
      </xdr:txBody>
    </xdr:sp>
    <xdr:clientData/>
  </xdr:twoCellAnchor>
  <xdr:twoCellAnchor>
    <xdr:from>
      <xdr:col>4</xdr:col>
      <xdr:colOff>219075</xdr:colOff>
      <xdr:row>14</xdr:row>
      <xdr:rowOff>123825</xdr:rowOff>
    </xdr:from>
    <xdr:to>
      <xdr:col>5</xdr:col>
      <xdr:colOff>190500</xdr:colOff>
      <xdr:row>17</xdr:row>
      <xdr:rowOff>46566</xdr:rowOff>
    </xdr:to>
    <xdr:sp macro="" textlink="">
      <xdr:nvSpPr>
        <xdr:cNvPr id="14" name="TextBox 13"/>
        <xdr:cNvSpPr txBox="1"/>
      </xdr:nvSpPr>
      <xdr:spPr>
        <a:xfrm>
          <a:off x="3919008" y="2837392"/>
          <a:ext cx="614892" cy="468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ETSR1</a:t>
          </a:r>
        </a:p>
        <a:p>
          <a:r>
            <a:rPr lang="en-US" sz="1100"/>
            <a:t>ETSR3</a:t>
          </a:r>
        </a:p>
      </xdr:txBody>
    </xdr:sp>
    <xdr:clientData/>
  </xdr:twoCellAnchor>
  <xdr:twoCellAnchor>
    <xdr:from>
      <xdr:col>6</xdr:col>
      <xdr:colOff>413808</xdr:colOff>
      <xdr:row>14</xdr:row>
      <xdr:rowOff>122768</xdr:rowOff>
    </xdr:from>
    <xdr:to>
      <xdr:col>7</xdr:col>
      <xdr:colOff>364067</xdr:colOff>
      <xdr:row>17</xdr:row>
      <xdr:rowOff>63500</xdr:rowOff>
    </xdr:to>
    <xdr:sp macro="" textlink="">
      <xdr:nvSpPr>
        <xdr:cNvPr id="15" name="TextBox 14"/>
        <xdr:cNvSpPr txBox="1"/>
      </xdr:nvSpPr>
      <xdr:spPr>
        <a:xfrm>
          <a:off x="5400675" y="2836335"/>
          <a:ext cx="593725" cy="486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ETSR2</a:t>
          </a:r>
        </a:p>
        <a:p>
          <a:r>
            <a:rPr lang="en-US" sz="1100"/>
            <a:t>ETSR4</a:t>
          </a:r>
        </a:p>
      </xdr:txBody>
    </xdr:sp>
    <xdr:clientData/>
  </xdr:twoCellAnchor>
  <xdr:twoCellAnchor>
    <xdr:from>
      <xdr:col>4</xdr:col>
      <xdr:colOff>342900</xdr:colOff>
      <xdr:row>15</xdr:row>
      <xdr:rowOff>171450</xdr:rowOff>
    </xdr:from>
    <xdr:to>
      <xdr:col>5</xdr:col>
      <xdr:colOff>504825</xdr:colOff>
      <xdr:row>16</xdr:row>
      <xdr:rowOff>123825</xdr:rowOff>
    </xdr:to>
    <xdr:sp macro="" textlink="">
      <xdr:nvSpPr>
        <xdr:cNvPr id="16" name="Arc 15"/>
        <xdr:cNvSpPr/>
      </xdr:nvSpPr>
      <xdr:spPr>
        <a:xfrm>
          <a:off x="3810000" y="3038475"/>
          <a:ext cx="771525" cy="142875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428625</xdr:colOff>
      <xdr:row>15</xdr:row>
      <xdr:rowOff>142875</xdr:rowOff>
    </xdr:from>
    <xdr:to>
      <xdr:col>6</xdr:col>
      <xdr:colOff>590550</xdr:colOff>
      <xdr:row>16</xdr:row>
      <xdr:rowOff>95250</xdr:rowOff>
    </xdr:to>
    <xdr:sp macro="" textlink="">
      <xdr:nvSpPr>
        <xdr:cNvPr id="17" name="Arc 16"/>
        <xdr:cNvSpPr/>
      </xdr:nvSpPr>
      <xdr:spPr>
        <a:xfrm>
          <a:off x="4505325" y="3009900"/>
          <a:ext cx="771525" cy="142875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45</xdr:row>
      <xdr:rowOff>97367</xdr:rowOff>
    </xdr:from>
    <xdr:to>
      <xdr:col>3</xdr:col>
      <xdr:colOff>485775</xdr:colOff>
      <xdr:row>48</xdr:row>
      <xdr:rowOff>144992</xdr:rowOff>
    </xdr:to>
    <xdr:pic>
      <xdr:nvPicPr>
        <xdr:cNvPr id="18" name="Picture 17" descr="CAISOLogo-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5567"/>
          <a:ext cx="3542242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161925</xdr:rowOff>
    </xdr:from>
    <xdr:to>
      <xdr:col>8</xdr:col>
      <xdr:colOff>361951</xdr:colOff>
      <xdr:row>13</xdr:row>
      <xdr:rowOff>38100</xdr:rowOff>
    </xdr:to>
    <xdr:cxnSp macro="">
      <xdr:nvCxnSpPr>
        <xdr:cNvPr id="2" name="Straight Arrow Connector 1"/>
        <xdr:cNvCxnSpPr/>
      </xdr:nvCxnSpPr>
      <xdr:spPr>
        <a:xfrm flipH="1">
          <a:off x="6847417" y="513292"/>
          <a:ext cx="1" cy="2064808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94780</xdr:colOff>
      <xdr:row>19</xdr:row>
      <xdr:rowOff>147226</xdr:rowOff>
    </xdr:from>
    <xdr:to>
      <xdr:col>7</xdr:col>
      <xdr:colOff>609130</xdr:colOff>
      <xdr:row>31</xdr:row>
      <xdr:rowOff>156751</xdr:rowOff>
    </xdr:to>
    <xdr:sp macro="" textlink="">
      <xdr:nvSpPr>
        <xdr:cNvPr id="3" name="Oval 2"/>
        <xdr:cNvSpPr/>
      </xdr:nvSpPr>
      <xdr:spPr>
        <a:xfrm>
          <a:off x="4652669" y="3811412"/>
          <a:ext cx="1803164" cy="231433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BA--B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(CAISO)</a:t>
          </a:r>
          <a:endParaRPr lang="en-US" sz="1100"/>
        </a:p>
      </xdr:txBody>
    </xdr:sp>
    <xdr:clientData/>
  </xdr:twoCellAnchor>
  <xdr:twoCellAnchor>
    <xdr:from>
      <xdr:col>7</xdr:col>
      <xdr:colOff>450498</xdr:colOff>
      <xdr:row>14</xdr:row>
      <xdr:rowOff>58208</xdr:rowOff>
    </xdr:from>
    <xdr:to>
      <xdr:col>8</xdr:col>
      <xdr:colOff>621948</xdr:colOff>
      <xdr:row>18</xdr:row>
      <xdr:rowOff>58208</xdr:rowOff>
    </xdr:to>
    <xdr:sp macro="" textlink="">
      <xdr:nvSpPr>
        <xdr:cNvPr id="4" name="Oval 3"/>
        <xdr:cNvSpPr/>
      </xdr:nvSpPr>
      <xdr:spPr>
        <a:xfrm>
          <a:off x="6080831" y="2780241"/>
          <a:ext cx="1026584" cy="72813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Non-EDAM</a:t>
          </a:r>
        </a:p>
      </xdr:txBody>
    </xdr:sp>
    <xdr:clientData/>
  </xdr:twoCellAnchor>
  <xdr:twoCellAnchor>
    <xdr:from>
      <xdr:col>7</xdr:col>
      <xdr:colOff>101366</xdr:colOff>
      <xdr:row>17</xdr:row>
      <xdr:rowOff>130061</xdr:rowOff>
    </xdr:from>
    <xdr:to>
      <xdr:col>7</xdr:col>
      <xdr:colOff>564880</xdr:colOff>
      <xdr:row>19</xdr:row>
      <xdr:rowOff>91603</xdr:rowOff>
    </xdr:to>
    <xdr:cxnSp macro="">
      <xdr:nvCxnSpPr>
        <xdr:cNvPr id="5" name="Straight Arrow Connector 4"/>
        <xdr:cNvCxnSpPr>
          <a:stCxn id="4" idx="3"/>
        </xdr:cNvCxnSpPr>
      </xdr:nvCxnSpPr>
      <xdr:spPr>
        <a:xfrm flipH="1">
          <a:off x="5731699" y="3398194"/>
          <a:ext cx="463514" cy="32984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47037</xdr:colOff>
      <xdr:row>19</xdr:row>
      <xdr:rowOff>108184</xdr:rowOff>
    </xdr:from>
    <xdr:to>
      <xdr:col>8</xdr:col>
      <xdr:colOff>10113</xdr:colOff>
      <xdr:row>19</xdr:row>
      <xdr:rowOff>122295</xdr:rowOff>
    </xdr:to>
    <xdr:cxnSp macro="">
      <xdr:nvCxnSpPr>
        <xdr:cNvPr id="6" name="Straight Connector 5"/>
        <xdr:cNvCxnSpPr/>
      </xdr:nvCxnSpPr>
      <xdr:spPr>
        <a:xfrm flipV="1">
          <a:off x="4604926" y="3772370"/>
          <a:ext cx="2107965" cy="1411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357482</xdr:colOff>
      <xdr:row>10</xdr:row>
      <xdr:rowOff>76200</xdr:rowOff>
    </xdr:from>
    <xdr:to>
      <xdr:col>5</xdr:col>
      <xdr:colOff>361950</xdr:colOff>
      <xdr:row>14</xdr:row>
      <xdr:rowOff>76200</xdr:rowOff>
    </xdr:to>
    <xdr:sp macro="" textlink="">
      <xdr:nvSpPr>
        <xdr:cNvPr id="7" name="Oval 6"/>
        <xdr:cNvSpPr/>
      </xdr:nvSpPr>
      <xdr:spPr>
        <a:xfrm>
          <a:off x="4059296" y="2084681"/>
          <a:ext cx="860543" cy="73377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EDAM-BA-A</a:t>
          </a:r>
        </a:p>
      </xdr:txBody>
    </xdr:sp>
    <xdr:clientData/>
  </xdr:twoCellAnchor>
  <xdr:twoCellAnchor>
    <xdr:from>
      <xdr:col>5</xdr:col>
      <xdr:colOff>600075</xdr:colOff>
      <xdr:row>10</xdr:row>
      <xdr:rowOff>76200</xdr:rowOff>
    </xdr:from>
    <xdr:to>
      <xdr:col>7</xdr:col>
      <xdr:colOff>161925</xdr:colOff>
      <xdr:row>14</xdr:row>
      <xdr:rowOff>76200</xdr:rowOff>
    </xdr:to>
    <xdr:sp macro="" textlink="">
      <xdr:nvSpPr>
        <xdr:cNvPr id="8" name="Oval 7"/>
        <xdr:cNvSpPr/>
      </xdr:nvSpPr>
      <xdr:spPr>
        <a:xfrm>
          <a:off x="4943475" y="2070100"/>
          <a:ext cx="848783" cy="7281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EDAM-BA-C</a:t>
          </a:r>
        </a:p>
      </xdr:txBody>
    </xdr:sp>
    <xdr:clientData/>
  </xdr:twoCellAnchor>
  <xdr:twoCellAnchor>
    <xdr:from>
      <xdr:col>5</xdr:col>
      <xdr:colOff>142875</xdr:colOff>
      <xdr:row>14</xdr:row>
      <xdr:rowOff>38100</xdr:rowOff>
    </xdr:from>
    <xdr:to>
      <xdr:col>5</xdr:col>
      <xdr:colOff>602074</xdr:colOff>
      <xdr:row>19</xdr:row>
      <xdr:rowOff>75258</xdr:rowOff>
    </xdr:to>
    <xdr:cxnSp macro="">
      <xdr:nvCxnSpPr>
        <xdr:cNvPr id="9" name="Straight Arrow Connector 8"/>
        <xdr:cNvCxnSpPr/>
      </xdr:nvCxnSpPr>
      <xdr:spPr>
        <a:xfrm>
          <a:off x="4486275" y="2760133"/>
          <a:ext cx="459199" cy="95155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351954</xdr:colOff>
      <xdr:row>14</xdr:row>
      <xdr:rowOff>76200</xdr:rowOff>
    </xdr:from>
    <xdr:to>
      <xdr:col>6</xdr:col>
      <xdr:colOff>380999</xdr:colOff>
      <xdr:row>19</xdr:row>
      <xdr:rowOff>147226</xdr:rowOff>
    </xdr:to>
    <xdr:cxnSp macro="">
      <xdr:nvCxnSpPr>
        <xdr:cNvPr id="10" name="Straight Arrow Connector 9"/>
        <xdr:cNvCxnSpPr>
          <a:stCxn id="8" idx="4"/>
          <a:endCxn id="3" idx="0"/>
        </xdr:cNvCxnSpPr>
      </xdr:nvCxnSpPr>
      <xdr:spPr>
        <a:xfrm flipH="1">
          <a:off x="5554251" y="2818459"/>
          <a:ext cx="29045" cy="99295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319029</xdr:colOff>
      <xdr:row>19</xdr:row>
      <xdr:rowOff>119826</xdr:rowOff>
    </xdr:from>
    <xdr:to>
      <xdr:col>6</xdr:col>
      <xdr:colOff>347604</xdr:colOff>
      <xdr:row>21</xdr:row>
      <xdr:rowOff>39042</xdr:rowOff>
    </xdr:to>
    <xdr:cxnSp macro="">
      <xdr:nvCxnSpPr>
        <xdr:cNvPr id="11" name="Straight Arrow Connector 10"/>
        <xdr:cNvCxnSpPr/>
      </xdr:nvCxnSpPr>
      <xdr:spPr>
        <a:xfrm flipH="1">
          <a:off x="5305896" y="3756259"/>
          <a:ext cx="28575" cy="30021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399579</xdr:colOff>
      <xdr:row>20</xdr:row>
      <xdr:rowOff>48919</xdr:rowOff>
    </xdr:from>
    <xdr:to>
      <xdr:col>6</xdr:col>
      <xdr:colOff>561504</xdr:colOff>
      <xdr:row>20</xdr:row>
      <xdr:rowOff>189443</xdr:rowOff>
    </xdr:to>
    <xdr:sp macro="" textlink="">
      <xdr:nvSpPr>
        <xdr:cNvPr id="12" name="Arc 11"/>
        <xdr:cNvSpPr/>
      </xdr:nvSpPr>
      <xdr:spPr>
        <a:xfrm>
          <a:off x="4742979" y="3875852"/>
          <a:ext cx="805392" cy="140524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270816</xdr:colOff>
      <xdr:row>20</xdr:row>
      <xdr:rowOff>114064</xdr:rowOff>
    </xdr:from>
    <xdr:to>
      <xdr:col>7</xdr:col>
      <xdr:colOff>543748</xdr:colOff>
      <xdr:row>21</xdr:row>
      <xdr:rowOff>128411</xdr:rowOff>
    </xdr:to>
    <xdr:sp macro="" textlink="">
      <xdr:nvSpPr>
        <xdr:cNvPr id="13" name="TextBox 12"/>
        <xdr:cNvSpPr txBox="1"/>
      </xdr:nvSpPr>
      <xdr:spPr>
        <a:xfrm>
          <a:off x="5257683" y="3940997"/>
          <a:ext cx="916398" cy="204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ITC</a:t>
          </a:r>
          <a:r>
            <a:rPr lang="en-US" sz="1100" baseline="0"/>
            <a:t> limit</a:t>
          </a:r>
          <a:endParaRPr lang="en-US" sz="1100"/>
        </a:p>
      </xdr:txBody>
    </xdr:sp>
    <xdr:clientData/>
  </xdr:twoCellAnchor>
  <xdr:twoCellAnchor>
    <xdr:from>
      <xdr:col>4</xdr:col>
      <xdr:colOff>219076</xdr:colOff>
      <xdr:row>14</xdr:row>
      <xdr:rowOff>123825</xdr:rowOff>
    </xdr:from>
    <xdr:to>
      <xdr:col>5</xdr:col>
      <xdr:colOff>183446</xdr:colOff>
      <xdr:row>17</xdr:row>
      <xdr:rowOff>70556</xdr:rowOff>
    </xdr:to>
    <xdr:sp macro="" textlink="">
      <xdr:nvSpPr>
        <xdr:cNvPr id="14" name="TextBox 13"/>
        <xdr:cNvSpPr txBox="1"/>
      </xdr:nvSpPr>
      <xdr:spPr>
        <a:xfrm>
          <a:off x="3919009" y="2845858"/>
          <a:ext cx="607837" cy="492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ETSR1</a:t>
          </a:r>
        </a:p>
        <a:p>
          <a:r>
            <a:rPr lang="en-US" sz="1100"/>
            <a:t>ETSR3</a:t>
          </a:r>
        </a:p>
      </xdr:txBody>
    </xdr:sp>
    <xdr:clientData/>
  </xdr:twoCellAnchor>
  <xdr:twoCellAnchor>
    <xdr:from>
      <xdr:col>6</xdr:col>
      <xdr:colOff>381823</xdr:colOff>
      <xdr:row>14</xdr:row>
      <xdr:rowOff>104891</xdr:rowOff>
    </xdr:from>
    <xdr:to>
      <xdr:col>7</xdr:col>
      <xdr:colOff>268111</xdr:colOff>
      <xdr:row>17</xdr:row>
      <xdr:rowOff>37629</xdr:rowOff>
    </xdr:to>
    <xdr:sp macro="" textlink="">
      <xdr:nvSpPr>
        <xdr:cNvPr id="15" name="TextBox 14"/>
        <xdr:cNvSpPr txBox="1"/>
      </xdr:nvSpPr>
      <xdr:spPr>
        <a:xfrm>
          <a:off x="5368690" y="2826924"/>
          <a:ext cx="529754" cy="478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ETSR2</a:t>
          </a:r>
        </a:p>
        <a:p>
          <a:r>
            <a:rPr lang="en-US" sz="1100"/>
            <a:t>ETSR4</a:t>
          </a:r>
        </a:p>
      </xdr:txBody>
    </xdr:sp>
    <xdr:clientData/>
  </xdr:twoCellAnchor>
  <xdr:twoCellAnchor>
    <xdr:from>
      <xdr:col>4</xdr:col>
      <xdr:colOff>342900</xdr:colOff>
      <xdr:row>15</xdr:row>
      <xdr:rowOff>171450</xdr:rowOff>
    </xdr:from>
    <xdr:to>
      <xdr:col>5</xdr:col>
      <xdr:colOff>504825</xdr:colOff>
      <xdr:row>16</xdr:row>
      <xdr:rowOff>123825</xdr:rowOff>
    </xdr:to>
    <xdr:sp macro="" textlink="">
      <xdr:nvSpPr>
        <xdr:cNvPr id="16" name="Arc 15"/>
        <xdr:cNvSpPr/>
      </xdr:nvSpPr>
      <xdr:spPr>
        <a:xfrm>
          <a:off x="4042833" y="3075517"/>
          <a:ext cx="805392" cy="134408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428625</xdr:colOff>
      <xdr:row>15</xdr:row>
      <xdr:rowOff>142875</xdr:rowOff>
    </xdr:from>
    <xdr:to>
      <xdr:col>6</xdr:col>
      <xdr:colOff>590550</xdr:colOff>
      <xdr:row>16</xdr:row>
      <xdr:rowOff>95250</xdr:rowOff>
    </xdr:to>
    <xdr:sp macro="" textlink="">
      <xdr:nvSpPr>
        <xdr:cNvPr id="17" name="Arc 16"/>
        <xdr:cNvSpPr/>
      </xdr:nvSpPr>
      <xdr:spPr>
        <a:xfrm>
          <a:off x="4772025" y="3046942"/>
          <a:ext cx="805392" cy="134408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57</xdr:row>
      <xdr:rowOff>4234</xdr:rowOff>
    </xdr:from>
    <xdr:to>
      <xdr:col>3</xdr:col>
      <xdr:colOff>485775</xdr:colOff>
      <xdr:row>60</xdr:row>
      <xdr:rowOff>51859</xdr:rowOff>
    </xdr:to>
    <xdr:pic>
      <xdr:nvPicPr>
        <xdr:cNvPr id="18" name="Picture 17" descr="CAISOLogo-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6901"/>
          <a:ext cx="3542242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161925</xdr:rowOff>
    </xdr:from>
    <xdr:to>
      <xdr:col>8</xdr:col>
      <xdr:colOff>361951</xdr:colOff>
      <xdr:row>13</xdr:row>
      <xdr:rowOff>38100</xdr:rowOff>
    </xdr:to>
    <xdr:cxnSp macro="">
      <xdr:nvCxnSpPr>
        <xdr:cNvPr id="2" name="Straight Arrow Connector 1"/>
        <xdr:cNvCxnSpPr/>
      </xdr:nvCxnSpPr>
      <xdr:spPr>
        <a:xfrm flipH="1">
          <a:off x="7059083" y="513292"/>
          <a:ext cx="1" cy="2064808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94780</xdr:colOff>
      <xdr:row>19</xdr:row>
      <xdr:rowOff>147226</xdr:rowOff>
    </xdr:from>
    <xdr:to>
      <xdr:col>7</xdr:col>
      <xdr:colOff>609130</xdr:colOff>
      <xdr:row>31</xdr:row>
      <xdr:rowOff>156751</xdr:rowOff>
    </xdr:to>
    <xdr:sp macro="" textlink="">
      <xdr:nvSpPr>
        <xdr:cNvPr id="3" name="Oval 2"/>
        <xdr:cNvSpPr/>
      </xdr:nvSpPr>
      <xdr:spPr>
        <a:xfrm>
          <a:off x="4649847" y="3783659"/>
          <a:ext cx="1801283" cy="228705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BA--B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(CAISO)</a:t>
          </a:r>
          <a:endParaRPr lang="en-US" sz="1100"/>
        </a:p>
      </xdr:txBody>
    </xdr:sp>
    <xdr:clientData/>
  </xdr:twoCellAnchor>
  <xdr:twoCellAnchor>
    <xdr:from>
      <xdr:col>7</xdr:col>
      <xdr:colOff>450498</xdr:colOff>
      <xdr:row>14</xdr:row>
      <xdr:rowOff>58208</xdr:rowOff>
    </xdr:from>
    <xdr:to>
      <xdr:col>8</xdr:col>
      <xdr:colOff>621948</xdr:colOff>
      <xdr:row>18</xdr:row>
      <xdr:rowOff>58208</xdr:rowOff>
    </xdr:to>
    <xdr:sp macro="" textlink="">
      <xdr:nvSpPr>
        <xdr:cNvPr id="4" name="Oval 3"/>
        <xdr:cNvSpPr/>
      </xdr:nvSpPr>
      <xdr:spPr>
        <a:xfrm>
          <a:off x="6292498" y="2780241"/>
          <a:ext cx="1026583" cy="72813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Non-EDAM</a:t>
          </a:r>
        </a:p>
      </xdr:txBody>
    </xdr:sp>
    <xdr:clientData/>
  </xdr:twoCellAnchor>
  <xdr:twoCellAnchor>
    <xdr:from>
      <xdr:col>7</xdr:col>
      <xdr:colOff>101366</xdr:colOff>
      <xdr:row>17</xdr:row>
      <xdr:rowOff>130061</xdr:rowOff>
    </xdr:from>
    <xdr:to>
      <xdr:col>7</xdr:col>
      <xdr:colOff>564880</xdr:colOff>
      <xdr:row>19</xdr:row>
      <xdr:rowOff>91603</xdr:rowOff>
    </xdr:to>
    <xdr:cxnSp macro="">
      <xdr:nvCxnSpPr>
        <xdr:cNvPr id="5" name="Straight Arrow Connector 4"/>
        <xdr:cNvCxnSpPr>
          <a:stCxn id="4" idx="3"/>
        </xdr:cNvCxnSpPr>
      </xdr:nvCxnSpPr>
      <xdr:spPr>
        <a:xfrm flipH="1">
          <a:off x="5943366" y="3398194"/>
          <a:ext cx="463514" cy="32984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47037</xdr:colOff>
      <xdr:row>19</xdr:row>
      <xdr:rowOff>108184</xdr:rowOff>
    </xdr:from>
    <xdr:to>
      <xdr:col>8</xdr:col>
      <xdr:colOff>10113</xdr:colOff>
      <xdr:row>19</xdr:row>
      <xdr:rowOff>122295</xdr:rowOff>
    </xdr:to>
    <xdr:cxnSp macro="">
      <xdr:nvCxnSpPr>
        <xdr:cNvPr id="6" name="Straight Connector 5"/>
        <xdr:cNvCxnSpPr/>
      </xdr:nvCxnSpPr>
      <xdr:spPr>
        <a:xfrm flipV="1">
          <a:off x="4602104" y="3744617"/>
          <a:ext cx="2105142" cy="1411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357482</xdr:colOff>
      <xdr:row>10</xdr:row>
      <xdr:rowOff>76200</xdr:rowOff>
    </xdr:from>
    <xdr:to>
      <xdr:col>5</xdr:col>
      <xdr:colOff>361950</xdr:colOff>
      <xdr:row>14</xdr:row>
      <xdr:rowOff>76200</xdr:rowOff>
    </xdr:to>
    <xdr:sp macro="" textlink="">
      <xdr:nvSpPr>
        <xdr:cNvPr id="7" name="Oval 6"/>
        <xdr:cNvSpPr/>
      </xdr:nvSpPr>
      <xdr:spPr>
        <a:xfrm>
          <a:off x="4057415" y="2070100"/>
          <a:ext cx="859602" cy="7281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EDAM-BA-A</a:t>
          </a:r>
        </a:p>
      </xdr:txBody>
    </xdr:sp>
    <xdr:clientData/>
  </xdr:twoCellAnchor>
  <xdr:twoCellAnchor>
    <xdr:from>
      <xdr:col>5</xdr:col>
      <xdr:colOff>600075</xdr:colOff>
      <xdr:row>10</xdr:row>
      <xdr:rowOff>76200</xdr:rowOff>
    </xdr:from>
    <xdr:to>
      <xdr:col>7</xdr:col>
      <xdr:colOff>161925</xdr:colOff>
      <xdr:row>14</xdr:row>
      <xdr:rowOff>76200</xdr:rowOff>
    </xdr:to>
    <xdr:sp macro="" textlink="">
      <xdr:nvSpPr>
        <xdr:cNvPr id="8" name="Oval 7"/>
        <xdr:cNvSpPr/>
      </xdr:nvSpPr>
      <xdr:spPr>
        <a:xfrm>
          <a:off x="5155142" y="2070100"/>
          <a:ext cx="848783" cy="72813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EDAM-BA-C</a:t>
          </a:r>
        </a:p>
      </xdr:txBody>
    </xdr:sp>
    <xdr:clientData/>
  </xdr:twoCellAnchor>
  <xdr:twoCellAnchor>
    <xdr:from>
      <xdr:col>5</xdr:col>
      <xdr:colOff>142875</xdr:colOff>
      <xdr:row>14</xdr:row>
      <xdr:rowOff>38100</xdr:rowOff>
    </xdr:from>
    <xdr:to>
      <xdr:col>5</xdr:col>
      <xdr:colOff>602074</xdr:colOff>
      <xdr:row>19</xdr:row>
      <xdr:rowOff>75258</xdr:rowOff>
    </xdr:to>
    <xdr:cxnSp macro="">
      <xdr:nvCxnSpPr>
        <xdr:cNvPr id="9" name="Straight Arrow Connector 8"/>
        <xdr:cNvCxnSpPr/>
      </xdr:nvCxnSpPr>
      <xdr:spPr>
        <a:xfrm>
          <a:off x="4697942" y="2760133"/>
          <a:ext cx="459199" cy="95155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351954</xdr:colOff>
      <xdr:row>14</xdr:row>
      <xdr:rowOff>76200</xdr:rowOff>
    </xdr:from>
    <xdr:to>
      <xdr:col>6</xdr:col>
      <xdr:colOff>380999</xdr:colOff>
      <xdr:row>19</xdr:row>
      <xdr:rowOff>147226</xdr:rowOff>
    </xdr:to>
    <xdr:cxnSp macro="">
      <xdr:nvCxnSpPr>
        <xdr:cNvPr id="10" name="Straight Arrow Connector 9"/>
        <xdr:cNvCxnSpPr>
          <a:stCxn id="8" idx="4"/>
          <a:endCxn id="3" idx="0"/>
        </xdr:cNvCxnSpPr>
      </xdr:nvCxnSpPr>
      <xdr:spPr>
        <a:xfrm flipH="1">
          <a:off x="5550487" y="2798233"/>
          <a:ext cx="29045" cy="9854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319029</xdr:colOff>
      <xdr:row>19</xdr:row>
      <xdr:rowOff>119826</xdr:rowOff>
    </xdr:from>
    <xdr:to>
      <xdr:col>6</xdr:col>
      <xdr:colOff>347604</xdr:colOff>
      <xdr:row>21</xdr:row>
      <xdr:rowOff>39042</xdr:rowOff>
    </xdr:to>
    <xdr:cxnSp macro="">
      <xdr:nvCxnSpPr>
        <xdr:cNvPr id="11" name="Straight Arrow Connector 10"/>
        <xdr:cNvCxnSpPr/>
      </xdr:nvCxnSpPr>
      <xdr:spPr>
        <a:xfrm flipH="1">
          <a:off x="5517562" y="3756259"/>
          <a:ext cx="28575" cy="30021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399579</xdr:colOff>
      <xdr:row>20</xdr:row>
      <xdr:rowOff>48919</xdr:rowOff>
    </xdr:from>
    <xdr:to>
      <xdr:col>6</xdr:col>
      <xdr:colOff>561504</xdr:colOff>
      <xdr:row>20</xdr:row>
      <xdr:rowOff>189443</xdr:rowOff>
    </xdr:to>
    <xdr:sp macro="" textlink="">
      <xdr:nvSpPr>
        <xdr:cNvPr id="12" name="Arc 11"/>
        <xdr:cNvSpPr/>
      </xdr:nvSpPr>
      <xdr:spPr>
        <a:xfrm>
          <a:off x="4954646" y="3875852"/>
          <a:ext cx="805391" cy="140524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270816</xdr:colOff>
      <xdr:row>20</xdr:row>
      <xdr:rowOff>114064</xdr:rowOff>
    </xdr:from>
    <xdr:to>
      <xdr:col>7</xdr:col>
      <xdr:colOff>543748</xdr:colOff>
      <xdr:row>21</xdr:row>
      <xdr:rowOff>128411</xdr:rowOff>
    </xdr:to>
    <xdr:sp macro="" textlink="">
      <xdr:nvSpPr>
        <xdr:cNvPr id="13" name="TextBox 12"/>
        <xdr:cNvSpPr txBox="1"/>
      </xdr:nvSpPr>
      <xdr:spPr>
        <a:xfrm>
          <a:off x="5469349" y="3940997"/>
          <a:ext cx="916399" cy="204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ITC</a:t>
          </a:r>
          <a:r>
            <a:rPr lang="en-US" sz="1100" baseline="0"/>
            <a:t> limit</a:t>
          </a:r>
          <a:endParaRPr lang="en-US" sz="1100"/>
        </a:p>
      </xdr:txBody>
    </xdr:sp>
    <xdr:clientData/>
  </xdr:twoCellAnchor>
  <xdr:twoCellAnchor>
    <xdr:from>
      <xdr:col>4</xdr:col>
      <xdr:colOff>219076</xdr:colOff>
      <xdr:row>14</xdr:row>
      <xdr:rowOff>123825</xdr:rowOff>
    </xdr:from>
    <xdr:to>
      <xdr:col>5</xdr:col>
      <xdr:colOff>183446</xdr:colOff>
      <xdr:row>17</xdr:row>
      <xdr:rowOff>70556</xdr:rowOff>
    </xdr:to>
    <xdr:sp macro="" textlink="">
      <xdr:nvSpPr>
        <xdr:cNvPr id="14" name="TextBox 13"/>
        <xdr:cNvSpPr txBox="1"/>
      </xdr:nvSpPr>
      <xdr:spPr>
        <a:xfrm>
          <a:off x="3919009" y="2845858"/>
          <a:ext cx="819504" cy="492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ETSR1</a:t>
          </a:r>
        </a:p>
        <a:p>
          <a:r>
            <a:rPr lang="en-US" sz="1100"/>
            <a:t>ETSR3</a:t>
          </a:r>
        </a:p>
      </xdr:txBody>
    </xdr:sp>
    <xdr:clientData/>
  </xdr:twoCellAnchor>
  <xdr:twoCellAnchor>
    <xdr:from>
      <xdr:col>6</xdr:col>
      <xdr:colOff>381823</xdr:colOff>
      <xdr:row>14</xdr:row>
      <xdr:rowOff>104891</xdr:rowOff>
    </xdr:from>
    <xdr:to>
      <xdr:col>7</xdr:col>
      <xdr:colOff>268111</xdr:colOff>
      <xdr:row>17</xdr:row>
      <xdr:rowOff>37629</xdr:rowOff>
    </xdr:to>
    <xdr:sp macro="" textlink="">
      <xdr:nvSpPr>
        <xdr:cNvPr id="15" name="TextBox 14"/>
        <xdr:cNvSpPr txBox="1"/>
      </xdr:nvSpPr>
      <xdr:spPr>
        <a:xfrm>
          <a:off x="5580356" y="2826924"/>
          <a:ext cx="529755" cy="478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ETSR2</a:t>
          </a:r>
        </a:p>
        <a:p>
          <a:r>
            <a:rPr lang="en-US" sz="1100"/>
            <a:t>ETSR4</a:t>
          </a:r>
        </a:p>
      </xdr:txBody>
    </xdr:sp>
    <xdr:clientData/>
  </xdr:twoCellAnchor>
  <xdr:twoCellAnchor>
    <xdr:from>
      <xdr:col>4</xdr:col>
      <xdr:colOff>342900</xdr:colOff>
      <xdr:row>15</xdr:row>
      <xdr:rowOff>171450</xdr:rowOff>
    </xdr:from>
    <xdr:to>
      <xdr:col>5</xdr:col>
      <xdr:colOff>504825</xdr:colOff>
      <xdr:row>16</xdr:row>
      <xdr:rowOff>123825</xdr:rowOff>
    </xdr:to>
    <xdr:sp macro="" textlink="">
      <xdr:nvSpPr>
        <xdr:cNvPr id="16" name="Arc 15"/>
        <xdr:cNvSpPr/>
      </xdr:nvSpPr>
      <xdr:spPr>
        <a:xfrm>
          <a:off x="4042833" y="3075517"/>
          <a:ext cx="1017059" cy="134408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428625</xdr:colOff>
      <xdr:row>15</xdr:row>
      <xdr:rowOff>142875</xdr:rowOff>
    </xdr:from>
    <xdr:to>
      <xdr:col>6</xdr:col>
      <xdr:colOff>590550</xdr:colOff>
      <xdr:row>16</xdr:row>
      <xdr:rowOff>95250</xdr:rowOff>
    </xdr:to>
    <xdr:sp macro="" textlink="">
      <xdr:nvSpPr>
        <xdr:cNvPr id="17" name="Arc 16"/>
        <xdr:cNvSpPr/>
      </xdr:nvSpPr>
      <xdr:spPr>
        <a:xfrm>
          <a:off x="4983692" y="3046942"/>
          <a:ext cx="805391" cy="134408"/>
        </a:xfrm>
        <a:prstGeom prst="arc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57</xdr:row>
      <xdr:rowOff>4234</xdr:rowOff>
    </xdr:from>
    <xdr:to>
      <xdr:col>3</xdr:col>
      <xdr:colOff>485775</xdr:colOff>
      <xdr:row>60</xdr:row>
      <xdr:rowOff>51859</xdr:rowOff>
    </xdr:to>
    <xdr:pic>
      <xdr:nvPicPr>
        <xdr:cNvPr id="18" name="Picture 17" descr="CAISOLogo-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6901"/>
          <a:ext cx="3542242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6"/>
  <sheetViews>
    <sheetView topLeftCell="A4" zoomScale="90" zoomScaleNormal="90" workbookViewId="0">
      <selection activeCell="X26" sqref="X26"/>
    </sheetView>
  </sheetViews>
  <sheetFormatPr defaultRowHeight="14.4" x14ac:dyDescent="0.3"/>
  <cols>
    <col min="1" max="1" width="22.109375" customWidth="1"/>
    <col min="10" max="10" width="27.5546875" customWidth="1"/>
    <col min="13" max="13" width="4" customWidth="1"/>
    <col min="15" max="15" width="11.5546875" bestFit="1" customWidth="1"/>
    <col min="16" max="16" width="4" customWidth="1"/>
    <col min="18" max="18" width="10.5546875" bestFit="1" customWidth="1"/>
    <col min="19" max="19" width="4" customWidth="1"/>
    <col min="21" max="21" width="10.5546875" bestFit="1" customWidth="1"/>
    <col min="22" max="22" width="4" customWidth="1"/>
    <col min="24" max="24" width="10.5546875" bestFit="1" customWidth="1"/>
  </cols>
  <sheetData>
    <row r="1" spans="1:24" x14ac:dyDescent="0.3">
      <c r="J1" s="5"/>
      <c r="K1" s="53" t="s">
        <v>59</v>
      </c>
      <c r="L1" s="53"/>
      <c r="M1" s="5"/>
      <c r="N1" s="53" t="s">
        <v>60</v>
      </c>
      <c r="O1" s="53"/>
      <c r="P1" s="5"/>
      <c r="Q1" s="53" t="s">
        <v>61</v>
      </c>
      <c r="R1" s="53"/>
      <c r="S1" s="5"/>
      <c r="T1" s="53" t="s">
        <v>62</v>
      </c>
      <c r="U1" s="53"/>
      <c r="V1" s="5"/>
      <c r="W1" s="53" t="s">
        <v>63</v>
      </c>
      <c r="X1" s="53"/>
    </row>
    <row r="2" spans="1:24" x14ac:dyDescent="0.3">
      <c r="J2" t="s">
        <v>9</v>
      </c>
      <c r="K2" s="2"/>
      <c r="L2" s="2">
        <v>25</v>
      </c>
      <c r="M2" s="2"/>
      <c r="N2" s="2"/>
      <c r="O2" s="2">
        <v>25</v>
      </c>
      <c r="P2" s="2"/>
      <c r="Q2" s="2"/>
      <c r="R2" s="2">
        <v>25</v>
      </c>
      <c r="S2" s="2"/>
      <c r="T2" s="2"/>
      <c r="U2" s="2">
        <v>25</v>
      </c>
      <c r="V2" s="2"/>
      <c r="W2" s="2"/>
      <c r="X2" s="2">
        <v>25</v>
      </c>
    </row>
    <row r="3" spans="1:24" x14ac:dyDescent="0.3">
      <c r="A3" s="5"/>
      <c r="B3" s="6" t="s">
        <v>4</v>
      </c>
      <c r="C3" s="6" t="s">
        <v>5</v>
      </c>
      <c r="D3" s="5"/>
      <c r="E3" s="13"/>
      <c r="F3" s="13"/>
      <c r="G3" s="13"/>
      <c r="H3" s="13"/>
      <c r="J3" t="s">
        <v>10</v>
      </c>
      <c r="K3" s="2"/>
      <c r="L3" s="2">
        <v>25</v>
      </c>
      <c r="M3" s="2"/>
      <c r="N3" s="2"/>
      <c r="O3" s="2">
        <v>29</v>
      </c>
      <c r="P3" s="2"/>
      <c r="Q3" s="2"/>
      <c r="R3" s="2">
        <v>30</v>
      </c>
      <c r="S3" s="2"/>
      <c r="T3" s="2"/>
      <c r="U3" s="2">
        <v>30</v>
      </c>
      <c r="V3" s="2"/>
      <c r="W3" s="2"/>
      <c r="X3" s="2">
        <v>32</v>
      </c>
    </row>
    <row r="4" spans="1:24" x14ac:dyDescent="0.3">
      <c r="A4" t="s">
        <v>64</v>
      </c>
      <c r="B4" s="9">
        <v>200</v>
      </c>
      <c r="C4" s="10">
        <v>0</v>
      </c>
      <c r="D4" s="52" t="s">
        <v>6</v>
      </c>
      <c r="E4" s="37"/>
      <c r="F4" s="37"/>
      <c r="G4" s="37"/>
      <c r="H4" s="37"/>
      <c r="J4" t="s">
        <v>13</v>
      </c>
      <c r="K4">
        <v>400</v>
      </c>
      <c r="N4">
        <v>500</v>
      </c>
      <c r="Q4">
        <v>600</v>
      </c>
      <c r="T4">
        <v>695</v>
      </c>
      <c r="W4">
        <v>700</v>
      </c>
    </row>
    <row r="5" spans="1:24" x14ac:dyDescent="0.3">
      <c r="A5" t="s">
        <v>0</v>
      </c>
      <c r="B5" s="9">
        <v>300</v>
      </c>
      <c r="C5" s="10">
        <v>0</v>
      </c>
      <c r="D5" s="52"/>
      <c r="E5" s="37"/>
      <c r="F5" s="37"/>
      <c r="G5" s="37"/>
      <c r="H5" s="37"/>
    </row>
    <row r="6" spans="1:24" ht="15" thickBot="1" x14ac:dyDescent="0.35">
      <c r="A6" s="1" t="s">
        <v>1</v>
      </c>
      <c r="B6" s="11">
        <f>+B13-B4-B5</f>
        <v>500</v>
      </c>
      <c r="C6" s="12">
        <v>5</v>
      </c>
      <c r="D6" s="54"/>
      <c r="E6" s="38"/>
      <c r="F6" s="38"/>
      <c r="G6" s="38"/>
      <c r="H6" s="38"/>
      <c r="J6" t="s">
        <v>17</v>
      </c>
      <c r="K6" s="7"/>
      <c r="L6" s="7">
        <f>+L3-L2</f>
        <v>0</v>
      </c>
      <c r="N6" s="7"/>
      <c r="O6" s="7">
        <f>+O3-O2</f>
        <v>4</v>
      </c>
      <c r="Q6" s="7"/>
      <c r="R6" s="7">
        <f>+R3-R2</f>
        <v>5</v>
      </c>
      <c r="T6" s="7"/>
      <c r="U6" s="7">
        <v>5</v>
      </c>
      <c r="W6" s="7"/>
      <c r="X6" s="7">
        <v>7</v>
      </c>
    </row>
    <row r="7" spans="1:24" x14ac:dyDescent="0.3">
      <c r="A7" t="s">
        <v>64</v>
      </c>
      <c r="B7" s="3">
        <v>200</v>
      </c>
      <c r="C7" s="10">
        <v>0</v>
      </c>
      <c r="D7" s="55" t="s">
        <v>7</v>
      </c>
      <c r="E7" s="38"/>
      <c r="F7" s="38"/>
      <c r="G7" s="38"/>
      <c r="H7" s="38"/>
      <c r="J7" t="s">
        <v>8</v>
      </c>
      <c r="K7" s="2"/>
      <c r="L7" s="2">
        <f>K4*L6</f>
        <v>0</v>
      </c>
      <c r="N7" s="2"/>
      <c r="O7" s="2">
        <f>N4*O6</f>
        <v>2000</v>
      </c>
      <c r="Q7" s="2"/>
      <c r="R7" s="2">
        <f>Q4*R6</f>
        <v>3000</v>
      </c>
      <c r="T7" s="2"/>
      <c r="U7" s="2">
        <f>T4*U6</f>
        <v>3475</v>
      </c>
      <c r="W7" s="2"/>
      <c r="X7" s="10">
        <f>W4*X6</f>
        <v>4900</v>
      </c>
    </row>
    <row r="8" spans="1:24" x14ac:dyDescent="0.3">
      <c r="A8" t="s">
        <v>0</v>
      </c>
      <c r="B8" s="3">
        <v>100</v>
      </c>
      <c r="C8" s="10">
        <v>0</v>
      </c>
      <c r="D8" s="52"/>
      <c r="E8" s="37"/>
      <c r="F8" s="37"/>
      <c r="G8" s="37"/>
      <c r="H8" s="37"/>
      <c r="J8" t="s">
        <v>19</v>
      </c>
      <c r="K8" s="2"/>
      <c r="L8" s="2">
        <f>0*L6</f>
        <v>0</v>
      </c>
      <c r="N8" s="2"/>
      <c r="O8" s="2">
        <f>0*O6</f>
        <v>0</v>
      </c>
      <c r="Q8" s="2"/>
      <c r="R8" s="2">
        <f>((Q4-$B24)*R6)*($D28/$D31)</f>
        <v>500</v>
      </c>
      <c r="T8" s="2"/>
      <c r="U8" s="2">
        <f>((T4-$B24)*U6)*($D28/$D31)</f>
        <v>975</v>
      </c>
      <c r="W8" s="2"/>
      <c r="X8" s="2">
        <f>((W4-$B24)*X6)*($D28/$D31)</f>
        <v>1400</v>
      </c>
    </row>
    <row r="9" spans="1:24" x14ac:dyDescent="0.3">
      <c r="A9" t="s">
        <v>2</v>
      </c>
      <c r="B9" s="3">
        <v>200</v>
      </c>
      <c r="C9" s="10">
        <v>0</v>
      </c>
      <c r="D9" s="52"/>
      <c r="E9" s="37"/>
      <c r="F9" s="37"/>
      <c r="G9" s="37"/>
      <c r="H9" s="37"/>
      <c r="J9" t="s">
        <v>93</v>
      </c>
      <c r="K9" s="2"/>
      <c r="L9" s="2">
        <f>0*L7</f>
        <v>0</v>
      </c>
      <c r="N9" s="2"/>
      <c r="O9" s="2">
        <f>0*O7</f>
        <v>0</v>
      </c>
      <c r="Q9" s="2"/>
      <c r="R9" s="2">
        <f>((Q4-$B24)*R6)*($D30/$D31)</f>
        <v>0</v>
      </c>
      <c r="T9" s="2"/>
      <c r="U9" s="2">
        <f>((T4-$B24)*U6)*($D30/$D31)</f>
        <v>0</v>
      </c>
      <c r="W9" s="2"/>
      <c r="X9" s="2">
        <f>((W4-$B24)*X6)*($D30/$D31)</f>
        <v>0</v>
      </c>
    </row>
    <row r="10" spans="1:24" x14ac:dyDescent="0.3">
      <c r="A10" t="s">
        <v>3</v>
      </c>
      <c r="B10" s="3">
        <v>200</v>
      </c>
      <c r="C10" s="10">
        <v>0</v>
      </c>
      <c r="D10" s="52"/>
      <c r="E10" s="37"/>
      <c r="F10" s="37"/>
      <c r="G10" s="37"/>
      <c r="H10" s="37"/>
      <c r="K10" s="2"/>
      <c r="L10" s="2"/>
      <c r="N10" s="2"/>
      <c r="O10" s="2"/>
      <c r="Q10" s="2"/>
      <c r="R10" s="2"/>
      <c r="T10" s="2"/>
      <c r="U10" s="2"/>
      <c r="W10" s="2"/>
      <c r="X10" s="2"/>
    </row>
    <row r="11" spans="1:24" x14ac:dyDescent="0.3">
      <c r="B11" s="3"/>
      <c r="C11" s="10"/>
      <c r="D11" s="8"/>
      <c r="E11" s="37"/>
      <c r="F11" s="37"/>
      <c r="G11" s="37"/>
      <c r="H11" s="37"/>
      <c r="J11" t="s">
        <v>20</v>
      </c>
      <c r="K11" s="2"/>
      <c r="L11" s="2">
        <f>+L7-L8</f>
        <v>0</v>
      </c>
      <c r="N11" s="2"/>
      <c r="O11" s="2">
        <f>+O7-O8</f>
        <v>2000</v>
      </c>
      <c r="Q11" s="2"/>
      <c r="R11" s="2">
        <f>+R7-(R8+R9)</f>
        <v>2500</v>
      </c>
      <c r="T11" s="2"/>
      <c r="U11" s="2">
        <f>+U7-U8</f>
        <v>2500</v>
      </c>
      <c r="W11" s="2"/>
      <c r="X11" s="2">
        <f>+X7-X8</f>
        <v>3500</v>
      </c>
    </row>
    <row r="12" spans="1:24" x14ac:dyDescent="0.3">
      <c r="A12" s="9"/>
      <c r="B12" s="3"/>
      <c r="C12" s="10"/>
      <c r="K12" s="2"/>
      <c r="L12" s="2"/>
      <c r="N12" s="2"/>
      <c r="O12" s="2"/>
      <c r="Q12" s="2"/>
      <c r="R12" s="2"/>
      <c r="T12" s="2"/>
      <c r="U12" s="2"/>
      <c r="W12" s="2"/>
      <c r="X12" s="2"/>
    </row>
    <row r="13" spans="1:24" x14ac:dyDescent="0.3">
      <c r="A13" s="4" t="s">
        <v>11</v>
      </c>
      <c r="B13">
        <v>1000</v>
      </c>
      <c r="J13" t="s">
        <v>51</v>
      </c>
      <c r="K13" s="2"/>
      <c r="L13" s="2">
        <f>+L11/2</f>
        <v>0</v>
      </c>
      <c r="N13" s="2"/>
      <c r="O13" s="2">
        <f>+O11/2</f>
        <v>1000</v>
      </c>
      <c r="Q13" s="2"/>
      <c r="R13" s="2">
        <f>+R11/2</f>
        <v>1250</v>
      </c>
      <c r="T13" s="2"/>
      <c r="U13" s="2">
        <f>+U11/2</f>
        <v>1250</v>
      </c>
      <c r="W13" s="2"/>
      <c r="X13" s="2">
        <f>+X11/2</f>
        <v>1750</v>
      </c>
    </row>
    <row r="14" spans="1:24" x14ac:dyDescent="0.3">
      <c r="A14" t="s">
        <v>12</v>
      </c>
      <c r="B14">
        <f>MIN(SUM(B7:B10),SUM(B4:B6))</f>
        <v>700</v>
      </c>
      <c r="J14" t="s">
        <v>52</v>
      </c>
      <c r="K14" s="2"/>
      <c r="L14" s="2">
        <f>+L11/2</f>
        <v>0</v>
      </c>
      <c r="N14" s="2"/>
      <c r="O14" s="2">
        <f>+O11/2</f>
        <v>1000</v>
      </c>
      <c r="Q14" s="2"/>
      <c r="R14" s="2">
        <f>+R11/2</f>
        <v>1250</v>
      </c>
      <c r="T14" s="2"/>
      <c r="U14" s="2">
        <f>+U11/2</f>
        <v>1250</v>
      </c>
      <c r="W14" s="2"/>
      <c r="X14" s="2">
        <f>+X11/2</f>
        <v>1750</v>
      </c>
    </row>
    <row r="15" spans="1:24" x14ac:dyDescent="0.3">
      <c r="K15" s="2"/>
      <c r="L15" s="2"/>
      <c r="N15" s="2"/>
      <c r="O15" s="2"/>
      <c r="Q15" s="2"/>
      <c r="R15" s="2"/>
      <c r="T15" s="2"/>
      <c r="U15" s="2"/>
      <c r="W15" s="2"/>
      <c r="X15" s="2"/>
    </row>
    <row r="16" spans="1:24" ht="15" thickBot="1" x14ac:dyDescent="0.35">
      <c r="A16" s="35" t="s">
        <v>86</v>
      </c>
      <c r="J16" s="30" t="s">
        <v>71</v>
      </c>
      <c r="K16" s="33"/>
      <c r="L16" s="33"/>
      <c r="M16" s="30"/>
      <c r="N16" s="33"/>
      <c r="O16" s="33"/>
      <c r="P16" s="30"/>
      <c r="Q16" s="33"/>
      <c r="R16" s="33"/>
      <c r="S16" s="30"/>
      <c r="T16" s="33"/>
      <c r="U16" s="33"/>
      <c r="V16" s="30"/>
      <c r="W16" s="33"/>
      <c r="X16" s="33"/>
    </row>
    <row r="17" spans="1:24" ht="15.6" thickTop="1" thickBot="1" x14ac:dyDescent="0.35">
      <c r="A17" s="39" t="s">
        <v>14</v>
      </c>
      <c r="B17" s="39">
        <f>SUMIF(C4:C6,0,B4:B6)</f>
        <v>500</v>
      </c>
      <c r="C17" s="39"/>
      <c r="D17" s="52"/>
      <c r="J17" s="30" t="s">
        <v>49</v>
      </c>
      <c r="K17" s="31"/>
      <c r="L17" s="31">
        <f>+L8+L13</f>
        <v>0</v>
      </c>
      <c r="M17" s="30"/>
      <c r="N17" s="31"/>
      <c r="O17" s="31">
        <f>+O8+O13</f>
        <v>1000</v>
      </c>
      <c r="P17" s="30"/>
      <c r="Q17" s="31"/>
      <c r="R17" s="31">
        <f>+R8+R13</f>
        <v>1750</v>
      </c>
      <c r="S17" s="30"/>
      <c r="T17" s="31"/>
      <c r="U17" s="31">
        <f>+U8+U13</f>
        <v>2225</v>
      </c>
      <c r="V17" s="30"/>
      <c r="W17" s="31"/>
      <c r="X17" s="31">
        <f>+X8+X13</f>
        <v>3150</v>
      </c>
    </row>
    <row r="18" spans="1:24" ht="15.6" thickTop="1" thickBot="1" x14ac:dyDescent="0.35">
      <c r="A18" s="40" t="s">
        <v>64</v>
      </c>
      <c r="B18" s="39"/>
      <c r="C18" s="39">
        <v>200</v>
      </c>
      <c r="D18" s="52"/>
      <c r="J18" s="34" t="s">
        <v>66</v>
      </c>
      <c r="K18" s="31"/>
      <c r="L18" s="31">
        <v>0</v>
      </c>
      <c r="M18" s="30"/>
      <c r="N18" s="31"/>
      <c r="O18" s="31">
        <f>IF($C4=0,IF($A4=$A7,($B4/$B$24)*O$13),0)</f>
        <v>400</v>
      </c>
      <c r="P18" s="30"/>
      <c r="Q18" s="31"/>
      <c r="R18" s="31">
        <f>IF($C4=0,IF($A4=$A7,($B4/$B$24)*R$13),0)</f>
        <v>500</v>
      </c>
      <c r="S18" s="30"/>
      <c r="T18" s="31"/>
      <c r="U18" s="31">
        <f>IF($C4=0,IF($A4=$A7,($B4/$B$24)*U$13),0)</f>
        <v>500</v>
      </c>
      <c r="V18" s="30"/>
      <c r="W18" s="31"/>
      <c r="X18" s="31">
        <f>IF($C4=0,IF($A4=$A7,($B4/$B$24)*X$13),0)</f>
        <v>700</v>
      </c>
    </row>
    <row r="19" spans="1:24" ht="15.6" thickTop="1" thickBot="1" x14ac:dyDescent="0.35">
      <c r="A19" s="40" t="s">
        <v>0</v>
      </c>
      <c r="B19" s="39"/>
      <c r="C19" s="39">
        <v>300</v>
      </c>
      <c r="D19" s="52"/>
      <c r="J19" s="34" t="s">
        <v>67</v>
      </c>
      <c r="K19" s="31"/>
      <c r="L19" s="31">
        <v>0</v>
      </c>
      <c r="M19" s="30"/>
      <c r="N19" s="31"/>
      <c r="O19" s="31">
        <f>IF($C5=0,IF($A5=$A8,($B5/$B$24)*O$13),0)</f>
        <v>600</v>
      </c>
      <c r="P19" s="30"/>
      <c r="Q19" s="31"/>
      <c r="R19" s="31">
        <f>IF($C5=0,IF($A5=$A8,($B5/$B$24)*R$13),0)</f>
        <v>750</v>
      </c>
      <c r="S19" s="30"/>
      <c r="T19" s="31"/>
      <c r="U19" s="31">
        <f>IF($C5=0,IF($A5=$A8,($B5/$B$24)*U$13),0)</f>
        <v>750</v>
      </c>
      <c r="V19" s="30"/>
      <c r="W19" s="31"/>
      <c r="X19" s="31">
        <f>IF($C5=0,IF($A5=$A8,($B5/$B$24)*X$13),0)</f>
        <v>1050</v>
      </c>
    </row>
    <row r="20" spans="1:24" ht="15.6" thickTop="1" thickBot="1" x14ac:dyDescent="0.35">
      <c r="A20" s="39" t="s">
        <v>15</v>
      </c>
      <c r="B20" s="39">
        <f>SUMIF(C7:C10,0,B7:B10)</f>
        <v>700</v>
      </c>
      <c r="C20" s="39"/>
      <c r="D20" s="52"/>
      <c r="J20" s="34" t="s">
        <v>68</v>
      </c>
      <c r="K20" s="31"/>
      <c r="L20" s="31">
        <v>0</v>
      </c>
      <c r="M20" s="30"/>
      <c r="N20" s="31"/>
      <c r="O20" s="31">
        <f>IF($C6=0,IF(A6=A10,(B6/$B$24)*$O$13),0)</f>
        <v>0</v>
      </c>
      <c r="P20" s="30"/>
      <c r="Q20" s="31"/>
      <c r="R20" s="31">
        <f>R8</f>
        <v>500</v>
      </c>
      <c r="S20" s="30"/>
      <c r="T20" s="31"/>
      <c r="U20" s="31">
        <f>U8</f>
        <v>975</v>
      </c>
      <c r="V20" s="30"/>
      <c r="W20" s="31"/>
      <c r="X20" s="31">
        <f>X8</f>
        <v>1400</v>
      </c>
    </row>
    <row r="21" spans="1:24" ht="15.6" thickTop="1" thickBot="1" x14ac:dyDescent="0.35">
      <c r="A21" s="40" t="s">
        <v>64</v>
      </c>
      <c r="B21" s="39"/>
      <c r="C21" s="41">
        <v>200</v>
      </c>
      <c r="D21" s="52"/>
      <c r="J21" s="34" t="s">
        <v>75</v>
      </c>
      <c r="K21" s="31"/>
      <c r="L21" s="31">
        <f>SUM(L18:L20)</f>
        <v>0</v>
      </c>
      <c r="M21" s="30"/>
      <c r="N21" s="31"/>
      <c r="O21" s="31">
        <f>SUM(O18:O20)</f>
        <v>1000</v>
      </c>
      <c r="P21" s="30"/>
      <c r="Q21" s="31"/>
      <c r="R21" s="31">
        <f>SUM(R18:R20)</f>
        <v>1750</v>
      </c>
      <c r="S21" s="30"/>
      <c r="T21" s="31"/>
      <c r="U21" s="31">
        <f>SUM(U18:U20)</f>
        <v>2225</v>
      </c>
      <c r="V21" s="30"/>
      <c r="W21" s="31"/>
      <c r="X21" s="31">
        <f>SUM(X18:X20)</f>
        <v>3150</v>
      </c>
    </row>
    <row r="22" spans="1:24" ht="15.6" thickTop="1" thickBot="1" x14ac:dyDescent="0.35">
      <c r="A22" s="40" t="s">
        <v>0</v>
      </c>
      <c r="B22" s="39"/>
      <c r="C22" s="41">
        <v>100</v>
      </c>
      <c r="J22" s="34"/>
      <c r="K22" s="31"/>
      <c r="L22" s="31"/>
      <c r="M22" s="30"/>
      <c r="N22" s="31"/>
      <c r="O22" s="31"/>
      <c r="P22" s="30"/>
      <c r="Q22" s="31"/>
      <c r="R22" s="31"/>
      <c r="S22" s="30"/>
      <c r="T22" s="31"/>
      <c r="U22" s="31"/>
      <c r="V22" s="30"/>
      <c r="W22" s="31"/>
      <c r="X22" s="31"/>
    </row>
    <row r="23" spans="1:24" ht="15.6" thickTop="1" thickBot="1" x14ac:dyDescent="0.35">
      <c r="A23" s="40" t="s">
        <v>2</v>
      </c>
      <c r="B23" s="39"/>
      <c r="C23" s="41">
        <v>200</v>
      </c>
      <c r="J23" s="30" t="s">
        <v>50</v>
      </c>
      <c r="K23" s="30"/>
      <c r="L23" s="31">
        <f>+L14</f>
        <v>0</v>
      </c>
      <c r="M23" s="30"/>
      <c r="N23" s="30"/>
      <c r="O23" s="31">
        <f>+O14</f>
        <v>1000</v>
      </c>
      <c r="P23" s="30"/>
      <c r="Q23" s="30"/>
      <c r="R23" s="31">
        <f>+R14</f>
        <v>1250</v>
      </c>
      <c r="S23" s="30"/>
      <c r="T23" s="30"/>
      <c r="U23" s="31">
        <f>+U14</f>
        <v>1250</v>
      </c>
      <c r="V23" s="30"/>
      <c r="W23" s="30"/>
      <c r="X23" s="31">
        <f>+X14</f>
        <v>1750</v>
      </c>
    </row>
    <row r="24" spans="1:24" ht="15.6" thickTop="1" thickBot="1" x14ac:dyDescent="0.35">
      <c r="A24" s="39" t="s">
        <v>16</v>
      </c>
      <c r="B24" s="39">
        <f>MIN(B17,B20)</f>
        <v>500</v>
      </c>
      <c r="C24" s="42">
        <v>0</v>
      </c>
      <c r="J24" s="34" t="s">
        <v>66</v>
      </c>
      <c r="K24" s="30"/>
      <c r="L24" s="31">
        <v>0</v>
      </c>
      <c r="M24" s="30"/>
      <c r="N24" s="30"/>
      <c r="O24" s="31">
        <f>IF($C7=0,IF($A4=$A7,($B7/$B$24)*O$14),0)</f>
        <v>400</v>
      </c>
      <c r="P24" s="30"/>
      <c r="Q24" s="30"/>
      <c r="R24" s="31">
        <f>IF($C7=0,IF($A4=$A7,($B7/$B$24)*R$14),0)</f>
        <v>500</v>
      </c>
      <c r="S24" s="30"/>
      <c r="T24" s="30"/>
      <c r="U24" s="31">
        <f>IF($C7=0,IF($A4=$A7,($B7/$B$24)*U$14),0)</f>
        <v>500</v>
      </c>
      <c r="V24" s="30"/>
      <c r="W24" s="30"/>
      <c r="X24" s="31">
        <f>IF($C7=0,IF($A4=$A7,($B7/$B$24)*X$14),0)</f>
        <v>700</v>
      </c>
    </row>
    <row r="25" spans="1:24" ht="15" thickTop="1" x14ac:dyDescent="0.3">
      <c r="C25" s="2"/>
      <c r="J25" s="34" t="s">
        <v>67</v>
      </c>
      <c r="K25" s="30"/>
      <c r="L25" s="31">
        <v>0</v>
      </c>
      <c r="M25" s="30"/>
      <c r="N25" s="30"/>
      <c r="O25" s="31">
        <f>IF($C8=0,IF($A5=$A8,($B8/$B$24)*O$14),0)</f>
        <v>200</v>
      </c>
      <c r="P25" s="30"/>
      <c r="Q25" s="30"/>
      <c r="R25" s="31">
        <f>IF($C8=0,IF($A5=$A8,($B8/$B$24)*R$14),0)</f>
        <v>250</v>
      </c>
      <c r="S25" s="30"/>
      <c r="T25" s="30"/>
      <c r="U25" s="31">
        <f>IF($C8=0,IF($A5=$A8,($B8/$B$24)*U$14),0)</f>
        <v>250</v>
      </c>
      <c r="V25" s="30"/>
      <c r="W25" s="30"/>
      <c r="X25" s="31">
        <f>IF($C8=0,IF($A5=$A8,($B8/$B$24)*X$14),0)</f>
        <v>350</v>
      </c>
    </row>
    <row r="26" spans="1:24" ht="15" thickBot="1" x14ac:dyDescent="0.35">
      <c r="A26" s="35" t="s">
        <v>87</v>
      </c>
      <c r="J26" s="34" t="s">
        <v>69</v>
      </c>
      <c r="K26" s="30"/>
      <c r="L26" s="31">
        <v>0</v>
      </c>
      <c r="M26" s="30"/>
      <c r="N26" s="30"/>
      <c r="O26" s="31">
        <f>O14-(O24+O25)</f>
        <v>400</v>
      </c>
      <c r="P26" s="30"/>
      <c r="Q26" s="30"/>
      <c r="R26" s="31">
        <f>R14-(R24+R25)</f>
        <v>500</v>
      </c>
      <c r="S26" s="30"/>
      <c r="T26" s="30"/>
      <c r="U26" s="31">
        <f>U14-(U24+U25)</f>
        <v>500</v>
      </c>
      <c r="V26" s="30"/>
      <c r="W26" s="30"/>
      <c r="X26" s="31">
        <f>X14-(X24+X25)</f>
        <v>700</v>
      </c>
    </row>
    <row r="27" spans="1:24" ht="15.6" thickTop="1" thickBot="1" x14ac:dyDescent="0.35">
      <c r="A27" s="39" t="s">
        <v>18</v>
      </c>
      <c r="B27" s="39">
        <f>B6</f>
        <v>500</v>
      </c>
      <c r="C27" s="39"/>
      <c r="D27" s="39"/>
      <c r="J27" s="34" t="s">
        <v>70</v>
      </c>
      <c r="K27" s="30"/>
      <c r="L27" s="31">
        <v>0</v>
      </c>
      <c r="M27" s="30"/>
      <c r="N27" s="30"/>
      <c r="O27" s="31">
        <f>O9</f>
        <v>0</v>
      </c>
      <c r="P27" s="30"/>
      <c r="Q27" s="30"/>
      <c r="R27" s="31">
        <f>R9</f>
        <v>0</v>
      </c>
      <c r="S27" s="30"/>
      <c r="T27" s="30"/>
      <c r="U27" s="31">
        <f>U9</f>
        <v>0</v>
      </c>
      <c r="V27" s="30"/>
      <c r="W27" s="30"/>
      <c r="X27" s="31">
        <f>X9</f>
        <v>0</v>
      </c>
    </row>
    <row r="28" spans="1:24" ht="15.6" thickTop="1" thickBot="1" x14ac:dyDescent="0.35">
      <c r="A28" s="40" t="s">
        <v>1</v>
      </c>
      <c r="B28" s="39"/>
      <c r="C28" s="43">
        <v>500</v>
      </c>
      <c r="D28" s="44">
        <f>C6</f>
        <v>5</v>
      </c>
      <c r="J28" s="34"/>
      <c r="K28" s="30"/>
      <c r="L28" s="31"/>
      <c r="M28" s="30"/>
      <c r="N28" s="30"/>
      <c r="O28" s="31"/>
      <c r="P28" s="30"/>
      <c r="Q28" s="30"/>
      <c r="R28" s="31"/>
      <c r="S28" s="30"/>
      <c r="T28" s="30"/>
      <c r="U28" s="33"/>
      <c r="V28" s="30"/>
      <c r="W28" s="30"/>
      <c r="X28" s="33"/>
    </row>
    <row r="29" spans="1:24" ht="15.6" thickTop="1" thickBot="1" x14ac:dyDescent="0.35">
      <c r="A29" s="39" t="s">
        <v>84</v>
      </c>
      <c r="B29" s="39">
        <v>200</v>
      </c>
      <c r="C29" s="44"/>
      <c r="D29" s="44"/>
      <c r="J29" s="34" t="s">
        <v>76</v>
      </c>
      <c r="K29" s="30"/>
      <c r="L29" s="31">
        <f>SUM(L24:L27)</f>
        <v>0</v>
      </c>
      <c r="M29" s="30"/>
      <c r="N29" s="30"/>
      <c r="O29" s="31">
        <f>SUM(O24:O27)</f>
        <v>1000</v>
      </c>
      <c r="P29" s="30"/>
      <c r="Q29" s="30"/>
      <c r="R29" s="31">
        <f>SUM(R24:R27)</f>
        <v>1250</v>
      </c>
      <c r="S29" s="30"/>
      <c r="T29" s="30"/>
      <c r="U29" s="31">
        <f>SUM(U24:U27)</f>
        <v>1250</v>
      </c>
      <c r="V29" s="30"/>
      <c r="W29" s="30"/>
      <c r="X29" s="31">
        <f>SUM(X24:X27)</f>
        <v>1750</v>
      </c>
    </row>
    <row r="30" spans="1:24" ht="15.6" thickTop="1" thickBot="1" x14ac:dyDescent="0.35">
      <c r="A30" s="40" t="s">
        <v>3</v>
      </c>
      <c r="B30" s="39"/>
      <c r="C30" s="43">
        <v>200</v>
      </c>
      <c r="D30" s="44">
        <f>C10</f>
        <v>0</v>
      </c>
      <c r="J30" s="34"/>
      <c r="K30" s="30"/>
      <c r="L30" s="31"/>
      <c r="M30" s="30"/>
      <c r="N30" s="30"/>
      <c r="O30" s="31"/>
      <c r="P30" s="30"/>
      <c r="Q30" s="30"/>
      <c r="R30" s="31"/>
      <c r="S30" s="30"/>
      <c r="T30" s="30"/>
      <c r="U30" s="31"/>
      <c r="V30" s="30"/>
      <c r="W30" s="30"/>
      <c r="X30" s="31"/>
    </row>
    <row r="31" spans="1:24" ht="15.6" thickTop="1" thickBot="1" x14ac:dyDescent="0.35">
      <c r="A31" s="39" t="s">
        <v>85</v>
      </c>
      <c r="B31" s="39">
        <f>MIN(B27,B29)</f>
        <v>200</v>
      </c>
      <c r="C31" s="44"/>
      <c r="D31" s="44">
        <f>SUM(D28:D30)</f>
        <v>5</v>
      </c>
      <c r="J31" s="30" t="s">
        <v>77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15" thickTop="1" x14ac:dyDescent="0.3">
      <c r="J32" s="34" t="s">
        <v>66</v>
      </c>
      <c r="K32" s="30"/>
      <c r="L32" s="31">
        <f>+L24+L18</f>
        <v>0</v>
      </c>
      <c r="M32" s="30"/>
      <c r="N32" s="30"/>
      <c r="O32" s="31">
        <f>+O24+O18</f>
        <v>800</v>
      </c>
      <c r="P32" s="30"/>
      <c r="Q32" s="30"/>
      <c r="R32" s="31">
        <f>+R24+R18</f>
        <v>1000</v>
      </c>
      <c r="S32" s="30"/>
      <c r="T32" s="30"/>
      <c r="U32" s="31">
        <f>+U24+U18</f>
        <v>1000</v>
      </c>
      <c r="V32" s="30"/>
      <c r="W32" s="30"/>
      <c r="X32" s="31">
        <f>+X24+X18</f>
        <v>1400</v>
      </c>
    </row>
    <row r="33" spans="1:24" x14ac:dyDescent="0.3">
      <c r="J33" s="34" t="s">
        <v>67</v>
      </c>
      <c r="K33" s="30"/>
      <c r="L33" s="31">
        <f>+L25+L19</f>
        <v>0</v>
      </c>
      <c r="M33" s="30"/>
      <c r="N33" s="30"/>
      <c r="O33" s="31">
        <f>+O25+O19</f>
        <v>800</v>
      </c>
      <c r="P33" s="30"/>
      <c r="Q33" s="30"/>
      <c r="R33" s="31">
        <f>+R25+R19</f>
        <v>1000</v>
      </c>
      <c r="S33" s="30"/>
      <c r="T33" s="30"/>
      <c r="U33" s="31">
        <f>+U25+U19</f>
        <v>1000</v>
      </c>
      <c r="V33" s="30"/>
      <c r="W33" s="30"/>
      <c r="X33" s="31">
        <f>+X25+X19</f>
        <v>1400</v>
      </c>
    </row>
    <row r="34" spans="1:24" x14ac:dyDescent="0.3">
      <c r="J34" s="34" t="s">
        <v>69</v>
      </c>
      <c r="K34" s="30"/>
      <c r="L34" s="31">
        <f>+L26</f>
        <v>0</v>
      </c>
      <c r="M34" s="30"/>
      <c r="N34" s="30"/>
      <c r="O34" s="31">
        <f>+O26</f>
        <v>400</v>
      </c>
      <c r="P34" s="30"/>
      <c r="Q34" s="30"/>
      <c r="R34" s="31">
        <f>+R26</f>
        <v>500</v>
      </c>
      <c r="S34" s="30"/>
      <c r="T34" s="30"/>
      <c r="U34" s="31">
        <f>+U26</f>
        <v>500</v>
      </c>
      <c r="V34" s="30"/>
      <c r="W34" s="30"/>
      <c r="X34" s="31">
        <f>+X26</f>
        <v>700</v>
      </c>
    </row>
    <row r="35" spans="1:24" x14ac:dyDescent="0.3">
      <c r="J35" s="34" t="s">
        <v>68</v>
      </c>
      <c r="K35" s="30"/>
      <c r="L35" s="31">
        <f>+L20</f>
        <v>0</v>
      </c>
      <c r="M35" s="30"/>
      <c r="N35" s="30"/>
      <c r="O35" s="31">
        <f>+O20</f>
        <v>0</v>
      </c>
      <c r="P35" s="30"/>
      <c r="Q35" s="30"/>
      <c r="R35" s="31">
        <f>+R20</f>
        <v>500</v>
      </c>
      <c r="S35" s="30"/>
      <c r="T35" s="30"/>
      <c r="U35" s="31">
        <f>+U20</f>
        <v>975</v>
      </c>
      <c r="V35" s="30"/>
      <c r="W35" s="30"/>
      <c r="X35" s="31">
        <f>+X20</f>
        <v>1400</v>
      </c>
    </row>
    <row r="36" spans="1:24" x14ac:dyDescent="0.3">
      <c r="J36" s="34" t="s">
        <v>70</v>
      </c>
      <c r="K36" s="30"/>
      <c r="L36" s="31">
        <f>+L27</f>
        <v>0</v>
      </c>
      <c r="M36" s="30"/>
      <c r="N36" s="30"/>
      <c r="O36" s="31">
        <f>+O27</f>
        <v>0</v>
      </c>
      <c r="P36" s="30"/>
      <c r="Q36" s="30"/>
      <c r="R36" s="31">
        <f>+R27</f>
        <v>0</v>
      </c>
      <c r="S36" s="30"/>
      <c r="T36" s="30"/>
      <c r="U36" s="31">
        <f>+U27</f>
        <v>0</v>
      </c>
      <c r="V36" s="30"/>
      <c r="W36" s="30"/>
      <c r="X36" s="31">
        <f>+X27</f>
        <v>0</v>
      </c>
    </row>
    <row r="37" spans="1:24" x14ac:dyDescent="0.3">
      <c r="J37" s="28"/>
      <c r="L37" s="7"/>
      <c r="O37" s="2"/>
    </row>
    <row r="38" spans="1:24" x14ac:dyDescent="0.3">
      <c r="A38" t="s">
        <v>58</v>
      </c>
    </row>
    <row r="39" spans="1:24" x14ac:dyDescent="0.3">
      <c r="K39" s="7"/>
      <c r="L39" s="7"/>
      <c r="N39" s="7"/>
      <c r="O39" s="7"/>
      <c r="R39" s="7"/>
      <c r="U39" s="7"/>
      <c r="X39" s="7"/>
    </row>
    <row r="40" spans="1:24" x14ac:dyDescent="0.3">
      <c r="J40" s="28"/>
      <c r="K40" s="7"/>
      <c r="L40" s="7"/>
      <c r="N40" s="7"/>
      <c r="O40" s="7"/>
      <c r="R40" s="7"/>
      <c r="U40" s="7"/>
      <c r="X40" s="7"/>
    </row>
    <row r="41" spans="1:24" x14ac:dyDescent="0.3">
      <c r="J41" s="28"/>
      <c r="K41" s="7"/>
      <c r="L41" s="7"/>
      <c r="N41" s="7"/>
      <c r="O41" s="7"/>
      <c r="R41" s="7"/>
      <c r="U41" s="7"/>
      <c r="X41" s="7"/>
    </row>
    <row r="42" spans="1:24" x14ac:dyDescent="0.3">
      <c r="J42" s="28"/>
      <c r="K42" s="7"/>
      <c r="L42" s="7"/>
      <c r="N42" s="7"/>
      <c r="O42" s="7"/>
      <c r="R42" s="7"/>
      <c r="U42" s="7"/>
      <c r="X42" s="7"/>
    </row>
    <row r="43" spans="1:24" x14ac:dyDescent="0.3">
      <c r="J43" s="28"/>
      <c r="K43" s="7"/>
      <c r="L43" s="7"/>
      <c r="N43" s="7"/>
      <c r="O43" s="7"/>
      <c r="Q43" s="7"/>
      <c r="R43" s="7"/>
      <c r="T43" s="7"/>
      <c r="U43" s="7"/>
      <c r="W43" s="7"/>
      <c r="X43" s="7"/>
    </row>
    <row r="44" spans="1:24" x14ac:dyDescent="0.3">
      <c r="L44" s="7"/>
      <c r="O44" s="7"/>
      <c r="R44" s="7"/>
      <c r="U44" s="7"/>
      <c r="X44" s="7"/>
    </row>
    <row r="45" spans="1:24" x14ac:dyDescent="0.3">
      <c r="J45" s="28"/>
      <c r="L45" s="7"/>
      <c r="O45" s="7"/>
      <c r="R45" s="7"/>
      <c r="U45" s="7"/>
      <c r="X45" s="7"/>
    </row>
    <row r="46" spans="1:24" x14ac:dyDescent="0.3">
      <c r="J46" s="28"/>
      <c r="L46" s="7"/>
      <c r="O46" s="7"/>
      <c r="R46" s="7"/>
      <c r="U46" s="7"/>
      <c r="X46" s="7"/>
    </row>
    <row r="47" spans="1:24" x14ac:dyDescent="0.3">
      <c r="J47" s="28"/>
      <c r="L47" s="7"/>
      <c r="O47" s="7"/>
      <c r="R47" s="7"/>
      <c r="U47" s="7"/>
      <c r="X47" s="7"/>
    </row>
    <row r="48" spans="1:24" x14ac:dyDescent="0.3">
      <c r="J48" s="28"/>
      <c r="L48" s="7"/>
      <c r="O48" s="2"/>
    </row>
    <row r="49" spans="10:24" x14ac:dyDescent="0.3">
      <c r="J49" s="28"/>
      <c r="L49" s="7"/>
      <c r="O49" s="7"/>
      <c r="R49" s="7"/>
      <c r="U49" s="7"/>
      <c r="X49" s="7"/>
    </row>
    <row r="50" spans="10:24" x14ac:dyDescent="0.3">
      <c r="J50" s="28"/>
      <c r="L50" s="7"/>
      <c r="O50" s="7"/>
      <c r="R50" s="7"/>
      <c r="U50" s="7"/>
      <c r="X50" s="7"/>
    </row>
    <row r="52" spans="10:24" x14ac:dyDescent="0.3">
      <c r="J52" s="28"/>
      <c r="L52" s="7"/>
      <c r="O52" s="7"/>
      <c r="R52" s="7"/>
      <c r="U52" s="7"/>
      <c r="X52" s="7"/>
    </row>
    <row r="53" spans="10:24" x14ac:dyDescent="0.3">
      <c r="J53" s="28"/>
      <c r="L53" s="7"/>
      <c r="O53" s="7"/>
      <c r="R53" s="7"/>
      <c r="U53" s="7"/>
      <c r="X53" s="7"/>
    </row>
    <row r="54" spans="10:24" x14ac:dyDescent="0.3">
      <c r="J54" s="28"/>
      <c r="L54" s="7"/>
      <c r="O54" s="7"/>
      <c r="R54" s="7"/>
      <c r="U54" s="7"/>
      <c r="X54" s="7"/>
    </row>
    <row r="55" spans="10:24" x14ac:dyDescent="0.3">
      <c r="J55" s="28"/>
      <c r="L55" s="7"/>
      <c r="O55" s="7"/>
      <c r="R55" s="7"/>
      <c r="U55" s="7"/>
      <c r="X55" s="7"/>
    </row>
    <row r="56" spans="10:24" x14ac:dyDescent="0.3">
      <c r="J56" s="28"/>
      <c r="L56" s="7"/>
      <c r="O56" s="7"/>
      <c r="R56" s="7"/>
      <c r="U56" s="7"/>
      <c r="X56" s="7"/>
    </row>
    <row r="58" spans="10:24" x14ac:dyDescent="0.3"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0:24" x14ac:dyDescent="0.3">
      <c r="J59" s="30"/>
      <c r="K59" s="31"/>
      <c r="L59" s="31"/>
      <c r="M59" s="30"/>
      <c r="N59" s="31"/>
      <c r="O59" s="31"/>
      <c r="P59" s="30"/>
      <c r="Q59" s="30"/>
      <c r="R59" s="31"/>
      <c r="S59" s="30"/>
      <c r="T59" s="30"/>
      <c r="U59" s="31"/>
      <c r="V59" s="30"/>
      <c r="W59" s="30"/>
      <c r="X59" s="31"/>
    </row>
    <row r="60" spans="10:24" x14ac:dyDescent="0.3">
      <c r="J60" s="34"/>
      <c r="K60" s="31"/>
      <c r="L60" s="31"/>
      <c r="M60" s="30"/>
      <c r="N60" s="31"/>
      <c r="O60" s="31"/>
      <c r="P60" s="30"/>
      <c r="Q60" s="30"/>
      <c r="R60" s="31"/>
      <c r="S60" s="30"/>
      <c r="T60" s="30"/>
      <c r="U60" s="31"/>
      <c r="V60" s="30"/>
      <c r="W60" s="30"/>
      <c r="X60" s="31"/>
    </row>
    <row r="61" spans="10:24" x14ac:dyDescent="0.3">
      <c r="J61" s="34"/>
      <c r="K61" s="31"/>
      <c r="L61" s="31"/>
      <c r="M61" s="30"/>
      <c r="N61" s="31"/>
      <c r="O61" s="31"/>
      <c r="P61" s="30"/>
      <c r="Q61" s="30"/>
      <c r="R61" s="31"/>
      <c r="S61" s="30"/>
      <c r="T61" s="30"/>
      <c r="U61" s="31"/>
      <c r="V61" s="30"/>
      <c r="W61" s="30"/>
      <c r="X61" s="31"/>
    </row>
    <row r="62" spans="10:24" x14ac:dyDescent="0.3">
      <c r="J62" s="34"/>
      <c r="K62" s="31"/>
      <c r="L62" s="31"/>
      <c r="M62" s="30"/>
      <c r="N62" s="31"/>
      <c r="O62" s="31"/>
      <c r="P62" s="30"/>
      <c r="Q62" s="30"/>
      <c r="R62" s="31"/>
      <c r="S62" s="30"/>
      <c r="T62" s="30"/>
      <c r="U62" s="31"/>
      <c r="V62" s="30"/>
      <c r="W62" s="30"/>
      <c r="X62" s="31"/>
    </row>
    <row r="63" spans="10:24" x14ac:dyDescent="0.3">
      <c r="J63" s="34"/>
      <c r="K63" s="31"/>
      <c r="L63" s="31"/>
      <c r="M63" s="30"/>
      <c r="N63" s="31"/>
      <c r="O63" s="31"/>
      <c r="P63" s="30"/>
      <c r="Q63" s="31"/>
      <c r="R63" s="31"/>
      <c r="S63" s="30"/>
      <c r="T63" s="31"/>
      <c r="U63" s="31"/>
      <c r="V63" s="30"/>
      <c r="W63" s="31"/>
      <c r="X63" s="31"/>
    </row>
    <row r="64" spans="10:24" x14ac:dyDescent="0.3">
      <c r="J64" s="30"/>
      <c r="K64" s="30"/>
      <c r="L64" s="31"/>
      <c r="M64" s="30"/>
      <c r="N64" s="30"/>
      <c r="O64" s="31"/>
      <c r="P64" s="30"/>
      <c r="Q64" s="30"/>
      <c r="R64" s="31"/>
      <c r="S64" s="30"/>
      <c r="T64" s="30"/>
      <c r="U64" s="31"/>
      <c r="V64" s="30"/>
      <c r="W64" s="30"/>
      <c r="X64" s="31"/>
    </row>
    <row r="65" spans="10:24" x14ac:dyDescent="0.3">
      <c r="J65" s="34"/>
      <c r="K65" s="30"/>
      <c r="L65" s="31"/>
      <c r="M65" s="30"/>
      <c r="N65" s="30"/>
      <c r="O65" s="31"/>
      <c r="P65" s="30"/>
      <c r="Q65" s="30"/>
      <c r="R65" s="31"/>
      <c r="S65" s="30"/>
      <c r="T65" s="30"/>
      <c r="U65" s="31"/>
      <c r="V65" s="30"/>
      <c r="W65" s="30"/>
      <c r="X65" s="31"/>
    </row>
    <row r="66" spans="10:24" x14ac:dyDescent="0.3">
      <c r="J66" s="34"/>
      <c r="K66" s="30"/>
      <c r="L66" s="31"/>
      <c r="M66" s="30"/>
      <c r="N66" s="30"/>
      <c r="O66" s="31"/>
      <c r="P66" s="30"/>
      <c r="Q66" s="30"/>
      <c r="R66" s="31"/>
      <c r="S66" s="30"/>
      <c r="T66" s="30"/>
      <c r="U66" s="31"/>
      <c r="V66" s="30"/>
      <c r="W66" s="30"/>
      <c r="X66" s="31"/>
    </row>
    <row r="67" spans="10:24" x14ac:dyDescent="0.3">
      <c r="J67" s="34"/>
      <c r="K67" s="30"/>
      <c r="L67" s="31"/>
      <c r="M67" s="30"/>
      <c r="N67" s="30"/>
      <c r="O67" s="31"/>
      <c r="P67" s="30"/>
      <c r="Q67" s="30"/>
      <c r="R67" s="31"/>
      <c r="S67" s="30"/>
      <c r="T67" s="30"/>
      <c r="U67" s="31"/>
      <c r="V67" s="30"/>
      <c r="W67" s="30"/>
      <c r="X67" s="31"/>
    </row>
    <row r="68" spans="10:24" x14ac:dyDescent="0.3">
      <c r="J68" s="34"/>
      <c r="K68" s="30"/>
      <c r="L68" s="31"/>
      <c r="M68" s="30"/>
      <c r="N68" s="30"/>
      <c r="O68" s="33"/>
      <c r="P68" s="30"/>
      <c r="Q68" s="30"/>
      <c r="R68" s="33"/>
      <c r="S68" s="30"/>
      <c r="T68" s="30"/>
      <c r="U68" s="33"/>
      <c r="V68" s="30"/>
      <c r="W68" s="30"/>
      <c r="X68" s="33"/>
    </row>
    <row r="69" spans="10:24" x14ac:dyDescent="0.3">
      <c r="J69" s="34"/>
      <c r="K69" s="30"/>
      <c r="L69" s="31"/>
      <c r="M69" s="30"/>
      <c r="N69" s="30"/>
      <c r="O69" s="31"/>
      <c r="P69" s="30"/>
      <c r="Q69" s="30"/>
      <c r="R69" s="31"/>
      <c r="S69" s="30"/>
      <c r="T69" s="30"/>
      <c r="U69" s="31"/>
      <c r="V69" s="30"/>
      <c r="W69" s="30"/>
      <c r="X69" s="31"/>
    </row>
    <row r="70" spans="10:24" x14ac:dyDescent="0.3"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0:24" x14ac:dyDescent="0.3"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0:24" x14ac:dyDescent="0.3">
      <c r="J72" s="34"/>
      <c r="K72" s="30"/>
      <c r="L72" s="31"/>
      <c r="M72" s="30"/>
      <c r="N72" s="30"/>
      <c r="O72" s="31"/>
      <c r="P72" s="30"/>
      <c r="Q72" s="30"/>
      <c r="R72" s="31"/>
      <c r="S72" s="30"/>
      <c r="T72" s="30"/>
      <c r="U72" s="31"/>
      <c r="V72" s="30"/>
      <c r="W72" s="30"/>
      <c r="X72" s="31"/>
    </row>
    <row r="73" spans="10:24" x14ac:dyDescent="0.3">
      <c r="J73" s="34"/>
      <c r="K73" s="30"/>
      <c r="L73" s="31"/>
      <c r="M73" s="30"/>
      <c r="N73" s="30"/>
      <c r="O73" s="31"/>
      <c r="P73" s="30"/>
      <c r="Q73" s="30"/>
      <c r="R73" s="31"/>
      <c r="S73" s="30"/>
      <c r="T73" s="30"/>
      <c r="U73" s="31"/>
      <c r="V73" s="30"/>
      <c r="W73" s="30"/>
      <c r="X73" s="31"/>
    </row>
    <row r="74" spans="10:24" x14ac:dyDescent="0.3">
      <c r="J74" s="34"/>
      <c r="K74" s="30"/>
      <c r="L74" s="31"/>
      <c r="M74" s="30"/>
      <c r="N74" s="30"/>
      <c r="O74" s="31"/>
      <c r="P74" s="30"/>
      <c r="Q74" s="30"/>
      <c r="R74" s="31"/>
      <c r="S74" s="30"/>
      <c r="T74" s="30"/>
      <c r="U74" s="31"/>
      <c r="V74" s="30"/>
      <c r="W74" s="30"/>
      <c r="X74" s="31"/>
    </row>
    <row r="75" spans="10:24" x14ac:dyDescent="0.3">
      <c r="J75" s="34"/>
      <c r="K75" s="30"/>
      <c r="L75" s="31"/>
      <c r="M75" s="30"/>
      <c r="N75" s="30"/>
      <c r="O75" s="31"/>
      <c r="P75" s="30"/>
      <c r="Q75" s="30"/>
      <c r="R75" s="31"/>
      <c r="S75" s="30"/>
      <c r="T75" s="30"/>
      <c r="U75" s="31"/>
      <c r="V75" s="30"/>
      <c r="W75" s="30"/>
      <c r="X75" s="31"/>
    </row>
    <row r="76" spans="10:24" x14ac:dyDescent="0.3">
      <c r="J76" s="34"/>
      <c r="K76" s="30"/>
      <c r="L76" s="31"/>
      <c r="M76" s="30"/>
      <c r="N76" s="30"/>
      <c r="O76" s="31"/>
      <c r="P76" s="30"/>
      <c r="Q76" s="30"/>
      <c r="R76" s="31"/>
      <c r="S76" s="30"/>
      <c r="T76" s="30"/>
      <c r="U76" s="31"/>
      <c r="V76" s="30"/>
      <c r="W76" s="30"/>
      <c r="X76" s="31"/>
    </row>
  </sheetData>
  <mergeCells count="8">
    <mergeCell ref="D17:D21"/>
    <mergeCell ref="T1:U1"/>
    <mergeCell ref="W1:X1"/>
    <mergeCell ref="D4:D6"/>
    <mergeCell ref="D7:D10"/>
    <mergeCell ref="K1:L1"/>
    <mergeCell ref="N1:O1"/>
    <mergeCell ref="Q1:R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7"/>
  <sheetViews>
    <sheetView tabSelected="1" topLeftCell="A25" zoomScale="90" zoomScaleNormal="90" workbookViewId="0">
      <selection activeCell="Q6" sqref="Q6"/>
    </sheetView>
  </sheetViews>
  <sheetFormatPr defaultRowHeight="14.4" x14ac:dyDescent="0.3"/>
  <cols>
    <col min="2" max="2" width="24.5546875" customWidth="1"/>
    <col min="10" max="10" width="31.6640625" customWidth="1"/>
    <col min="13" max="13" width="4" customWidth="1"/>
    <col min="15" max="15" width="12.88671875" customWidth="1"/>
    <col min="16" max="16" width="4" customWidth="1"/>
    <col min="18" max="18" width="12.88671875" customWidth="1"/>
    <col min="19" max="19" width="4" customWidth="1"/>
    <col min="21" max="21" width="14.77734375" customWidth="1"/>
    <col min="22" max="22" width="4.33203125" customWidth="1"/>
    <col min="24" max="24" width="16.6640625" customWidth="1"/>
  </cols>
  <sheetData>
    <row r="1" spans="1:24" ht="28.95" customHeight="1" x14ac:dyDescent="0.3">
      <c r="J1" s="5"/>
      <c r="K1" s="53" t="s">
        <v>59</v>
      </c>
      <c r="L1" s="53"/>
      <c r="M1" s="5"/>
      <c r="N1" s="53" t="s">
        <v>60</v>
      </c>
      <c r="O1" s="53"/>
      <c r="P1" s="5"/>
      <c r="Q1" s="56" t="s">
        <v>81</v>
      </c>
      <c r="R1" s="56"/>
      <c r="S1" s="5"/>
      <c r="T1" s="56" t="s">
        <v>82</v>
      </c>
      <c r="U1" s="56"/>
      <c r="W1" s="56" t="s">
        <v>83</v>
      </c>
      <c r="X1" s="56"/>
    </row>
    <row r="2" spans="1:24" x14ac:dyDescent="0.3">
      <c r="C2" s="59" t="s">
        <v>33</v>
      </c>
      <c r="D2" s="60"/>
      <c r="E2" s="61" t="s">
        <v>34</v>
      </c>
      <c r="F2" s="61"/>
      <c r="G2" s="59"/>
      <c r="H2" s="60"/>
      <c r="J2" t="s">
        <v>9</v>
      </c>
      <c r="K2" s="2"/>
      <c r="L2" s="2">
        <v>29</v>
      </c>
      <c r="M2" s="2"/>
      <c r="N2" s="2"/>
      <c r="O2" s="2">
        <v>25</v>
      </c>
      <c r="P2" s="2"/>
      <c r="Q2" s="2"/>
      <c r="R2" s="2">
        <v>25</v>
      </c>
      <c r="S2" s="2"/>
      <c r="T2" s="2"/>
      <c r="U2" s="2">
        <v>25</v>
      </c>
      <c r="W2" s="2"/>
      <c r="X2" s="2">
        <v>25</v>
      </c>
    </row>
    <row r="3" spans="1:24" x14ac:dyDescent="0.3">
      <c r="B3" s="5"/>
      <c r="C3" s="15" t="s">
        <v>4</v>
      </c>
      <c r="D3" s="18" t="s">
        <v>5</v>
      </c>
      <c r="E3" s="6" t="s">
        <v>4</v>
      </c>
      <c r="F3" s="6" t="s">
        <v>5</v>
      </c>
      <c r="G3" s="15"/>
      <c r="H3" s="18"/>
      <c r="J3" t="s">
        <v>10</v>
      </c>
      <c r="K3" s="2"/>
      <c r="L3" s="2">
        <v>29</v>
      </c>
      <c r="M3" s="2"/>
      <c r="N3" s="2"/>
      <c r="O3" s="2">
        <v>29</v>
      </c>
      <c r="P3" s="2"/>
      <c r="Q3" s="2"/>
      <c r="R3" s="2">
        <v>31</v>
      </c>
      <c r="S3" s="2"/>
      <c r="T3" s="2"/>
      <c r="U3" s="2">
        <v>31</v>
      </c>
      <c r="W3" s="2"/>
      <c r="X3" s="2">
        <v>31</v>
      </c>
    </row>
    <row r="4" spans="1:24" x14ac:dyDescent="0.3">
      <c r="B4" t="s">
        <v>64</v>
      </c>
      <c r="C4" s="16">
        <v>400</v>
      </c>
      <c r="D4" s="19">
        <v>0</v>
      </c>
      <c r="F4" s="2"/>
      <c r="G4" s="22"/>
      <c r="H4" s="21"/>
      <c r="J4" t="s">
        <v>28</v>
      </c>
      <c r="K4" s="2"/>
      <c r="L4" s="2">
        <v>29</v>
      </c>
      <c r="M4" s="2"/>
      <c r="N4" s="2"/>
      <c r="O4" s="2">
        <v>29</v>
      </c>
      <c r="P4" s="2"/>
      <c r="Q4" s="2"/>
      <c r="R4" s="2">
        <v>29</v>
      </c>
      <c r="S4" s="2"/>
      <c r="T4" s="2"/>
      <c r="U4" s="2">
        <v>29</v>
      </c>
      <c r="W4" s="2"/>
      <c r="X4" s="2">
        <v>29</v>
      </c>
    </row>
    <row r="5" spans="1:24" x14ac:dyDescent="0.3">
      <c r="B5" t="s">
        <v>0</v>
      </c>
      <c r="C5" s="16">
        <v>0</v>
      </c>
      <c r="D5" s="19">
        <v>0</v>
      </c>
      <c r="F5" s="2"/>
      <c r="G5" s="22"/>
      <c r="H5" s="2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W5" s="2"/>
      <c r="X5" s="2"/>
    </row>
    <row r="6" spans="1:24" x14ac:dyDescent="0.3">
      <c r="B6" s="13" t="s">
        <v>1</v>
      </c>
      <c r="C6" s="16">
        <v>0</v>
      </c>
      <c r="D6" s="19">
        <v>5</v>
      </c>
      <c r="F6" s="2"/>
      <c r="G6" s="22"/>
      <c r="H6" s="21"/>
      <c r="J6" t="s">
        <v>38</v>
      </c>
      <c r="K6">
        <v>350</v>
      </c>
      <c r="N6">
        <v>400</v>
      </c>
      <c r="Q6">
        <v>700</v>
      </c>
      <c r="T6">
        <v>700</v>
      </c>
      <c r="W6">
        <v>700</v>
      </c>
    </row>
    <row r="7" spans="1:24" x14ac:dyDescent="0.3">
      <c r="B7" s="3" t="s">
        <v>65</v>
      </c>
      <c r="C7" s="16"/>
      <c r="D7" s="19"/>
      <c r="E7">
        <v>600</v>
      </c>
      <c r="F7" s="2">
        <v>0</v>
      </c>
      <c r="G7" s="22"/>
      <c r="H7" s="21"/>
      <c r="J7" t="s">
        <v>54</v>
      </c>
      <c r="K7" t="s">
        <v>41</v>
      </c>
      <c r="N7" t="s">
        <v>42</v>
      </c>
      <c r="Q7" t="s">
        <v>42</v>
      </c>
      <c r="T7" t="s">
        <v>42</v>
      </c>
      <c r="W7" t="s">
        <v>42</v>
      </c>
    </row>
    <row r="8" spans="1:24" x14ac:dyDescent="0.3">
      <c r="B8" s="3" t="s">
        <v>21</v>
      </c>
      <c r="C8" s="16"/>
      <c r="D8" s="19"/>
      <c r="E8">
        <v>0</v>
      </c>
      <c r="F8" s="2">
        <v>0</v>
      </c>
      <c r="G8" s="22"/>
      <c r="H8" s="21"/>
      <c r="J8" t="s">
        <v>55</v>
      </c>
      <c r="K8" t="s">
        <v>41</v>
      </c>
      <c r="N8" t="s">
        <v>41</v>
      </c>
      <c r="Q8" t="s">
        <v>41</v>
      </c>
      <c r="T8" t="s">
        <v>41</v>
      </c>
      <c r="W8" t="s">
        <v>41</v>
      </c>
    </row>
    <row r="9" spans="1:24" x14ac:dyDescent="0.3">
      <c r="B9" s="3" t="s">
        <v>22</v>
      </c>
      <c r="C9" s="16"/>
      <c r="D9" s="19"/>
      <c r="E9">
        <v>0</v>
      </c>
      <c r="F9" s="2">
        <v>7</v>
      </c>
      <c r="G9" s="22"/>
      <c r="H9" s="21"/>
      <c r="J9" t="s">
        <v>40</v>
      </c>
      <c r="K9" t="s">
        <v>41</v>
      </c>
      <c r="N9" t="s">
        <v>41</v>
      </c>
      <c r="Q9" t="s">
        <v>42</v>
      </c>
      <c r="T9" t="s">
        <v>42</v>
      </c>
      <c r="W9" t="s">
        <v>42</v>
      </c>
    </row>
    <row r="10" spans="1:24" ht="15" thickBot="1" x14ac:dyDescent="0.35">
      <c r="B10" s="11" t="s">
        <v>48</v>
      </c>
      <c r="C10" s="17"/>
      <c r="D10" s="20"/>
      <c r="E10" s="1"/>
      <c r="F10" s="14"/>
      <c r="G10" s="23"/>
      <c r="H10" s="26"/>
    </row>
    <row r="11" spans="1:24" x14ac:dyDescent="0.3">
      <c r="A11" s="57" t="s">
        <v>7</v>
      </c>
      <c r="B11" t="s">
        <v>64</v>
      </c>
      <c r="C11" s="24">
        <v>200</v>
      </c>
      <c r="D11" s="10">
        <v>0</v>
      </c>
      <c r="F11" s="2"/>
      <c r="H11" s="25"/>
      <c r="J11" t="s">
        <v>17</v>
      </c>
      <c r="K11" s="7"/>
      <c r="L11" s="7">
        <v>0</v>
      </c>
      <c r="N11" s="7"/>
      <c r="O11" s="7">
        <f>+O3-O2</f>
        <v>4</v>
      </c>
      <c r="Q11" s="7"/>
      <c r="R11" s="7">
        <v>4</v>
      </c>
      <c r="T11" s="7"/>
      <c r="U11" s="7">
        <v>4</v>
      </c>
      <c r="W11" s="7"/>
      <c r="X11" s="7">
        <v>4</v>
      </c>
    </row>
    <row r="12" spans="1:24" x14ac:dyDescent="0.3">
      <c r="A12" s="58"/>
      <c r="B12" t="s">
        <v>65</v>
      </c>
      <c r="C12" s="16">
        <v>100</v>
      </c>
      <c r="D12" s="10">
        <v>0</v>
      </c>
      <c r="F12" s="2"/>
      <c r="H12" s="21"/>
      <c r="J12" t="s">
        <v>8</v>
      </c>
      <c r="K12" s="2"/>
      <c r="L12" s="2">
        <f>K6*L11</f>
        <v>0</v>
      </c>
      <c r="N12" s="2"/>
      <c r="O12" s="2">
        <f>N6*O11</f>
        <v>1600</v>
      </c>
      <c r="Q12" s="2"/>
      <c r="R12" s="2">
        <f>+C4*R11</f>
        <v>1600</v>
      </c>
      <c r="T12" s="2"/>
      <c r="U12" s="2">
        <f>+U11*N6</f>
        <v>1600</v>
      </c>
      <c r="W12" s="2"/>
      <c r="X12" s="2">
        <f>+U11*N6</f>
        <v>1600</v>
      </c>
    </row>
    <row r="13" spans="1:24" x14ac:dyDescent="0.3">
      <c r="A13" s="58"/>
      <c r="B13" t="s">
        <v>2</v>
      </c>
      <c r="C13" s="16">
        <v>400</v>
      </c>
      <c r="D13" s="10">
        <v>0</v>
      </c>
      <c r="F13" s="2"/>
      <c r="H13" s="21"/>
      <c r="J13" t="s">
        <v>19</v>
      </c>
      <c r="K13" s="2"/>
      <c r="L13" s="2">
        <f>0*L11</f>
        <v>0</v>
      </c>
      <c r="N13" s="2"/>
      <c r="O13" s="2">
        <f>0*O11</f>
        <v>0</v>
      </c>
      <c r="Q13" s="2"/>
      <c r="R13" s="2">
        <f>0*R11</f>
        <v>0</v>
      </c>
      <c r="T13" s="2"/>
      <c r="U13" s="2">
        <v>0</v>
      </c>
      <c r="W13" s="2"/>
      <c r="X13" s="2">
        <v>0</v>
      </c>
    </row>
    <row r="14" spans="1:24" x14ac:dyDescent="0.3">
      <c r="A14" s="58"/>
      <c r="B14" t="s">
        <v>3</v>
      </c>
      <c r="C14" s="16">
        <v>0</v>
      </c>
      <c r="D14" s="10">
        <v>0</v>
      </c>
      <c r="F14" s="2"/>
      <c r="H14" s="21"/>
      <c r="J14" t="s">
        <v>32</v>
      </c>
      <c r="K14" s="2"/>
      <c r="L14" s="2">
        <v>0</v>
      </c>
      <c r="N14" s="2"/>
      <c r="O14" s="2">
        <v>0</v>
      </c>
      <c r="Q14" s="2"/>
      <c r="R14" s="2">
        <v>0</v>
      </c>
      <c r="T14" s="2"/>
      <c r="U14" s="2">
        <v>0</v>
      </c>
      <c r="W14" s="2"/>
      <c r="X14" s="2">
        <v>0</v>
      </c>
    </row>
    <row r="15" spans="1:24" x14ac:dyDescent="0.3">
      <c r="B15" s="9"/>
      <c r="C15" s="3"/>
      <c r="D15" s="10"/>
      <c r="K15" s="2"/>
      <c r="L15" s="2"/>
      <c r="N15" s="2"/>
      <c r="O15" s="2"/>
      <c r="Q15" s="2"/>
      <c r="R15" s="2"/>
      <c r="T15" s="2"/>
      <c r="U15" s="2"/>
      <c r="W15" s="2"/>
      <c r="X15" s="2"/>
    </row>
    <row r="16" spans="1:24" x14ac:dyDescent="0.3">
      <c r="B16" s="4" t="s">
        <v>11</v>
      </c>
      <c r="C16">
        <v>1000</v>
      </c>
      <c r="J16" t="s">
        <v>20</v>
      </c>
      <c r="K16" s="2"/>
      <c r="L16" s="2">
        <f>+L12-L13</f>
        <v>0</v>
      </c>
      <c r="N16" s="2"/>
      <c r="O16" s="2">
        <f>+O12-O13</f>
        <v>1600</v>
      </c>
      <c r="Q16" s="2"/>
      <c r="R16" s="2">
        <f>+R12-R13</f>
        <v>1600</v>
      </c>
      <c r="T16" s="2"/>
      <c r="U16" s="2">
        <f>+U12-U13</f>
        <v>1600</v>
      </c>
      <c r="W16" s="2"/>
      <c r="X16" s="2">
        <f>+X12-X13</f>
        <v>1600</v>
      </c>
    </row>
    <row r="17" spans="2:24" x14ac:dyDescent="0.3">
      <c r="B17" t="s">
        <v>12</v>
      </c>
      <c r="C17">
        <v>700</v>
      </c>
      <c r="K17" s="2"/>
      <c r="L17" s="2"/>
      <c r="N17" s="2"/>
      <c r="O17" s="2"/>
      <c r="Q17" s="2"/>
      <c r="R17" s="2"/>
      <c r="T17" s="2"/>
      <c r="U17" s="2"/>
      <c r="W17" s="2"/>
      <c r="X17" s="2"/>
    </row>
    <row r="18" spans="2:24" x14ac:dyDescent="0.3">
      <c r="J18" t="s">
        <v>30</v>
      </c>
      <c r="K18" s="2"/>
      <c r="L18" s="2">
        <f>+L16/2</f>
        <v>0</v>
      </c>
      <c r="N18" s="2"/>
      <c r="O18" s="2">
        <f>+O12/2</f>
        <v>800</v>
      </c>
      <c r="Q18" s="2"/>
      <c r="R18" s="2">
        <f>+C4/2*R11</f>
        <v>800</v>
      </c>
      <c r="T18" s="2"/>
      <c r="U18" s="2">
        <f>+U12/2</f>
        <v>800</v>
      </c>
      <c r="W18" s="2"/>
      <c r="X18" s="2">
        <f>+X16</f>
        <v>1600</v>
      </c>
    </row>
    <row r="19" spans="2:24" ht="15" thickBot="1" x14ac:dyDescent="0.35">
      <c r="B19" s="35" t="s">
        <v>86</v>
      </c>
      <c r="J19" t="s">
        <v>52</v>
      </c>
      <c r="K19" s="2"/>
      <c r="L19" s="2">
        <f>+L18+L20</f>
        <v>0</v>
      </c>
      <c r="N19" s="2"/>
      <c r="O19" s="2">
        <f>+O18</f>
        <v>800</v>
      </c>
      <c r="Q19" s="2"/>
      <c r="R19" s="2">
        <f>+R18+R20</f>
        <v>800</v>
      </c>
      <c r="T19" s="2"/>
      <c r="U19" s="2">
        <f>+U18</f>
        <v>800</v>
      </c>
      <c r="W19" s="2"/>
      <c r="X19" s="2">
        <v>0</v>
      </c>
    </row>
    <row r="20" spans="2:24" ht="15.6" thickTop="1" thickBot="1" x14ac:dyDescent="0.35">
      <c r="B20" s="39" t="s">
        <v>14</v>
      </c>
      <c r="C20" s="39">
        <f>SUMIF(D4:D6,0,C4:C6)</f>
        <v>400</v>
      </c>
      <c r="D20" s="39"/>
      <c r="J20" t="s">
        <v>31</v>
      </c>
      <c r="L20" s="2">
        <v>0</v>
      </c>
      <c r="O20" s="2">
        <v>0</v>
      </c>
      <c r="R20" s="2">
        <v>0</v>
      </c>
      <c r="U20" s="2">
        <v>0</v>
      </c>
      <c r="X20" s="2">
        <v>0</v>
      </c>
    </row>
    <row r="21" spans="2:24" ht="15.6" thickTop="1" thickBot="1" x14ac:dyDescent="0.35">
      <c r="B21" s="39" t="s">
        <v>15</v>
      </c>
      <c r="C21" s="39">
        <f>SUMIF(D11:D14,0,C11:C14)</f>
        <v>700</v>
      </c>
      <c r="D21" s="39"/>
    </row>
    <row r="22" spans="2:24" ht="15.6" thickTop="1" thickBot="1" x14ac:dyDescent="0.35">
      <c r="B22" s="39" t="s">
        <v>16</v>
      </c>
      <c r="C22" s="45">
        <f>MIN(C20,C21)</f>
        <v>400</v>
      </c>
      <c r="D22" s="42">
        <v>0</v>
      </c>
      <c r="J22" t="s">
        <v>39</v>
      </c>
      <c r="L22" s="7">
        <v>0</v>
      </c>
      <c r="O22" s="7">
        <f>O3-O4</f>
        <v>0</v>
      </c>
      <c r="R22" s="7">
        <f>+R3-R4</f>
        <v>2</v>
      </c>
      <c r="U22" s="7">
        <f>+U3-U4</f>
        <v>2</v>
      </c>
      <c r="X22" s="7">
        <f>+X3-X4</f>
        <v>2</v>
      </c>
    </row>
    <row r="23" spans="2:24" ht="15" thickTop="1" x14ac:dyDescent="0.3">
      <c r="B23" s="13"/>
      <c r="C23" s="46"/>
      <c r="D23" s="47"/>
      <c r="J23" t="s">
        <v>36</v>
      </c>
      <c r="L23" s="2">
        <v>0</v>
      </c>
      <c r="O23" s="2">
        <f>+O22*N6</f>
        <v>0</v>
      </c>
      <c r="R23" s="2">
        <f>+Q6*R22</f>
        <v>1400</v>
      </c>
      <c r="U23" s="2">
        <f>+U22*700</f>
        <v>1400</v>
      </c>
      <c r="X23" s="2">
        <f>+X22*700</f>
        <v>1400</v>
      </c>
    </row>
    <row r="24" spans="2:24" ht="15" thickBot="1" x14ac:dyDescent="0.35">
      <c r="B24" s="35" t="s">
        <v>87</v>
      </c>
      <c r="D24" s="2"/>
      <c r="L24" s="2"/>
      <c r="O24" s="2"/>
      <c r="R24" s="2"/>
      <c r="U24" s="2"/>
      <c r="X24" s="2"/>
    </row>
    <row r="25" spans="2:24" ht="15.6" thickTop="1" thickBot="1" x14ac:dyDescent="0.35">
      <c r="B25" s="39" t="s">
        <v>25</v>
      </c>
      <c r="C25" s="39">
        <f>SUM(E7:E8)</f>
        <v>600</v>
      </c>
      <c r="D25" s="42"/>
      <c r="J25" t="s">
        <v>30</v>
      </c>
      <c r="L25" s="2">
        <v>0</v>
      </c>
      <c r="O25" s="2">
        <v>0</v>
      </c>
      <c r="R25" s="2">
        <f>+R22/2*C4</f>
        <v>400</v>
      </c>
      <c r="U25" s="27">
        <v>0</v>
      </c>
      <c r="X25" s="27">
        <v>0</v>
      </c>
    </row>
    <row r="26" spans="2:24" ht="15.6" thickTop="1" thickBot="1" x14ac:dyDescent="0.35">
      <c r="B26" s="39" t="s">
        <v>15</v>
      </c>
      <c r="C26" s="39">
        <f>C21</f>
        <v>700</v>
      </c>
      <c r="D26" s="42"/>
      <c r="J26" t="s">
        <v>52</v>
      </c>
      <c r="L26" s="2">
        <v>0</v>
      </c>
      <c r="O26" s="2">
        <v>0</v>
      </c>
      <c r="R26" s="2">
        <f>+R25+R27</f>
        <v>700</v>
      </c>
      <c r="U26" s="27">
        <f>U23</f>
        <v>1400</v>
      </c>
      <c r="X26" s="27">
        <f>X23</f>
        <v>1400</v>
      </c>
    </row>
    <row r="27" spans="2:24" ht="15.6" thickTop="1" thickBot="1" x14ac:dyDescent="0.35">
      <c r="B27" s="39" t="s">
        <v>16</v>
      </c>
      <c r="C27" s="45">
        <f>MIN(C25,C26)</f>
        <v>600</v>
      </c>
      <c r="D27" s="42">
        <v>0</v>
      </c>
      <c r="J27" t="s">
        <v>31</v>
      </c>
      <c r="L27" s="2">
        <v>0</v>
      </c>
      <c r="O27" s="2">
        <v>0</v>
      </c>
      <c r="R27" s="2">
        <f>300*R22/2</f>
        <v>300</v>
      </c>
      <c r="U27" s="27">
        <v>0</v>
      </c>
      <c r="X27" s="27">
        <v>0</v>
      </c>
    </row>
    <row r="28" spans="2:24" ht="15" thickTop="1" x14ac:dyDescent="0.3">
      <c r="B28" s="13"/>
      <c r="C28" s="46"/>
      <c r="D28" s="47"/>
      <c r="L28" s="2"/>
      <c r="O28" s="2"/>
      <c r="R28" s="2"/>
      <c r="U28" s="2"/>
      <c r="X28" s="2"/>
    </row>
    <row r="29" spans="2:24" ht="15" thickBot="1" x14ac:dyDescent="0.35">
      <c r="B29" s="35" t="s">
        <v>88</v>
      </c>
      <c r="J29" t="s">
        <v>49</v>
      </c>
      <c r="L29" s="7">
        <f>L13+L18</f>
        <v>0</v>
      </c>
      <c r="O29" s="7">
        <f>O13+O18</f>
        <v>800</v>
      </c>
      <c r="R29" s="7">
        <f>R13+R18+R25</f>
        <v>1200</v>
      </c>
      <c r="U29" s="7">
        <f>U13+U18</f>
        <v>800</v>
      </c>
      <c r="X29" s="7">
        <f>X13+X18</f>
        <v>1600</v>
      </c>
    </row>
    <row r="30" spans="2:24" ht="15.6" thickTop="1" thickBot="1" x14ac:dyDescent="0.35">
      <c r="B30" s="39" t="s">
        <v>26</v>
      </c>
      <c r="C30" s="39">
        <f>+C5</f>
        <v>0</v>
      </c>
      <c r="D30" s="44">
        <f>+D6</f>
        <v>5</v>
      </c>
      <c r="J30" t="s">
        <v>50</v>
      </c>
      <c r="L30" s="7">
        <f>+L19+L23</f>
        <v>0</v>
      </c>
      <c r="O30" s="7">
        <f>+O19+O23</f>
        <v>800</v>
      </c>
      <c r="R30" s="7">
        <f>+R19+R26</f>
        <v>1500</v>
      </c>
      <c r="U30" s="7">
        <f>+U19+U23</f>
        <v>2200</v>
      </c>
      <c r="X30" s="7">
        <f>+X19+X23</f>
        <v>1400</v>
      </c>
    </row>
    <row r="31" spans="2:24" ht="15.6" thickTop="1" thickBot="1" x14ac:dyDescent="0.35">
      <c r="B31" s="39" t="s">
        <v>91</v>
      </c>
      <c r="C31" s="39">
        <f>+C14</f>
        <v>0</v>
      </c>
      <c r="D31" s="44">
        <f>D14</f>
        <v>0</v>
      </c>
      <c r="J31" t="s">
        <v>53</v>
      </c>
      <c r="L31" s="7">
        <f>+L14+L20</f>
        <v>0</v>
      </c>
      <c r="O31" s="7">
        <f>+O14+O20</f>
        <v>0</v>
      </c>
      <c r="R31" s="7">
        <f>+R14+R20+R27</f>
        <v>300</v>
      </c>
      <c r="U31" s="7">
        <f>+U14+U20</f>
        <v>0</v>
      </c>
      <c r="X31" s="7">
        <f>+X14+X20</f>
        <v>0</v>
      </c>
    </row>
    <row r="32" spans="2:24" ht="15" thickTop="1" x14ac:dyDescent="0.3">
      <c r="B32" s="13"/>
      <c r="C32" s="13"/>
      <c r="D32" s="48"/>
      <c r="L32" s="7"/>
      <c r="O32" s="7"/>
      <c r="R32" s="7"/>
      <c r="U32" s="7"/>
      <c r="X32" s="7"/>
    </row>
    <row r="33" spans="2:4" ht="15" thickBot="1" x14ac:dyDescent="0.35">
      <c r="B33" s="35" t="s">
        <v>89</v>
      </c>
    </row>
    <row r="34" spans="2:4" ht="15.6" thickTop="1" thickBot="1" x14ac:dyDescent="0.35">
      <c r="B34" s="39" t="s">
        <v>27</v>
      </c>
      <c r="C34" s="39">
        <f>+E9</f>
        <v>0</v>
      </c>
      <c r="D34" s="44">
        <f>+F9</f>
        <v>7</v>
      </c>
    </row>
    <row r="35" spans="2:4" ht="15.6" thickTop="1" thickBot="1" x14ac:dyDescent="0.35">
      <c r="B35" s="39" t="s">
        <v>91</v>
      </c>
      <c r="C35" s="39">
        <f>+C14</f>
        <v>0</v>
      </c>
      <c r="D35" s="44">
        <f>+D14</f>
        <v>0</v>
      </c>
    </row>
    <row r="36" spans="2:4" ht="15.6" thickTop="1" thickBot="1" x14ac:dyDescent="0.35"/>
    <row r="37" spans="2:4" ht="15.6" thickTop="1" thickBot="1" x14ac:dyDescent="0.35">
      <c r="B37" s="39" t="s">
        <v>37</v>
      </c>
      <c r="C37" s="39">
        <v>700</v>
      </c>
    </row>
    <row r="38" spans="2:4" ht="15.6" thickTop="1" thickBot="1" x14ac:dyDescent="0.35">
      <c r="B38" s="39" t="s">
        <v>57</v>
      </c>
      <c r="C38" s="39">
        <f>+C22</f>
        <v>400</v>
      </c>
    </row>
    <row r="39" spans="2:4" ht="15.6" thickTop="1" thickBot="1" x14ac:dyDescent="0.35">
      <c r="B39" s="39" t="s">
        <v>56</v>
      </c>
      <c r="C39" s="39">
        <f>+C27</f>
        <v>600</v>
      </c>
    </row>
    <row r="40" spans="2:4" ht="15.6" thickTop="1" thickBot="1" x14ac:dyDescent="0.35">
      <c r="B40" s="39" t="s">
        <v>44</v>
      </c>
      <c r="C40" s="39">
        <v>0</v>
      </c>
    </row>
    <row r="41" spans="2:4" ht="15.6" thickTop="1" thickBot="1" x14ac:dyDescent="0.35">
      <c r="B41" s="39" t="s">
        <v>45</v>
      </c>
      <c r="C41" s="39">
        <v>0</v>
      </c>
    </row>
    <row r="42" spans="2:4" ht="15" thickTop="1" x14ac:dyDescent="0.3"/>
    <row r="54" spans="11:21" x14ac:dyDescent="0.3">
      <c r="T54" s="2"/>
      <c r="U54" s="2"/>
    </row>
    <row r="55" spans="11:21" x14ac:dyDescent="0.3">
      <c r="T55" s="7"/>
      <c r="U55" s="7"/>
    </row>
    <row r="56" spans="11:21" x14ac:dyDescent="0.3">
      <c r="K56" s="2"/>
      <c r="L56" s="2"/>
      <c r="N56" s="2"/>
      <c r="O56" s="2"/>
      <c r="Q56" s="2"/>
      <c r="R56" s="2"/>
    </row>
    <row r="57" spans="11:21" x14ac:dyDescent="0.3">
      <c r="K57" s="7"/>
      <c r="L57" s="7"/>
      <c r="N57" s="7"/>
      <c r="O57" s="7"/>
      <c r="Q57" s="7"/>
      <c r="R57" s="7"/>
    </row>
  </sheetData>
  <mergeCells count="9">
    <mergeCell ref="W1:X1"/>
    <mergeCell ref="A11:A14"/>
    <mergeCell ref="K1:L1"/>
    <mergeCell ref="N1:O1"/>
    <mergeCell ref="Q1:R1"/>
    <mergeCell ref="T1:U1"/>
    <mergeCell ref="C2:D2"/>
    <mergeCell ref="E2:F2"/>
    <mergeCell ref="G2:H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16" zoomScale="90" zoomScaleNormal="90" workbookViewId="0">
      <selection activeCell="Q6" sqref="Q6"/>
    </sheetView>
  </sheetViews>
  <sheetFormatPr defaultRowHeight="14.4" x14ac:dyDescent="0.3"/>
  <cols>
    <col min="2" max="2" width="24.5546875" customWidth="1"/>
    <col min="10" max="10" width="31.6640625" customWidth="1"/>
    <col min="12" max="12" width="12.88671875" customWidth="1"/>
    <col min="13" max="13" width="4" customWidth="1"/>
    <col min="15" max="15" width="12.5546875" bestFit="1" customWidth="1"/>
    <col min="16" max="16" width="4" customWidth="1"/>
    <col min="18" max="18" width="14.44140625" bestFit="1" customWidth="1"/>
    <col min="19" max="19" width="4.33203125" customWidth="1"/>
    <col min="21" max="21" width="19.109375" bestFit="1" customWidth="1"/>
  </cols>
  <sheetData>
    <row r="1" spans="1:21" ht="26.7" customHeight="1" x14ac:dyDescent="0.3">
      <c r="J1" s="5"/>
      <c r="K1" s="53" t="s">
        <v>59</v>
      </c>
      <c r="L1" s="53"/>
      <c r="M1" s="5"/>
      <c r="N1" s="56" t="s">
        <v>80</v>
      </c>
      <c r="O1" s="56"/>
      <c r="P1" s="5"/>
      <c r="Q1" s="56" t="s">
        <v>79</v>
      </c>
      <c r="R1" s="56"/>
      <c r="T1" s="56" t="s">
        <v>78</v>
      </c>
      <c r="U1" s="56"/>
    </row>
    <row r="2" spans="1:21" x14ac:dyDescent="0.3">
      <c r="C2" s="59" t="s">
        <v>33</v>
      </c>
      <c r="D2" s="60"/>
      <c r="E2" s="61" t="s">
        <v>34</v>
      </c>
      <c r="F2" s="61"/>
      <c r="G2" s="59" t="s">
        <v>23</v>
      </c>
      <c r="H2" s="60"/>
      <c r="J2" t="s">
        <v>9</v>
      </c>
      <c r="K2" s="2"/>
      <c r="L2" s="2">
        <v>29</v>
      </c>
      <c r="M2" s="2"/>
      <c r="N2" s="2"/>
      <c r="O2" s="2">
        <v>25</v>
      </c>
      <c r="P2" s="2"/>
      <c r="Q2" s="2"/>
      <c r="R2" s="2">
        <v>25</v>
      </c>
      <c r="T2" s="2"/>
      <c r="U2" s="2">
        <v>25</v>
      </c>
    </row>
    <row r="3" spans="1:21" x14ac:dyDescent="0.3">
      <c r="B3" s="5"/>
      <c r="C3" s="15" t="s">
        <v>4</v>
      </c>
      <c r="D3" s="18" t="s">
        <v>5</v>
      </c>
      <c r="E3" s="50" t="s">
        <v>4</v>
      </c>
      <c r="F3" s="50" t="s">
        <v>5</v>
      </c>
      <c r="G3" s="15" t="s">
        <v>4</v>
      </c>
      <c r="H3" s="18" t="s">
        <v>24</v>
      </c>
      <c r="J3" t="s">
        <v>10</v>
      </c>
      <c r="K3" s="2"/>
      <c r="L3" s="2">
        <v>31</v>
      </c>
      <c r="M3" s="2"/>
      <c r="N3" s="2"/>
      <c r="O3" s="2">
        <v>31</v>
      </c>
      <c r="P3" s="2"/>
      <c r="Q3" s="2"/>
      <c r="R3" s="2">
        <v>31</v>
      </c>
      <c r="T3" s="2"/>
      <c r="U3" s="2">
        <v>31</v>
      </c>
    </row>
    <row r="4" spans="1:21" x14ac:dyDescent="0.3">
      <c r="B4" t="s">
        <v>64</v>
      </c>
      <c r="C4" s="16">
        <v>200</v>
      </c>
      <c r="D4" s="19">
        <v>0</v>
      </c>
      <c r="F4" s="2"/>
      <c r="G4" s="22"/>
      <c r="H4" s="21"/>
      <c r="J4" t="s">
        <v>28</v>
      </c>
      <c r="K4" s="2"/>
      <c r="L4" s="2">
        <v>29</v>
      </c>
      <c r="M4" s="2"/>
      <c r="N4" s="2"/>
      <c r="O4" s="2">
        <v>25</v>
      </c>
      <c r="P4" s="2"/>
      <c r="Q4" s="2"/>
      <c r="R4" s="2">
        <v>25</v>
      </c>
      <c r="T4" s="2"/>
      <c r="U4" s="2">
        <v>25</v>
      </c>
    </row>
    <row r="5" spans="1:21" x14ac:dyDescent="0.3">
      <c r="B5" t="s">
        <v>0</v>
      </c>
      <c r="C5" s="16">
        <v>0</v>
      </c>
      <c r="D5" s="19">
        <v>0</v>
      </c>
      <c r="F5" s="2"/>
      <c r="G5" s="22"/>
      <c r="H5" s="21"/>
      <c r="J5" t="s">
        <v>29</v>
      </c>
      <c r="K5" s="2"/>
      <c r="L5" s="2">
        <v>29</v>
      </c>
      <c r="M5" s="2"/>
      <c r="N5" s="2"/>
      <c r="O5" s="2">
        <v>29</v>
      </c>
      <c r="P5" s="2"/>
      <c r="Q5" s="2"/>
      <c r="R5" s="2">
        <v>29</v>
      </c>
      <c r="T5" s="2"/>
      <c r="U5" s="2">
        <v>29</v>
      </c>
    </row>
    <row r="6" spans="1:21" x14ac:dyDescent="0.3">
      <c r="B6" s="13" t="s">
        <v>1</v>
      </c>
      <c r="C6" s="16">
        <v>0</v>
      </c>
      <c r="D6" s="19">
        <v>5</v>
      </c>
      <c r="F6" s="2"/>
      <c r="G6" s="22"/>
      <c r="H6" s="21"/>
      <c r="J6" t="s">
        <v>38</v>
      </c>
      <c r="K6">
        <v>700</v>
      </c>
      <c r="N6">
        <v>700</v>
      </c>
      <c r="Q6">
        <v>700</v>
      </c>
      <c r="T6">
        <v>700</v>
      </c>
    </row>
    <row r="7" spans="1:21" x14ac:dyDescent="0.3">
      <c r="B7" s="3" t="s">
        <v>65</v>
      </c>
      <c r="C7" s="16"/>
      <c r="D7" s="19"/>
      <c r="E7">
        <v>100</v>
      </c>
      <c r="F7" s="2">
        <v>0</v>
      </c>
      <c r="G7" s="22"/>
      <c r="H7" s="21"/>
      <c r="J7" t="s">
        <v>46</v>
      </c>
      <c r="K7" t="s">
        <v>41</v>
      </c>
      <c r="N7" t="s">
        <v>42</v>
      </c>
      <c r="Q7" t="s">
        <v>42</v>
      </c>
      <c r="T7" t="s">
        <v>42</v>
      </c>
    </row>
    <row r="8" spans="1:21" x14ac:dyDescent="0.3">
      <c r="B8" s="3" t="s">
        <v>21</v>
      </c>
      <c r="C8" s="16"/>
      <c r="D8" s="19"/>
      <c r="E8">
        <v>0</v>
      </c>
      <c r="F8" s="2">
        <v>0</v>
      </c>
      <c r="G8" s="22"/>
      <c r="H8" s="21"/>
      <c r="J8" t="s">
        <v>40</v>
      </c>
      <c r="K8" t="s">
        <v>42</v>
      </c>
      <c r="N8" t="s">
        <v>42</v>
      </c>
      <c r="Q8" t="s">
        <v>42</v>
      </c>
      <c r="T8" t="s">
        <v>42</v>
      </c>
    </row>
    <row r="9" spans="1:21" x14ac:dyDescent="0.3">
      <c r="B9" s="3" t="s">
        <v>22</v>
      </c>
      <c r="C9" s="16"/>
      <c r="D9" s="19"/>
      <c r="E9">
        <v>0</v>
      </c>
      <c r="F9" s="2">
        <v>7</v>
      </c>
      <c r="G9" s="22"/>
      <c r="H9" s="21"/>
    </row>
    <row r="10" spans="1:21" ht="15" thickBot="1" x14ac:dyDescent="0.35">
      <c r="B10" s="11" t="s">
        <v>48</v>
      </c>
      <c r="C10" s="17"/>
      <c r="D10" s="20"/>
      <c r="E10" s="1"/>
      <c r="F10" s="14"/>
      <c r="G10" s="23">
        <v>1000</v>
      </c>
      <c r="H10" s="26">
        <v>29</v>
      </c>
      <c r="J10" t="s">
        <v>17</v>
      </c>
      <c r="K10" s="7"/>
      <c r="L10" s="7">
        <v>0</v>
      </c>
      <c r="N10" s="7"/>
      <c r="O10" s="7">
        <v>4</v>
      </c>
      <c r="Q10" s="7"/>
      <c r="R10" s="7">
        <v>4</v>
      </c>
      <c r="T10" s="7"/>
      <c r="U10" s="7">
        <v>4</v>
      </c>
    </row>
    <row r="11" spans="1:21" x14ac:dyDescent="0.3">
      <c r="A11" s="57" t="s">
        <v>47</v>
      </c>
      <c r="B11" t="s">
        <v>64</v>
      </c>
      <c r="C11" s="24">
        <v>200</v>
      </c>
      <c r="D11" s="10">
        <v>0</v>
      </c>
      <c r="F11" s="2"/>
      <c r="H11" s="25"/>
      <c r="J11" t="s">
        <v>8</v>
      </c>
      <c r="K11" s="2"/>
      <c r="L11" s="2">
        <f>K6*L10</f>
        <v>0</v>
      </c>
      <c r="N11" s="2"/>
      <c r="O11" s="2">
        <f>+O10*(C20+C25)</f>
        <v>1200</v>
      </c>
      <c r="Q11" s="2"/>
      <c r="R11" s="2">
        <f>+R10*(C4+E7)</f>
        <v>1200</v>
      </c>
      <c r="T11" s="2"/>
      <c r="U11" s="2">
        <f>+U10*(C4+E7)</f>
        <v>1200</v>
      </c>
    </row>
    <row r="12" spans="1:21" x14ac:dyDescent="0.3">
      <c r="A12" s="58"/>
      <c r="B12" t="s">
        <v>65</v>
      </c>
      <c r="C12" s="16">
        <v>100</v>
      </c>
      <c r="D12" s="10">
        <v>0</v>
      </c>
      <c r="F12" s="2"/>
      <c r="H12" s="21"/>
      <c r="J12" t="s">
        <v>19</v>
      </c>
      <c r="K12" s="2"/>
      <c r="L12" s="2">
        <f>0*L10</f>
        <v>0</v>
      </c>
      <c r="N12" s="2"/>
      <c r="O12" s="2">
        <v>0</v>
      </c>
      <c r="Q12" s="2"/>
      <c r="R12" s="2">
        <v>0</v>
      </c>
      <c r="T12" s="2"/>
      <c r="U12" s="2">
        <v>0</v>
      </c>
    </row>
    <row r="13" spans="1:21" x14ac:dyDescent="0.3">
      <c r="A13" s="58"/>
      <c r="B13" t="s">
        <v>2</v>
      </c>
      <c r="C13" s="16">
        <v>400</v>
      </c>
      <c r="D13" s="10">
        <v>0</v>
      </c>
      <c r="F13" s="2"/>
      <c r="H13" s="21"/>
      <c r="J13" t="s">
        <v>32</v>
      </c>
      <c r="K13" s="2"/>
      <c r="L13" s="2">
        <v>0</v>
      </c>
      <c r="N13" s="2"/>
      <c r="O13" s="2">
        <v>0</v>
      </c>
      <c r="Q13" s="2"/>
      <c r="R13" s="2">
        <v>0</v>
      </c>
      <c r="T13" s="2"/>
      <c r="U13" s="2">
        <v>0</v>
      </c>
    </row>
    <row r="14" spans="1:21" x14ac:dyDescent="0.3">
      <c r="A14" s="58"/>
      <c r="B14" t="s">
        <v>3</v>
      </c>
      <c r="C14" s="16">
        <v>0</v>
      </c>
      <c r="D14" s="10">
        <v>0</v>
      </c>
      <c r="F14" s="2"/>
      <c r="H14" s="21"/>
      <c r="K14" s="2"/>
      <c r="L14" s="2"/>
      <c r="N14" s="2"/>
      <c r="O14" s="2"/>
      <c r="Q14" s="2"/>
      <c r="R14" s="2"/>
      <c r="T14" s="2"/>
      <c r="U14" s="2"/>
    </row>
    <row r="15" spans="1:21" x14ac:dyDescent="0.3">
      <c r="B15" s="9"/>
      <c r="C15" s="3"/>
      <c r="D15" s="10"/>
      <c r="J15" t="s">
        <v>20</v>
      </c>
      <c r="K15" s="2"/>
      <c r="L15" s="2">
        <f>+L11-L12</f>
        <v>0</v>
      </c>
      <c r="N15" s="2"/>
      <c r="O15" s="2">
        <f>+O11-O12</f>
        <v>1200</v>
      </c>
      <c r="Q15" s="2"/>
      <c r="R15" s="2">
        <f>+R11-R12</f>
        <v>1200</v>
      </c>
      <c r="T15" s="2"/>
      <c r="U15" s="2">
        <f>+U11-U12</f>
        <v>1200</v>
      </c>
    </row>
    <row r="16" spans="1:21" x14ac:dyDescent="0.3">
      <c r="B16" s="4" t="s">
        <v>11</v>
      </c>
      <c r="C16">
        <v>1000</v>
      </c>
      <c r="K16" s="2"/>
      <c r="L16" s="2"/>
      <c r="N16" s="2"/>
      <c r="O16" s="2"/>
      <c r="Q16" s="2"/>
      <c r="R16" s="2"/>
      <c r="T16" s="2"/>
      <c r="U16" s="2"/>
    </row>
    <row r="17" spans="2:21" x14ac:dyDescent="0.3">
      <c r="B17" t="s">
        <v>12</v>
      </c>
      <c r="C17" s="36">
        <v>700</v>
      </c>
      <c r="J17" t="s">
        <v>30</v>
      </c>
      <c r="K17" s="2"/>
      <c r="L17" s="2">
        <f>+L10*(C4+C5)/2</f>
        <v>0</v>
      </c>
      <c r="N17" s="2"/>
      <c r="O17" s="2">
        <f>O10*(C4+C5)/2</f>
        <v>400</v>
      </c>
      <c r="Q17" s="2"/>
      <c r="R17" s="2">
        <f>100*R10</f>
        <v>400</v>
      </c>
      <c r="T17" s="2"/>
      <c r="U17" s="2">
        <f>200*U10</f>
        <v>800</v>
      </c>
    </row>
    <row r="18" spans="2:21" x14ac:dyDescent="0.3">
      <c r="J18" t="s">
        <v>35</v>
      </c>
      <c r="K18" s="2"/>
      <c r="L18" s="2">
        <f>+L17+L19</f>
        <v>0</v>
      </c>
      <c r="N18" s="2"/>
      <c r="O18" s="2">
        <f>+O17+O19</f>
        <v>600</v>
      </c>
      <c r="Q18" s="2"/>
      <c r="R18" s="2">
        <f>+R17+R19</f>
        <v>600</v>
      </c>
      <c r="T18" s="2"/>
      <c r="U18" s="2">
        <v>0</v>
      </c>
    </row>
    <row r="19" spans="2:21" ht="15" thickBot="1" x14ac:dyDescent="0.35">
      <c r="B19" s="35" t="s">
        <v>86</v>
      </c>
      <c r="J19" t="s">
        <v>31</v>
      </c>
      <c r="L19" s="2">
        <f>+L10*(E7+E8)/2</f>
        <v>0</v>
      </c>
      <c r="O19" s="2">
        <f>+O10*(E7+E8)/2</f>
        <v>200</v>
      </c>
      <c r="R19" s="2">
        <f>50*R10</f>
        <v>200</v>
      </c>
      <c r="U19" s="2">
        <f>100*U10</f>
        <v>400</v>
      </c>
    </row>
    <row r="20" spans="2:21" ht="15.6" thickTop="1" thickBot="1" x14ac:dyDescent="0.35">
      <c r="B20" s="39" t="s">
        <v>14</v>
      </c>
      <c r="C20" s="39">
        <f>SUMIF(D4:D6,0,C4:C6)</f>
        <v>200</v>
      </c>
      <c r="D20" s="39"/>
    </row>
    <row r="21" spans="2:21" ht="15.6" thickTop="1" thickBot="1" x14ac:dyDescent="0.35">
      <c r="B21" s="39" t="s">
        <v>15</v>
      </c>
      <c r="C21" s="39">
        <f>SUMIF(D11:D14,0,C11:C14)</f>
        <v>700</v>
      </c>
      <c r="D21" s="39"/>
      <c r="J21" t="s">
        <v>39</v>
      </c>
      <c r="L21" s="7">
        <f>L3-L5</f>
        <v>2</v>
      </c>
      <c r="O21" s="7">
        <f>O3-O5</f>
        <v>2</v>
      </c>
      <c r="R21" s="7">
        <f>R3-R5</f>
        <v>2</v>
      </c>
      <c r="U21" s="7">
        <f>U3-U5</f>
        <v>2</v>
      </c>
    </row>
    <row r="22" spans="2:21" ht="15.6" thickTop="1" thickBot="1" x14ac:dyDescent="0.35">
      <c r="B22" s="39" t="s">
        <v>16</v>
      </c>
      <c r="C22" s="45">
        <f>MIN(C20,C21)</f>
        <v>200</v>
      </c>
      <c r="D22" s="42">
        <v>0</v>
      </c>
      <c r="J22" t="s">
        <v>30</v>
      </c>
      <c r="L22" s="2">
        <v>0</v>
      </c>
      <c r="O22" s="2">
        <f>+O21/2*$C$4</f>
        <v>200</v>
      </c>
      <c r="R22" s="2">
        <v>0</v>
      </c>
      <c r="U22" s="2">
        <v>0</v>
      </c>
    </row>
    <row r="23" spans="2:21" ht="15" thickTop="1" x14ac:dyDescent="0.3">
      <c r="B23" s="13"/>
      <c r="C23" s="46"/>
      <c r="D23" s="47"/>
      <c r="J23" t="s">
        <v>52</v>
      </c>
      <c r="L23" s="2">
        <f>+L21*K6</f>
        <v>1400</v>
      </c>
      <c r="O23" s="2">
        <f>+O21/2*N6+(N6-$C$4-$E$7)*O21/2</f>
        <v>1100</v>
      </c>
      <c r="R23" s="2">
        <f>+R21*Q6</f>
        <v>1400</v>
      </c>
      <c r="U23" s="2">
        <f>+U21*T6</f>
        <v>1400</v>
      </c>
    </row>
    <row r="24" spans="2:21" ht="15" thickBot="1" x14ac:dyDescent="0.35">
      <c r="B24" s="35" t="s">
        <v>87</v>
      </c>
      <c r="D24" s="2"/>
      <c r="J24" t="s">
        <v>31</v>
      </c>
      <c r="L24" s="2">
        <v>0</v>
      </c>
      <c r="O24" s="2">
        <f>+O21/2*$E$7</f>
        <v>100</v>
      </c>
      <c r="R24" s="2">
        <v>0</v>
      </c>
      <c r="U24" s="2">
        <v>0</v>
      </c>
    </row>
    <row r="25" spans="2:21" ht="15.6" thickTop="1" thickBot="1" x14ac:dyDescent="0.35">
      <c r="B25" s="39" t="s">
        <v>25</v>
      </c>
      <c r="C25" s="39">
        <f>SUM(E7:E8)</f>
        <v>100</v>
      </c>
      <c r="D25" s="42"/>
    </row>
    <row r="26" spans="2:21" ht="15.6" thickTop="1" thickBot="1" x14ac:dyDescent="0.35">
      <c r="B26" s="39" t="s">
        <v>15</v>
      </c>
      <c r="C26" s="39">
        <f>C21</f>
        <v>700</v>
      </c>
      <c r="D26" s="42"/>
      <c r="J26" t="s">
        <v>49</v>
      </c>
      <c r="L26" s="7">
        <f>+L22+L17</f>
        <v>0</v>
      </c>
      <c r="O26" s="7">
        <f>+O22+O17</f>
        <v>600</v>
      </c>
      <c r="R26" s="7">
        <f>+R22+R17</f>
        <v>400</v>
      </c>
      <c r="U26" s="7">
        <f>+U22+U17</f>
        <v>800</v>
      </c>
    </row>
    <row r="27" spans="2:21" ht="15.6" thickTop="1" thickBot="1" x14ac:dyDescent="0.35">
      <c r="B27" s="39" t="s">
        <v>16</v>
      </c>
      <c r="C27" s="45">
        <f>MIN(C25,C26)</f>
        <v>100</v>
      </c>
      <c r="D27" s="42">
        <v>0</v>
      </c>
      <c r="J27" t="s">
        <v>50</v>
      </c>
      <c r="L27" s="7">
        <f>+L23+L18</f>
        <v>1400</v>
      </c>
      <c r="O27" s="7">
        <f>+O23+O18</f>
        <v>1700</v>
      </c>
      <c r="R27" s="7">
        <f>+R23+R18</f>
        <v>2000</v>
      </c>
      <c r="U27" s="7">
        <f>+U23+U18</f>
        <v>1400</v>
      </c>
    </row>
    <row r="28" spans="2:21" ht="15" thickTop="1" x14ac:dyDescent="0.3">
      <c r="B28" s="13"/>
      <c r="C28" s="46"/>
      <c r="D28" s="47"/>
      <c r="J28" t="s">
        <v>53</v>
      </c>
      <c r="L28" s="7">
        <f>+L24+L19</f>
        <v>0</v>
      </c>
      <c r="O28" s="7">
        <f>+O24+O19</f>
        <v>300</v>
      </c>
      <c r="R28" s="7">
        <f>+R24+R19</f>
        <v>200</v>
      </c>
      <c r="U28" s="7">
        <f>+U24+U19</f>
        <v>400</v>
      </c>
    </row>
    <row r="29" spans="2:21" ht="15" thickBot="1" x14ac:dyDescent="0.35">
      <c r="B29" s="35" t="s">
        <v>88</v>
      </c>
    </row>
    <row r="30" spans="2:21" ht="15.6" thickTop="1" thickBot="1" x14ac:dyDescent="0.35">
      <c r="B30" s="39" t="s">
        <v>26</v>
      </c>
      <c r="C30" s="39">
        <f>+C5</f>
        <v>0</v>
      </c>
      <c r="D30" s="44">
        <f>+D6</f>
        <v>5</v>
      </c>
    </row>
    <row r="31" spans="2:21" ht="15.6" thickTop="1" thickBot="1" x14ac:dyDescent="0.35">
      <c r="B31" s="39" t="s">
        <v>91</v>
      </c>
      <c r="C31" s="39">
        <f>+C14</f>
        <v>0</v>
      </c>
      <c r="D31" s="44">
        <f>D14</f>
        <v>0</v>
      </c>
    </row>
    <row r="32" spans="2:21" ht="15" thickTop="1" x14ac:dyDescent="0.3">
      <c r="B32" s="13"/>
      <c r="C32" s="13"/>
      <c r="D32" s="48"/>
    </row>
    <row r="33" spans="2:4" ht="15" thickBot="1" x14ac:dyDescent="0.35">
      <c r="B33" s="35" t="s">
        <v>89</v>
      </c>
    </row>
    <row r="34" spans="2:4" ht="15.6" thickTop="1" thickBot="1" x14ac:dyDescent="0.35">
      <c r="B34" s="39" t="s">
        <v>27</v>
      </c>
      <c r="C34" s="39">
        <f>+E9</f>
        <v>0</v>
      </c>
      <c r="D34" s="44">
        <f>+F9</f>
        <v>7</v>
      </c>
    </row>
    <row r="35" spans="2:4" ht="15.6" thickTop="1" thickBot="1" x14ac:dyDescent="0.35">
      <c r="B35" s="39" t="s">
        <v>91</v>
      </c>
      <c r="C35" s="39">
        <f>+C14</f>
        <v>0</v>
      </c>
      <c r="D35" s="44">
        <f>+D14</f>
        <v>0</v>
      </c>
    </row>
    <row r="36" spans="2:4" ht="15.6" thickTop="1" thickBot="1" x14ac:dyDescent="0.35"/>
    <row r="37" spans="2:4" ht="15.6" thickTop="1" thickBot="1" x14ac:dyDescent="0.35">
      <c r="B37" s="39" t="s">
        <v>37</v>
      </c>
      <c r="C37" s="39">
        <v>700</v>
      </c>
    </row>
    <row r="38" spans="2:4" ht="15.6" thickTop="1" thickBot="1" x14ac:dyDescent="0.35">
      <c r="B38" s="39" t="s">
        <v>90</v>
      </c>
      <c r="C38" s="39">
        <f>+C22</f>
        <v>200</v>
      </c>
    </row>
    <row r="39" spans="2:4" ht="15.6" thickTop="1" thickBot="1" x14ac:dyDescent="0.35">
      <c r="B39" s="39" t="s">
        <v>56</v>
      </c>
      <c r="C39" s="39">
        <f>+C27</f>
        <v>100</v>
      </c>
    </row>
    <row r="40" spans="2:4" ht="15.6" thickTop="1" thickBot="1" x14ac:dyDescent="0.35">
      <c r="B40" s="39" t="s">
        <v>44</v>
      </c>
      <c r="C40" s="39">
        <v>0</v>
      </c>
    </row>
    <row r="41" spans="2:4" ht="15.6" thickTop="1" thickBot="1" x14ac:dyDescent="0.35">
      <c r="B41" s="39" t="s">
        <v>45</v>
      </c>
      <c r="C41" s="39">
        <v>0</v>
      </c>
    </row>
    <row r="42" spans="2:4" ht="15" thickTop="1" x14ac:dyDescent="0.3"/>
    <row r="50" spans="11:18" x14ac:dyDescent="0.3">
      <c r="Q50" s="2"/>
      <c r="R50" s="2"/>
    </row>
    <row r="51" spans="11:18" x14ac:dyDescent="0.3">
      <c r="Q51" s="7"/>
      <c r="R51" s="7"/>
    </row>
    <row r="52" spans="11:18" x14ac:dyDescent="0.3">
      <c r="K52" s="2"/>
      <c r="L52" s="2"/>
      <c r="N52" s="2"/>
      <c r="O52" s="2"/>
    </row>
    <row r="53" spans="11:18" x14ac:dyDescent="0.3">
      <c r="K53" s="7"/>
      <c r="L53" s="7"/>
      <c r="N53" s="7"/>
      <c r="O53" s="7"/>
    </row>
  </sheetData>
  <mergeCells count="8">
    <mergeCell ref="A11:A14"/>
    <mergeCell ref="K1:L1"/>
    <mergeCell ref="N1:O1"/>
    <mergeCell ref="Q1:R1"/>
    <mergeCell ref="T1:U1"/>
    <mergeCell ref="C2:D2"/>
    <mergeCell ref="E2:F2"/>
    <mergeCell ref="G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B25" zoomScale="91" zoomScaleNormal="91" workbookViewId="0">
      <selection activeCell="L6" sqref="L6"/>
    </sheetView>
  </sheetViews>
  <sheetFormatPr defaultRowHeight="14.4" x14ac:dyDescent="0.3"/>
  <cols>
    <col min="2" max="2" width="24.5546875" customWidth="1"/>
    <col min="10" max="10" width="31.6640625" customWidth="1"/>
    <col min="11" max="11" width="4" customWidth="1"/>
    <col min="13" max="13" width="12.5546875" bestFit="1" customWidth="1"/>
    <col min="14" max="14" width="4" customWidth="1"/>
    <col min="15" max="15" width="11" customWidth="1"/>
    <col min="16" max="16" width="12.5546875" customWidth="1"/>
    <col min="17" max="17" width="4.6640625" customWidth="1"/>
    <col min="18" max="18" width="10.21875" customWidth="1"/>
    <col min="19" max="19" width="11.6640625" customWidth="1"/>
  </cols>
  <sheetData>
    <row r="1" spans="1:19" ht="27" customHeight="1" x14ac:dyDescent="0.3">
      <c r="J1" s="5"/>
      <c r="K1" s="5"/>
      <c r="L1" s="56" t="s">
        <v>80</v>
      </c>
      <c r="M1" s="56"/>
      <c r="N1" s="5"/>
      <c r="O1" s="56" t="s">
        <v>79</v>
      </c>
      <c r="P1" s="56"/>
      <c r="R1" s="56" t="s">
        <v>78</v>
      </c>
      <c r="S1" s="56"/>
    </row>
    <row r="2" spans="1:19" x14ac:dyDescent="0.3">
      <c r="C2" s="59" t="s">
        <v>33</v>
      </c>
      <c r="D2" s="60"/>
      <c r="E2" s="61" t="s">
        <v>34</v>
      </c>
      <c r="F2" s="61"/>
      <c r="G2" s="59" t="s">
        <v>23</v>
      </c>
      <c r="H2" s="60"/>
      <c r="J2" t="s">
        <v>9</v>
      </c>
      <c r="K2" s="2"/>
      <c r="L2" s="2"/>
      <c r="M2" s="2">
        <v>25</v>
      </c>
      <c r="N2" s="2"/>
      <c r="O2" s="2"/>
      <c r="P2" s="2">
        <v>25</v>
      </c>
      <c r="R2" s="2"/>
      <c r="S2" s="2">
        <v>25</v>
      </c>
    </row>
    <row r="3" spans="1:19" x14ac:dyDescent="0.3">
      <c r="B3" s="5"/>
      <c r="C3" s="15" t="s">
        <v>4</v>
      </c>
      <c r="D3" s="18" t="s">
        <v>5</v>
      </c>
      <c r="E3" s="29" t="s">
        <v>4</v>
      </c>
      <c r="F3" s="29" t="s">
        <v>5</v>
      </c>
      <c r="G3" s="15" t="s">
        <v>4</v>
      </c>
      <c r="H3" s="18" t="s">
        <v>24</v>
      </c>
      <c r="J3" t="s">
        <v>10</v>
      </c>
      <c r="K3" s="2"/>
      <c r="L3" s="2"/>
      <c r="M3" s="2">
        <v>29</v>
      </c>
      <c r="N3" s="2"/>
      <c r="O3" s="2"/>
      <c r="P3" s="2">
        <v>29</v>
      </c>
      <c r="R3" s="2"/>
      <c r="S3" s="2">
        <v>29</v>
      </c>
    </row>
    <row r="4" spans="1:19" x14ac:dyDescent="0.3">
      <c r="B4" t="s">
        <v>64</v>
      </c>
      <c r="C4" s="16">
        <v>200</v>
      </c>
      <c r="D4" s="19">
        <v>0</v>
      </c>
      <c r="F4" s="2"/>
      <c r="G4" s="22"/>
      <c r="H4" s="21"/>
      <c r="J4" t="s">
        <v>28</v>
      </c>
      <c r="K4" s="2"/>
      <c r="L4" s="2"/>
      <c r="M4" s="2">
        <v>25</v>
      </c>
      <c r="N4" s="2"/>
      <c r="O4" s="2"/>
      <c r="P4" s="2">
        <v>25</v>
      </c>
      <c r="R4" s="2"/>
      <c r="S4" s="2">
        <v>25</v>
      </c>
    </row>
    <row r="5" spans="1:19" x14ac:dyDescent="0.3">
      <c r="B5" t="s">
        <v>0</v>
      </c>
      <c r="C5" s="16">
        <v>0</v>
      </c>
      <c r="D5" s="19">
        <v>0</v>
      </c>
      <c r="F5" s="2"/>
      <c r="G5" s="22"/>
      <c r="H5" s="21"/>
      <c r="J5" t="s">
        <v>29</v>
      </c>
      <c r="K5" s="2"/>
      <c r="L5" s="2"/>
      <c r="M5" s="2">
        <v>29</v>
      </c>
      <c r="N5" s="2"/>
      <c r="O5" s="2"/>
      <c r="P5" s="2">
        <v>29</v>
      </c>
      <c r="R5" s="2"/>
      <c r="S5" s="2">
        <v>29</v>
      </c>
    </row>
    <row r="6" spans="1:19" x14ac:dyDescent="0.3">
      <c r="B6" s="13" t="s">
        <v>1</v>
      </c>
      <c r="C6" s="16">
        <v>0</v>
      </c>
      <c r="D6" s="19">
        <v>5</v>
      </c>
      <c r="F6" s="2"/>
      <c r="G6" s="22"/>
      <c r="H6" s="21"/>
      <c r="J6" t="s">
        <v>38</v>
      </c>
      <c r="L6">
        <v>600</v>
      </c>
      <c r="O6">
        <v>600</v>
      </c>
      <c r="R6">
        <v>600</v>
      </c>
    </row>
    <row r="7" spans="1:19" x14ac:dyDescent="0.3">
      <c r="B7" s="3" t="s">
        <v>65</v>
      </c>
      <c r="C7" s="16"/>
      <c r="D7" s="19"/>
      <c r="E7">
        <v>100</v>
      </c>
      <c r="F7" s="2">
        <v>0</v>
      </c>
      <c r="G7" s="22"/>
      <c r="H7" s="21"/>
      <c r="J7" t="s">
        <v>46</v>
      </c>
      <c r="L7" t="s">
        <v>42</v>
      </c>
      <c r="O7" t="s">
        <v>42</v>
      </c>
      <c r="R7" t="s">
        <v>42</v>
      </c>
    </row>
    <row r="8" spans="1:19" x14ac:dyDescent="0.3">
      <c r="B8" s="3" t="s">
        <v>21</v>
      </c>
      <c r="C8" s="16"/>
      <c r="D8" s="19"/>
      <c r="E8">
        <v>0</v>
      </c>
      <c r="F8" s="2">
        <v>0</v>
      </c>
      <c r="G8" s="22"/>
      <c r="H8" s="21"/>
      <c r="J8" t="s">
        <v>40</v>
      </c>
      <c r="L8" t="s">
        <v>41</v>
      </c>
      <c r="O8" t="s">
        <v>41</v>
      </c>
      <c r="R8" t="s">
        <v>41</v>
      </c>
    </row>
    <row r="9" spans="1:19" x14ac:dyDescent="0.3">
      <c r="B9" s="3" t="s">
        <v>22</v>
      </c>
      <c r="C9" s="16"/>
      <c r="D9" s="19"/>
      <c r="E9">
        <v>0</v>
      </c>
      <c r="F9" s="2">
        <v>7</v>
      </c>
      <c r="G9" s="22"/>
      <c r="H9" s="21"/>
    </row>
    <row r="10" spans="1:19" ht="15" thickBot="1" x14ac:dyDescent="0.35">
      <c r="B10" s="11" t="s">
        <v>48</v>
      </c>
      <c r="C10" s="17"/>
      <c r="D10" s="20"/>
      <c r="E10" s="1"/>
      <c r="F10" s="14"/>
      <c r="G10" s="23">
        <v>1000</v>
      </c>
      <c r="H10" s="26">
        <v>29</v>
      </c>
      <c r="J10" t="s">
        <v>17</v>
      </c>
      <c r="L10" s="7"/>
      <c r="M10" s="7">
        <v>4</v>
      </c>
      <c r="O10" s="7"/>
      <c r="P10" s="7">
        <v>4</v>
      </c>
      <c r="R10" s="7"/>
      <c r="S10" s="7">
        <v>4</v>
      </c>
    </row>
    <row r="11" spans="1:19" x14ac:dyDescent="0.3">
      <c r="A11" s="57" t="s">
        <v>47</v>
      </c>
      <c r="B11" t="s">
        <v>64</v>
      </c>
      <c r="C11" s="24">
        <v>200</v>
      </c>
      <c r="D11" s="10">
        <v>0</v>
      </c>
      <c r="F11" s="2"/>
      <c r="H11" s="25"/>
      <c r="J11" t="s">
        <v>8</v>
      </c>
      <c r="L11" s="2"/>
      <c r="M11" s="2">
        <f>+M10*(C22+C27)</f>
        <v>1200</v>
      </c>
      <c r="O11" s="2"/>
      <c r="P11" s="2">
        <f>+P10*(C4+E7)</f>
        <v>1200</v>
      </c>
      <c r="R11" s="2"/>
      <c r="S11" s="2">
        <f>+S10*(C4+E7)</f>
        <v>1200</v>
      </c>
    </row>
    <row r="12" spans="1:19" x14ac:dyDescent="0.3">
      <c r="A12" s="58"/>
      <c r="B12" t="s">
        <v>65</v>
      </c>
      <c r="C12" s="16">
        <v>100</v>
      </c>
      <c r="D12" s="10">
        <v>0</v>
      </c>
      <c r="F12" s="2"/>
      <c r="H12" s="21"/>
      <c r="J12" t="s">
        <v>19</v>
      </c>
      <c r="L12" s="2"/>
      <c r="M12" s="2">
        <v>0</v>
      </c>
      <c r="O12" s="2"/>
      <c r="P12" s="2">
        <v>0</v>
      </c>
      <c r="R12" s="2"/>
      <c r="S12" s="2">
        <v>0</v>
      </c>
    </row>
    <row r="13" spans="1:19" x14ac:dyDescent="0.3">
      <c r="A13" s="58"/>
      <c r="B13" t="s">
        <v>2</v>
      </c>
      <c r="C13" s="16">
        <v>400</v>
      </c>
      <c r="D13" s="10">
        <v>0</v>
      </c>
      <c r="F13" s="2"/>
      <c r="H13" s="21"/>
      <c r="J13" t="s">
        <v>32</v>
      </c>
      <c r="L13" s="2"/>
      <c r="M13" s="2">
        <v>0</v>
      </c>
      <c r="O13" s="2"/>
      <c r="P13" s="2">
        <v>0</v>
      </c>
      <c r="R13" s="2"/>
      <c r="S13" s="2">
        <v>0</v>
      </c>
    </row>
    <row r="14" spans="1:19" x14ac:dyDescent="0.3">
      <c r="A14" s="58"/>
      <c r="B14" t="s">
        <v>3</v>
      </c>
      <c r="C14" s="16">
        <v>0</v>
      </c>
      <c r="D14" s="10">
        <v>0</v>
      </c>
      <c r="F14" s="2"/>
      <c r="H14" s="21"/>
      <c r="L14" s="2"/>
      <c r="M14" s="2"/>
      <c r="O14" s="2"/>
      <c r="P14" s="2"/>
      <c r="R14" s="2"/>
      <c r="S14" s="2"/>
    </row>
    <row r="15" spans="1:19" x14ac:dyDescent="0.3">
      <c r="B15" s="9"/>
      <c r="C15" s="3"/>
      <c r="D15" s="10"/>
      <c r="J15" t="s">
        <v>20</v>
      </c>
      <c r="L15" s="2"/>
      <c r="M15" s="2">
        <f>+M11-M12</f>
        <v>1200</v>
      </c>
      <c r="O15" s="2"/>
      <c r="P15" s="2">
        <f>+P11-P12</f>
        <v>1200</v>
      </c>
      <c r="R15" s="2"/>
      <c r="S15" s="2">
        <f>+S11-S12</f>
        <v>1200</v>
      </c>
    </row>
    <row r="16" spans="1:19" x14ac:dyDescent="0.3">
      <c r="B16" s="4" t="s">
        <v>11</v>
      </c>
      <c r="C16">
        <v>1000</v>
      </c>
      <c r="L16" s="2"/>
      <c r="M16" s="2"/>
      <c r="O16" s="2"/>
      <c r="P16" s="2"/>
      <c r="R16" s="2"/>
      <c r="S16" s="2"/>
    </row>
    <row r="17" spans="2:19" x14ac:dyDescent="0.3">
      <c r="B17" t="s">
        <v>12</v>
      </c>
      <c r="C17">
        <v>700</v>
      </c>
      <c r="J17" t="s">
        <v>30</v>
      </c>
      <c r="L17" s="2"/>
      <c r="M17" s="2">
        <f>M10*(C4+C5)/2</f>
        <v>400</v>
      </c>
      <c r="O17" s="2"/>
      <c r="P17" s="2">
        <f>100*P10</f>
        <v>400</v>
      </c>
      <c r="R17" s="2"/>
      <c r="S17" s="2">
        <f>200*S10</f>
        <v>800</v>
      </c>
    </row>
    <row r="18" spans="2:19" x14ac:dyDescent="0.3">
      <c r="J18" t="s">
        <v>35</v>
      </c>
      <c r="L18" s="2"/>
      <c r="M18" s="2">
        <f>+M17+M19</f>
        <v>600</v>
      </c>
      <c r="O18" s="2"/>
      <c r="P18" s="2">
        <f>+P17+P19</f>
        <v>600</v>
      </c>
      <c r="R18" s="2"/>
      <c r="S18" s="2">
        <v>0</v>
      </c>
    </row>
    <row r="19" spans="2:19" ht="15" thickBot="1" x14ac:dyDescent="0.35">
      <c r="B19" s="35" t="s">
        <v>86</v>
      </c>
      <c r="J19" t="s">
        <v>31</v>
      </c>
      <c r="M19" s="2">
        <f>+M10*(E7+E8)/2</f>
        <v>200</v>
      </c>
      <c r="P19" s="2">
        <f>50*P10</f>
        <v>200</v>
      </c>
      <c r="S19" s="2">
        <f>100*S10</f>
        <v>400</v>
      </c>
    </row>
    <row r="20" spans="2:19" ht="15.6" thickTop="1" thickBot="1" x14ac:dyDescent="0.35">
      <c r="B20" s="39" t="s">
        <v>14</v>
      </c>
      <c r="C20" s="39">
        <f>SUMIF(D4:D6,0,C4:C6)</f>
        <v>200</v>
      </c>
      <c r="D20" s="39"/>
    </row>
    <row r="21" spans="2:19" ht="15.6" thickTop="1" thickBot="1" x14ac:dyDescent="0.35">
      <c r="B21" s="39" t="s">
        <v>15</v>
      </c>
      <c r="C21" s="39">
        <f>SUMIF(D11:D14,0,C11:C14)</f>
        <v>700</v>
      </c>
      <c r="D21" s="39"/>
      <c r="J21" t="s">
        <v>39</v>
      </c>
      <c r="M21" s="7">
        <v>0</v>
      </c>
      <c r="P21" s="7">
        <v>0</v>
      </c>
      <c r="S21" s="7">
        <v>0</v>
      </c>
    </row>
    <row r="22" spans="2:19" ht="15.6" thickTop="1" thickBot="1" x14ac:dyDescent="0.35">
      <c r="B22" s="39" t="s">
        <v>16</v>
      </c>
      <c r="C22" s="45">
        <f>MIN(C20,C21)</f>
        <v>200</v>
      </c>
      <c r="D22" s="42">
        <v>0</v>
      </c>
      <c r="J22" t="s">
        <v>30</v>
      </c>
      <c r="M22" s="2">
        <f>+M21/2*$C$4</f>
        <v>0</v>
      </c>
      <c r="P22" s="2">
        <v>0</v>
      </c>
      <c r="S22" s="2">
        <v>0</v>
      </c>
    </row>
    <row r="23" spans="2:19" ht="15" thickTop="1" x14ac:dyDescent="0.3">
      <c r="B23" s="13"/>
      <c r="C23" s="46"/>
      <c r="D23" s="47"/>
      <c r="J23" t="s">
        <v>52</v>
      </c>
      <c r="M23" s="2">
        <f>+M21/2*L6+(L6-$C$4-$E$7)*M21/2</f>
        <v>0</v>
      </c>
      <c r="P23" s="2">
        <f>+P21*O6</f>
        <v>0</v>
      </c>
      <c r="S23" s="2">
        <f>+S21*R6</f>
        <v>0</v>
      </c>
    </row>
    <row r="24" spans="2:19" ht="15" thickBot="1" x14ac:dyDescent="0.35">
      <c r="B24" s="35" t="s">
        <v>87</v>
      </c>
      <c r="D24" s="2"/>
      <c r="J24" t="s">
        <v>31</v>
      </c>
      <c r="M24" s="2">
        <f>+M21/2*$E$7</f>
        <v>0</v>
      </c>
      <c r="P24" s="2">
        <v>0</v>
      </c>
      <c r="S24" s="2">
        <v>0</v>
      </c>
    </row>
    <row r="25" spans="2:19" ht="15.6" thickTop="1" thickBot="1" x14ac:dyDescent="0.35">
      <c r="B25" s="39" t="s">
        <v>25</v>
      </c>
      <c r="C25" s="39">
        <f>SUM(E7:E8)</f>
        <v>100</v>
      </c>
      <c r="D25" s="42"/>
    </row>
    <row r="26" spans="2:19" ht="15.6" thickTop="1" thickBot="1" x14ac:dyDescent="0.35">
      <c r="B26" s="39" t="s">
        <v>15</v>
      </c>
      <c r="C26" s="39">
        <f>C21</f>
        <v>700</v>
      </c>
      <c r="D26" s="42"/>
      <c r="J26" s="30" t="s">
        <v>49</v>
      </c>
      <c r="K26" s="30"/>
      <c r="L26" s="30"/>
      <c r="M26" s="31">
        <f>+M22+M17</f>
        <v>400</v>
      </c>
      <c r="N26" s="30"/>
      <c r="O26" s="30"/>
      <c r="P26" s="31">
        <f>+P22+P17</f>
        <v>400</v>
      </c>
      <c r="Q26" s="30"/>
      <c r="R26" s="30"/>
      <c r="S26" s="31">
        <f>+S22+S17</f>
        <v>800</v>
      </c>
    </row>
    <row r="27" spans="2:19" ht="15.6" thickTop="1" thickBot="1" x14ac:dyDescent="0.35">
      <c r="B27" s="39" t="s">
        <v>16</v>
      </c>
      <c r="C27" s="45">
        <f>MIN(C25,C26)</f>
        <v>100</v>
      </c>
      <c r="D27" s="42">
        <v>0</v>
      </c>
      <c r="J27" s="30" t="s">
        <v>64</v>
      </c>
      <c r="K27" s="30"/>
      <c r="L27" s="30"/>
      <c r="M27" s="31">
        <f>+C4*M10/2+C11*M21/2</f>
        <v>400</v>
      </c>
      <c r="N27" s="30"/>
      <c r="O27" s="30"/>
      <c r="P27" s="31">
        <f>+C4*P10/2</f>
        <v>400</v>
      </c>
      <c r="Q27" s="30"/>
      <c r="R27" s="30"/>
      <c r="S27" s="31">
        <f>+C4*S10</f>
        <v>800</v>
      </c>
    </row>
    <row r="28" spans="2:19" ht="15" thickTop="1" x14ac:dyDescent="0.3">
      <c r="B28" s="13"/>
      <c r="C28" s="46"/>
      <c r="D28" s="47"/>
      <c r="J28" s="30" t="s">
        <v>0</v>
      </c>
      <c r="K28" s="30"/>
      <c r="L28" s="30"/>
      <c r="M28" s="31">
        <v>0</v>
      </c>
      <c r="N28" s="30"/>
      <c r="O28" s="30"/>
      <c r="P28" s="31">
        <v>0</v>
      </c>
      <c r="Q28" s="30"/>
      <c r="R28" s="30"/>
      <c r="S28" s="31"/>
    </row>
    <row r="29" spans="2:19" ht="15" thickBot="1" x14ac:dyDescent="0.35">
      <c r="B29" s="35" t="s">
        <v>88</v>
      </c>
      <c r="J29" s="32" t="s">
        <v>1</v>
      </c>
      <c r="K29" s="30"/>
      <c r="L29" s="30"/>
      <c r="M29" s="31">
        <v>0</v>
      </c>
      <c r="N29" s="30"/>
      <c r="O29" s="30"/>
      <c r="P29" s="31">
        <v>0</v>
      </c>
      <c r="Q29" s="30"/>
      <c r="R29" s="30"/>
      <c r="S29" s="31"/>
    </row>
    <row r="30" spans="2:19" ht="15.6" thickTop="1" thickBot="1" x14ac:dyDescent="0.35">
      <c r="B30" s="39" t="s">
        <v>26</v>
      </c>
      <c r="C30" s="39">
        <f>+C5</f>
        <v>0</v>
      </c>
      <c r="D30" s="44">
        <f>+D6</f>
        <v>5</v>
      </c>
      <c r="J30" t="s">
        <v>50</v>
      </c>
      <c r="M30" s="7">
        <f>+M23+M18</f>
        <v>600</v>
      </c>
      <c r="P30" s="7">
        <f>+P23+P18</f>
        <v>600</v>
      </c>
      <c r="S30" s="7">
        <f>+S23+S18</f>
        <v>0</v>
      </c>
    </row>
    <row r="31" spans="2:19" ht="15.6" thickTop="1" thickBot="1" x14ac:dyDescent="0.35">
      <c r="B31" s="39" t="s">
        <v>91</v>
      </c>
      <c r="C31" s="39">
        <f>+C14</f>
        <v>0</v>
      </c>
      <c r="D31" s="44">
        <f>D14</f>
        <v>0</v>
      </c>
      <c r="J31" t="s">
        <v>64</v>
      </c>
      <c r="M31" s="7">
        <f>C11*M21/2+C11*M10/2</f>
        <v>400</v>
      </c>
      <c r="P31" s="7">
        <f>+C11*P21+C11*P10/2</f>
        <v>400</v>
      </c>
      <c r="S31" s="7">
        <f>+C11*S21</f>
        <v>0</v>
      </c>
    </row>
    <row r="32" spans="2:19" ht="15" thickTop="1" x14ac:dyDescent="0.3">
      <c r="B32" s="13"/>
      <c r="C32" s="13"/>
      <c r="D32" s="48"/>
      <c r="J32" t="s">
        <v>65</v>
      </c>
      <c r="M32" s="7">
        <f>+C12*M21/2+C12*M10/2</f>
        <v>200</v>
      </c>
      <c r="P32" s="7">
        <f>+C12*P21+C12*P10/2</f>
        <v>200</v>
      </c>
      <c r="S32" s="7">
        <f>+C12*S21</f>
        <v>0</v>
      </c>
    </row>
    <row r="33" spans="2:19" ht="15" thickBot="1" x14ac:dyDescent="0.35">
      <c r="B33" s="35" t="s">
        <v>89</v>
      </c>
      <c r="J33" t="s">
        <v>2</v>
      </c>
      <c r="M33" s="7">
        <f>+C13*M21/2</f>
        <v>0</v>
      </c>
      <c r="P33" s="7">
        <f>+C13*P21</f>
        <v>0</v>
      </c>
      <c r="S33" s="7">
        <f>+C13*S21</f>
        <v>0</v>
      </c>
    </row>
    <row r="34" spans="2:19" ht="15.6" thickTop="1" thickBot="1" x14ac:dyDescent="0.35">
      <c r="B34" s="39" t="s">
        <v>27</v>
      </c>
      <c r="C34" s="39">
        <f>+E9</f>
        <v>0</v>
      </c>
      <c r="D34" s="44">
        <f>+F9</f>
        <v>7</v>
      </c>
      <c r="J34" t="s">
        <v>3</v>
      </c>
      <c r="M34" s="7">
        <v>0</v>
      </c>
      <c r="P34" s="7">
        <v>0</v>
      </c>
      <c r="S34" s="7">
        <v>0</v>
      </c>
    </row>
    <row r="35" spans="2:19" ht="15.6" thickTop="1" thickBot="1" x14ac:dyDescent="0.35">
      <c r="B35" s="39" t="s">
        <v>91</v>
      </c>
      <c r="C35" s="39">
        <f>+C14</f>
        <v>0</v>
      </c>
      <c r="D35" s="44">
        <f>+D14</f>
        <v>0</v>
      </c>
      <c r="J35" t="s">
        <v>98</v>
      </c>
      <c r="M35" s="7">
        <f>+M30-M31-M32-M33</f>
        <v>0</v>
      </c>
      <c r="P35" s="7">
        <f>+P30-P31-P32-P33</f>
        <v>0</v>
      </c>
      <c r="S35" s="7">
        <f>S30-S31-S32-S33</f>
        <v>0</v>
      </c>
    </row>
    <row r="36" spans="2:19" ht="15.6" thickTop="1" thickBot="1" x14ac:dyDescent="0.35">
      <c r="J36" s="30" t="s">
        <v>53</v>
      </c>
      <c r="K36" s="30"/>
      <c r="L36" s="30"/>
      <c r="M36" s="31">
        <f>+M24+M19</f>
        <v>200</v>
      </c>
      <c r="N36" s="30"/>
      <c r="O36" s="30"/>
      <c r="P36" s="31">
        <f>+P24+P19</f>
        <v>200</v>
      </c>
      <c r="Q36" s="30"/>
      <c r="R36" s="30"/>
      <c r="S36" s="31">
        <f>+S24+S19</f>
        <v>400</v>
      </c>
    </row>
    <row r="37" spans="2:19" ht="15.6" thickTop="1" thickBot="1" x14ac:dyDescent="0.35">
      <c r="B37" s="39" t="s">
        <v>37</v>
      </c>
      <c r="C37" s="39">
        <v>700</v>
      </c>
      <c r="J37" s="32" t="s">
        <v>65</v>
      </c>
      <c r="K37" s="30"/>
      <c r="L37" s="30"/>
      <c r="M37" s="31">
        <f>+E7*M10/2+E7*M21/2</f>
        <v>200</v>
      </c>
      <c r="N37" s="30"/>
      <c r="O37" s="30"/>
      <c r="P37" s="31">
        <f>+E7*P10/2</f>
        <v>200</v>
      </c>
      <c r="Q37" s="30"/>
      <c r="R37" s="30"/>
      <c r="S37" s="31">
        <f>+E7*S10</f>
        <v>400</v>
      </c>
    </row>
    <row r="38" spans="2:19" ht="15.6" thickTop="1" thickBot="1" x14ac:dyDescent="0.35">
      <c r="B38" s="39" t="s">
        <v>43</v>
      </c>
      <c r="C38" s="39">
        <v>300</v>
      </c>
      <c r="J38" s="32" t="s">
        <v>21</v>
      </c>
      <c r="K38" s="30"/>
      <c r="L38" s="30"/>
      <c r="M38" s="31">
        <v>0</v>
      </c>
      <c r="N38" s="30"/>
      <c r="O38" s="30"/>
      <c r="P38" s="31">
        <v>0</v>
      </c>
      <c r="Q38" s="30"/>
      <c r="R38" s="30"/>
      <c r="S38" s="31">
        <v>0</v>
      </c>
    </row>
    <row r="39" spans="2:19" ht="15.6" thickTop="1" thickBot="1" x14ac:dyDescent="0.35">
      <c r="B39" s="39" t="s">
        <v>44</v>
      </c>
      <c r="C39" s="39">
        <v>0</v>
      </c>
      <c r="J39" s="32" t="s">
        <v>22</v>
      </c>
      <c r="K39" s="30"/>
      <c r="L39" s="30"/>
      <c r="M39" s="33">
        <v>0</v>
      </c>
      <c r="N39" s="30"/>
      <c r="O39" s="30"/>
      <c r="P39" s="33">
        <v>0</v>
      </c>
      <c r="Q39" s="30"/>
      <c r="R39" s="30"/>
      <c r="S39" s="33">
        <v>0</v>
      </c>
    </row>
    <row r="40" spans="2:19" ht="15.6" thickTop="1" thickBot="1" x14ac:dyDescent="0.35">
      <c r="B40" s="39" t="s">
        <v>45</v>
      </c>
      <c r="C40" s="39">
        <v>0</v>
      </c>
    </row>
    <row r="41" spans="2:19" ht="15" thickTop="1" x14ac:dyDescent="0.3"/>
    <row r="44" spans="2:19" x14ac:dyDescent="0.3">
      <c r="J44" t="s">
        <v>72</v>
      </c>
      <c r="M44" s="7">
        <f>+M27+M31</f>
        <v>800</v>
      </c>
      <c r="P44" s="7">
        <f>+P27+P31</f>
        <v>800</v>
      </c>
      <c r="S44" s="7">
        <f>+S27+S31</f>
        <v>800</v>
      </c>
    </row>
    <row r="45" spans="2:19" x14ac:dyDescent="0.3">
      <c r="J45" t="s">
        <v>73</v>
      </c>
      <c r="M45" s="7">
        <f>+M32+M37</f>
        <v>400</v>
      </c>
      <c r="P45" s="7">
        <f>+P32+P37</f>
        <v>400</v>
      </c>
      <c r="S45" s="7">
        <f>+S32+S37</f>
        <v>400</v>
      </c>
    </row>
    <row r="46" spans="2:19" x14ac:dyDescent="0.3">
      <c r="J46" t="s">
        <v>0</v>
      </c>
      <c r="M46" s="7">
        <f>+M28</f>
        <v>0</v>
      </c>
      <c r="P46" s="7">
        <f>+P28</f>
        <v>0</v>
      </c>
      <c r="S46" s="7">
        <f>+S28</f>
        <v>0</v>
      </c>
    </row>
    <row r="47" spans="2:19" x14ac:dyDescent="0.3">
      <c r="J47" t="s">
        <v>2</v>
      </c>
      <c r="M47" s="7">
        <f>+M33</f>
        <v>0</v>
      </c>
      <c r="P47" s="7">
        <f>+P33</f>
        <v>0</v>
      </c>
      <c r="S47" s="7">
        <f>+S33</f>
        <v>0</v>
      </c>
    </row>
    <row r="48" spans="2:19" x14ac:dyDescent="0.3">
      <c r="J48" t="s">
        <v>21</v>
      </c>
      <c r="M48" s="7">
        <f>+M38</f>
        <v>0</v>
      </c>
      <c r="P48" s="7">
        <f>+P38</f>
        <v>0</v>
      </c>
      <c r="S48" s="7">
        <f>+S38</f>
        <v>0</v>
      </c>
    </row>
    <row r="49" spans="10:19" x14ac:dyDescent="0.3">
      <c r="J49" t="s">
        <v>1</v>
      </c>
      <c r="M49" s="7">
        <f>+M29</f>
        <v>0</v>
      </c>
      <c r="P49" s="7">
        <f>+P29</f>
        <v>0</v>
      </c>
      <c r="S49" s="7">
        <f>+S29</f>
        <v>0</v>
      </c>
    </row>
    <row r="50" spans="10:19" x14ac:dyDescent="0.3">
      <c r="J50" t="s">
        <v>3</v>
      </c>
      <c r="M50" s="7">
        <f>+M34</f>
        <v>0</v>
      </c>
      <c r="P50" s="7">
        <f>+P34</f>
        <v>0</v>
      </c>
      <c r="S50" s="7">
        <f>+S34</f>
        <v>0</v>
      </c>
    </row>
    <row r="51" spans="10:19" x14ac:dyDescent="0.3">
      <c r="J51" t="s">
        <v>22</v>
      </c>
      <c r="M51" s="7">
        <f>+M39</f>
        <v>0</v>
      </c>
      <c r="P51" s="7">
        <f>+P39</f>
        <v>0</v>
      </c>
      <c r="S51" s="7">
        <f>+S39</f>
        <v>0</v>
      </c>
    </row>
    <row r="52" spans="10:19" x14ac:dyDescent="0.3">
      <c r="J52" t="s">
        <v>74</v>
      </c>
      <c r="M52" s="7">
        <f>+M35</f>
        <v>0</v>
      </c>
      <c r="P52" s="7">
        <f>+P35</f>
        <v>0</v>
      </c>
      <c r="S52" s="7">
        <f>+S35</f>
        <v>0</v>
      </c>
    </row>
    <row r="62" spans="10:19" x14ac:dyDescent="0.3">
      <c r="O62" s="2"/>
      <c r="P62" s="2"/>
    </row>
    <row r="63" spans="10:19" x14ac:dyDescent="0.3">
      <c r="O63" s="7"/>
      <c r="P63" s="7"/>
    </row>
    <row r="64" spans="10:19" x14ac:dyDescent="0.3">
      <c r="L64" s="2"/>
      <c r="M64" s="2"/>
    </row>
    <row r="65" spans="12:13" x14ac:dyDescent="0.3">
      <c r="L65" s="7"/>
      <c r="M65" s="7"/>
    </row>
  </sheetData>
  <mergeCells count="7">
    <mergeCell ref="A11:A14"/>
    <mergeCell ref="L1:M1"/>
    <mergeCell ref="O1:P1"/>
    <mergeCell ref="R1:S1"/>
    <mergeCell ref="C2:D2"/>
    <mergeCell ref="E2:F2"/>
    <mergeCell ref="G2:H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="90" zoomScaleNormal="90" workbookViewId="0">
      <selection activeCell="L6" sqref="L6"/>
    </sheetView>
  </sheetViews>
  <sheetFormatPr defaultRowHeight="14.4" x14ac:dyDescent="0.3"/>
  <cols>
    <col min="2" max="2" width="24.5546875" customWidth="1"/>
    <col min="5" max="5" width="11.88671875" customWidth="1"/>
    <col min="8" max="8" width="11.88671875" bestFit="1" customWidth="1"/>
    <col min="11" max="11" width="31.6640625" customWidth="1"/>
    <col min="13" max="13" width="12.5546875" bestFit="1" customWidth="1"/>
    <col min="14" max="14" width="4" customWidth="1"/>
    <col min="15" max="15" width="10.33203125" customWidth="1"/>
    <col min="16" max="16" width="12.5546875" customWidth="1"/>
    <col min="17" max="17" width="4.6640625" customWidth="1"/>
    <col min="18" max="18" width="11.33203125" customWidth="1"/>
    <col min="19" max="19" width="11.6640625" customWidth="1"/>
  </cols>
  <sheetData>
    <row r="1" spans="1:19" ht="27.75" customHeight="1" x14ac:dyDescent="0.3">
      <c r="K1" s="5"/>
      <c r="L1" s="56" t="s">
        <v>80</v>
      </c>
      <c r="M1" s="56"/>
      <c r="N1" s="5"/>
      <c r="O1" s="56" t="s">
        <v>79</v>
      </c>
      <c r="P1" s="56"/>
      <c r="R1" s="56" t="s">
        <v>78</v>
      </c>
      <c r="S1" s="56"/>
    </row>
    <row r="2" spans="1:19" x14ac:dyDescent="0.3">
      <c r="C2" s="59" t="s">
        <v>33</v>
      </c>
      <c r="D2" s="60"/>
      <c r="E2" s="61" t="s">
        <v>34</v>
      </c>
      <c r="F2" s="61"/>
      <c r="G2" s="59" t="s">
        <v>23</v>
      </c>
      <c r="H2" s="60"/>
      <c r="K2" t="s">
        <v>9</v>
      </c>
      <c r="L2" s="2"/>
      <c r="M2" s="2">
        <v>29</v>
      </c>
      <c r="N2" s="2"/>
      <c r="O2" s="2"/>
      <c r="P2" s="2">
        <v>29</v>
      </c>
      <c r="R2" s="2"/>
      <c r="S2" s="2">
        <v>29</v>
      </c>
    </row>
    <row r="3" spans="1:19" x14ac:dyDescent="0.3">
      <c r="B3" s="5"/>
      <c r="C3" s="15" t="s">
        <v>4</v>
      </c>
      <c r="D3" s="18" t="s">
        <v>5</v>
      </c>
      <c r="E3" s="49" t="s">
        <v>4</v>
      </c>
      <c r="F3" s="49" t="s">
        <v>5</v>
      </c>
      <c r="G3" s="15" t="s">
        <v>4</v>
      </c>
      <c r="H3" s="18" t="s">
        <v>24</v>
      </c>
      <c r="K3" t="s">
        <v>10</v>
      </c>
      <c r="L3" s="2"/>
      <c r="M3" s="2">
        <v>31</v>
      </c>
      <c r="N3" s="2"/>
      <c r="O3" s="2"/>
      <c r="P3" s="2">
        <v>31</v>
      </c>
      <c r="R3" s="2"/>
      <c r="S3" s="2">
        <v>31</v>
      </c>
    </row>
    <row r="4" spans="1:19" x14ac:dyDescent="0.3">
      <c r="B4" t="s">
        <v>64</v>
      </c>
      <c r="C4" s="16">
        <v>0</v>
      </c>
      <c r="D4" s="19">
        <v>0</v>
      </c>
      <c r="F4" s="2"/>
      <c r="G4" s="22"/>
      <c r="H4" s="21"/>
      <c r="K4" t="s">
        <v>28</v>
      </c>
      <c r="L4" s="2"/>
      <c r="M4" s="2">
        <v>29</v>
      </c>
      <c r="N4" s="2"/>
      <c r="O4" s="2"/>
      <c r="P4" s="2">
        <v>29</v>
      </c>
      <c r="R4" s="2"/>
      <c r="S4" s="2">
        <v>29</v>
      </c>
    </row>
    <row r="5" spans="1:19" x14ac:dyDescent="0.3">
      <c r="B5" t="s">
        <v>0</v>
      </c>
      <c r="C5" s="16">
        <v>200</v>
      </c>
      <c r="D5" s="19">
        <v>0</v>
      </c>
      <c r="F5" s="2"/>
      <c r="G5" s="22"/>
      <c r="H5" s="21"/>
      <c r="K5" t="s">
        <v>95</v>
      </c>
      <c r="L5" s="2"/>
      <c r="M5" s="2">
        <v>29</v>
      </c>
      <c r="N5" s="2"/>
      <c r="O5" s="2"/>
      <c r="P5" s="2">
        <v>29</v>
      </c>
      <c r="R5" s="2"/>
      <c r="S5" s="2">
        <v>29</v>
      </c>
    </row>
    <row r="6" spans="1:19" x14ac:dyDescent="0.3">
      <c r="B6" s="13" t="s">
        <v>1</v>
      </c>
      <c r="C6" s="16">
        <v>0</v>
      </c>
      <c r="D6" s="19">
        <v>5</v>
      </c>
      <c r="F6" s="2"/>
      <c r="G6" s="22"/>
      <c r="H6" s="21"/>
      <c r="K6" t="s">
        <v>92</v>
      </c>
      <c r="L6">
        <v>700</v>
      </c>
      <c r="O6">
        <v>700</v>
      </c>
      <c r="R6">
        <v>700</v>
      </c>
    </row>
    <row r="7" spans="1:19" x14ac:dyDescent="0.3">
      <c r="B7" s="3" t="s">
        <v>65</v>
      </c>
      <c r="C7" s="16"/>
      <c r="D7" s="19"/>
      <c r="E7">
        <v>0</v>
      </c>
      <c r="F7" s="2">
        <v>0</v>
      </c>
      <c r="G7" s="22"/>
      <c r="H7" s="21"/>
      <c r="K7" t="s">
        <v>46</v>
      </c>
      <c r="L7" t="s">
        <v>41</v>
      </c>
      <c r="O7" t="s">
        <v>41</v>
      </c>
      <c r="R7" t="s">
        <v>41</v>
      </c>
    </row>
    <row r="8" spans="1:19" x14ac:dyDescent="0.3">
      <c r="B8" s="3" t="s">
        <v>21</v>
      </c>
      <c r="C8" s="16"/>
      <c r="D8" s="19"/>
      <c r="E8">
        <v>100</v>
      </c>
      <c r="F8" s="2">
        <v>0</v>
      </c>
      <c r="G8" s="22"/>
      <c r="H8" s="21"/>
      <c r="K8" t="s">
        <v>40</v>
      </c>
      <c r="L8" t="s">
        <v>42</v>
      </c>
      <c r="O8" t="s">
        <v>42</v>
      </c>
      <c r="R8" t="s">
        <v>42</v>
      </c>
    </row>
    <row r="9" spans="1:19" x14ac:dyDescent="0.3">
      <c r="B9" s="3" t="s">
        <v>22</v>
      </c>
      <c r="C9" s="16"/>
      <c r="D9" s="19"/>
      <c r="E9">
        <v>0</v>
      </c>
      <c r="F9" s="2">
        <v>7</v>
      </c>
      <c r="G9" s="22"/>
      <c r="H9" s="21"/>
    </row>
    <row r="10" spans="1:19" ht="15" thickBot="1" x14ac:dyDescent="0.35">
      <c r="B10" s="11" t="s">
        <v>48</v>
      </c>
      <c r="C10" s="17"/>
      <c r="D10" s="20"/>
      <c r="E10" s="1"/>
      <c r="F10" s="14"/>
      <c r="G10" s="23">
        <v>1000</v>
      </c>
      <c r="H10" s="26">
        <v>29</v>
      </c>
      <c r="K10" t="s">
        <v>17</v>
      </c>
      <c r="L10" s="7"/>
      <c r="M10" s="7">
        <f>M5-M2</f>
        <v>0</v>
      </c>
      <c r="O10" s="7"/>
      <c r="P10" s="7">
        <f>P5-P4</f>
        <v>0</v>
      </c>
      <c r="R10" s="7"/>
      <c r="S10" s="7">
        <f>S5-S2</f>
        <v>0</v>
      </c>
    </row>
    <row r="11" spans="1:19" x14ac:dyDescent="0.3">
      <c r="A11" s="57" t="s">
        <v>47</v>
      </c>
      <c r="B11" t="s">
        <v>64</v>
      </c>
      <c r="C11" s="24">
        <v>200</v>
      </c>
      <c r="D11" s="10">
        <v>0</v>
      </c>
      <c r="F11" s="2"/>
      <c r="H11" s="25"/>
      <c r="K11" t="s">
        <v>8</v>
      </c>
      <c r="L11" s="2"/>
      <c r="M11" s="2">
        <f>+M$10*($E$22+$E$32)</f>
        <v>0</v>
      </c>
      <c r="O11" s="2"/>
      <c r="P11" s="2">
        <f>+P$10*($E$22+$E$32)</f>
        <v>0</v>
      </c>
      <c r="R11" s="2"/>
      <c r="S11" s="2">
        <f>+S$10*($E$22+$E$32)</f>
        <v>0</v>
      </c>
    </row>
    <row r="12" spans="1:19" x14ac:dyDescent="0.3">
      <c r="A12" s="58"/>
      <c r="B12" t="s">
        <v>65</v>
      </c>
      <c r="C12" s="16">
        <v>100</v>
      </c>
      <c r="D12" s="10">
        <v>0</v>
      </c>
      <c r="F12" s="2"/>
      <c r="H12" s="21"/>
      <c r="K12" t="s">
        <v>19</v>
      </c>
      <c r="L12" s="2"/>
      <c r="M12" s="2">
        <v>0</v>
      </c>
      <c r="O12" s="2"/>
      <c r="P12" s="2">
        <v>0</v>
      </c>
      <c r="R12" s="2"/>
      <c r="S12" s="2">
        <v>0</v>
      </c>
    </row>
    <row r="13" spans="1:19" x14ac:dyDescent="0.3">
      <c r="A13" s="58"/>
      <c r="B13" t="s">
        <v>2</v>
      </c>
      <c r="C13" s="16">
        <v>400</v>
      </c>
      <c r="D13" s="10">
        <v>0</v>
      </c>
      <c r="F13" s="2"/>
      <c r="H13" s="21"/>
      <c r="K13" t="s">
        <v>32</v>
      </c>
      <c r="L13" s="2"/>
      <c r="M13" s="2">
        <v>0</v>
      </c>
      <c r="O13" s="2"/>
      <c r="P13" s="2">
        <v>0</v>
      </c>
      <c r="R13" s="2"/>
      <c r="S13" s="2">
        <v>0</v>
      </c>
    </row>
    <row r="14" spans="1:19" x14ac:dyDescent="0.3">
      <c r="A14" s="58"/>
      <c r="B14" t="s">
        <v>3</v>
      </c>
      <c r="C14" s="16">
        <v>0</v>
      </c>
      <c r="D14" s="10">
        <v>0</v>
      </c>
      <c r="F14" s="2"/>
      <c r="H14" s="21"/>
      <c r="L14" s="2"/>
      <c r="M14" s="2"/>
      <c r="O14" s="2"/>
      <c r="P14" s="2"/>
      <c r="R14" s="2"/>
      <c r="S14" s="2"/>
    </row>
    <row r="15" spans="1:19" x14ac:dyDescent="0.3">
      <c r="B15" s="9"/>
      <c r="C15" s="3"/>
      <c r="D15" s="10"/>
      <c r="K15" t="s">
        <v>20</v>
      </c>
      <c r="L15" s="2"/>
      <c r="M15" s="2">
        <f>+M11-M12</f>
        <v>0</v>
      </c>
      <c r="O15" s="2"/>
      <c r="P15" s="2">
        <f>+P11-P12</f>
        <v>0</v>
      </c>
      <c r="R15" s="2"/>
      <c r="S15" s="2">
        <f>+S11-S12</f>
        <v>0</v>
      </c>
    </row>
    <row r="16" spans="1:19" x14ac:dyDescent="0.3">
      <c r="B16" s="4" t="s">
        <v>11</v>
      </c>
      <c r="C16">
        <v>1000</v>
      </c>
      <c r="L16" s="2"/>
      <c r="M16" s="2"/>
      <c r="O16" s="2"/>
      <c r="P16" s="2"/>
      <c r="R16" s="2"/>
      <c r="S16" s="2"/>
    </row>
    <row r="17" spans="2:19" x14ac:dyDescent="0.3">
      <c r="B17" t="s">
        <v>12</v>
      </c>
      <c r="C17">
        <v>700</v>
      </c>
      <c r="K17" t="s">
        <v>30</v>
      </c>
      <c r="L17" s="2"/>
      <c r="M17" s="2">
        <f>M$10*(MIN((E$21+E$22),(C$4+C$5)))/2</f>
        <v>0</v>
      </c>
      <c r="O17" s="2"/>
      <c r="P17" s="2">
        <f>100*P10</f>
        <v>0</v>
      </c>
      <c r="R17" s="2"/>
      <c r="S17" s="2">
        <f>200*S10</f>
        <v>0</v>
      </c>
    </row>
    <row r="18" spans="2:19" x14ac:dyDescent="0.3">
      <c r="K18" t="s">
        <v>35</v>
      </c>
      <c r="L18" s="2"/>
      <c r="M18" s="2">
        <f>(E$27+E$37)*(M$10/2)</f>
        <v>0</v>
      </c>
      <c r="O18" s="2"/>
      <c r="P18" s="2">
        <f>+P17+P19</f>
        <v>0</v>
      </c>
      <c r="R18" s="2"/>
      <c r="S18" s="2">
        <v>0</v>
      </c>
    </row>
    <row r="19" spans="2:19" ht="15" thickBot="1" x14ac:dyDescent="0.35">
      <c r="B19" s="35" t="s">
        <v>86</v>
      </c>
      <c r="C19" t="s">
        <v>96</v>
      </c>
      <c r="E19" t="s">
        <v>97</v>
      </c>
      <c r="K19" t="s">
        <v>31</v>
      </c>
      <c r="M19" s="2">
        <f>M$10*(MIN((E$31+E$32),(E$7+E$8)))/2</f>
        <v>0</v>
      </c>
      <c r="P19" s="2">
        <f>50*P10</f>
        <v>0</v>
      </c>
      <c r="S19" s="2">
        <f>100*S10</f>
        <v>0</v>
      </c>
    </row>
    <row r="20" spans="2:19" ht="15.6" thickTop="1" thickBot="1" x14ac:dyDescent="0.35">
      <c r="B20" s="39" t="s">
        <v>14</v>
      </c>
      <c r="C20" s="39">
        <f>SUMIF(D4:D9,0,C4:C9)</f>
        <v>200</v>
      </c>
      <c r="D20" s="39"/>
      <c r="E20" s="39"/>
    </row>
    <row r="21" spans="2:19" ht="15.6" thickTop="1" thickBot="1" x14ac:dyDescent="0.35">
      <c r="B21" s="40" t="s">
        <v>64</v>
      </c>
      <c r="C21" s="39"/>
      <c r="D21" s="39">
        <f>C4</f>
        <v>0</v>
      </c>
      <c r="E21" s="39">
        <f>D4</f>
        <v>0</v>
      </c>
      <c r="K21" t="s">
        <v>39</v>
      </c>
      <c r="M21" s="7">
        <f>M3-M5</f>
        <v>2</v>
      </c>
      <c r="P21" s="7">
        <f>P3-P5</f>
        <v>2</v>
      </c>
      <c r="S21" s="7">
        <f>S3-S5</f>
        <v>2</v>
      </c>
    </row>
    <row r="22" spans="2:19" ht="15.6" thickTop="1" thickBot="1" x14ac:dyDescent="0.35">
      <c r="B22" s="40" t="s">
        <v>0</v>
      </c>
      <c r="C22" s="39"/>
      <c r="D22" s="39">
        <v>200</v>
      </c>
      <c r="E22" s="39">
        <v>150</v>
      </c>
      <c r="K22" t="s">
        <v>30</v>
      </c>
      <c r="M22" s="2">
        <f>+M21/2*($E$21+$E$22)</f>
        <v>150</v>
      </c>
      <c r="P22" s="2">
        <v>0</v>
      </c>
      <c r="S22" s="2">
        <v>0</v>
      </c>
    </row>
    <row r="23" spans="2:19" ht="15.6" thickTop="1" thickBot="1" x14ac:dyDescent="0.35">
      <c r="B23" s="39" t="s">
        <v>15</v>
      </c>
      <c r="C23" s="39">
        <f>SUMIF(D10:D13,0,C10:C13)</f>
        <v>700</v>
      </c>
      <c r="D23" s="39"/>
      <c r="E23" s="39"/>
      <c r="K23" t="s">
        <v>52</v>
      </c>
      <c r="M23" s="2">
        <f>+M21/2*L6+(L6-SUM(E21:E22)-SUM(E31:E32))*M21/2</f>
        <v>1200</v>
      </c>
      <c r="P23" s="2">
        <f>+P21/2*O6+(O6-SUM(H21:H22)-SUM(H31:H32))*P21/2</f>
        <v>1400</v>
      </c>
      <c r="S23" s="2">
        <f>+S21/2*R6+(R6-SUM(K21:K22)-SUM(K31:K32))*S21/2</f>
        <v>1400</v>
      </c>
    </row>
    <row r="24" spans="2:19" ht="15.6" thickTop="1" thickBot="1" x14ac:dyDescent="0.35">
      <c r="B24" s="40" t="s">
        <v>64</v>
      </c>
      <c r="C24" s="39"/>
      <c r="D24" s="41">
        <f>C11</f>
        <v>200</v>
      </c>
      <c r="E24" s="41">
        <f>D11</f>
        <v>0</v>
      </c>
      <c r="K24" t="s">
        <v>31</v>
      </c>
      <c r="M24" s="2">
        <f>+M21/2*SUM(E31:E32)</f>
        <v>50</v>
      </c>
      <c r="P24" s="2">
        <v>0</v>
      </c>
      <c r="S24" s="2">
        <v>0</v>
      </c>
    </row>
    <row r="25" spans="2:19" ht="15.6" thickTop="1" thickBot="1" x14ac:dyDescent="0.35">
      <c r="B25" s="40" t="s">
        <v>0</v>
      </c>
      <c r="C25" s="39"/>
      <c r="D25" s="41">
        <f t="shared" ref="D25:E26" si="0">C12</f>
        <v>100</v>
      </c>
      <c r="E25" s="41">
        <f t="shared" si="0"/>
        <v>0</v>
      </c>
    </row>
    <row r="26" spans="2:19" ht="15.6" thickTop="1" thickBot="1" x14ac:dyDescent="0.35">
      <c r="B26" s="40" t="s">
        <v>2</v>
      </c>
      <c r="C26" s="39"/>
      <c r="D26" s="41">
        <f t="shared" si="0"/>
        <v>400</v>
      </c>
      <c r="E26" s="41">
        <f t="shared" si="0"/>
        <v>0</v>
      </c>
      <c r="K26" s="30" t="s">
        <v>49</v>
      </c>
      <c r="L26" s="30"/>
      <c r="M26" s="31">
        <f>+M22+M17</f>
        <v>150</v>
      </c>
      <c r="N26" s="30"/>
      <c r="O26" s="30"/>
      <c r="P26" s="31">
        <f>+P22+P17</f>
        <v>0</v>
      </c>
      <c r="Q26" s="30"/>
      <c r="R26" s="30"/>
      <c r="S26" s="31">
        <f>+S22+S17</f>
        <v>0</v>
      </c>
    </row>
    <row r="27" spans="2:19" ht="15.6" thickTop="1" thickBot="1" x14ac:dyDescent="0.35">
      <c r="B27" s="39" t="s">
        <v>16</v>
      </c>
      <c r="C27" s="39">
        <f>MIN(C20,C23)</f>
        <v>200</v>
      </c>
      <c r="D27" s="42">
        <v>0</v>
      </c>
      <c r="E27" s="39">
        <v>150</v>
      </c>
      <c r="K27" s="30" t="s">
        <v>64</v>
      </c>
      <c r="L27" s="30"/>
      <c r="M27" s="31">
        <f>E$27*(($E21/$E$27)*(M$10/2))+E$27*(($E21/$E$27)*(M$21/2))</f>
        <v>0</v>
      </c>
      <c r="N27" s="30"/>
      <c r="O27" s="30"/>
      <c r="P27" s="31">
        <f>+F4*P10/2+F11*P21/2</f>
        <v>0</v>
      </c>
      <c r="Q27" s="30"/>
      <c r="R27" s="30"/>
      <c r="S27" s="31">
        <f>+I4*S10/2+I11*S21/2</f>
        <v>0</v>
      </c>
    </row>
    <row r="28" spans="2:19" ht="15" thickTop="1" x14ac:dyDescent="0.3">
      <c r="B28" s="13"/>
      <c r="C28" s="46"/>
      <c r="D28" s="47"/>
      <c r="E28" s="47"/>
      <c r="K28" s="30" t="s">
        <v>0</v>
      </c>
      <c r="L28" s="30"/>
      <c r="M28" s="31">
        <f>E$27*(($E22/$E$27)*(M$10/2))+E$27*(($E22/$E$27)*(M$21/2))</f>
        <v>150</v>
      </c>
      <c r="N28" s="30"/>
      <c r="O28" s="30"/>
      <c r="P28" s="31">
        <f>+$C5*P$10/2</f>
        <v>0</v>
      </c>
      <c r="Q28" s="30"/>
      <c r="R28" s="30"/>
      <c r="S28" s="31">
        <f>+C5*S10</f>
        <v>0</v>
      </c>
    </row>
    <row r="29" spans="2:19" ht="15" thickBot="1" x14ac:dyDescent="0.35">
      <c r="B29" s="35" t="s">
        <v>87</v>
      </c>
      <c r="D29" s="2"/>
      <c r="E29" s="2"/>
      <c r="K29" s="32" t="s">
        <v>1</v>
      </c>
      <c r="L29" s="30"/>
      <c r="M29" s="31">
        <f>+$C6*M$10/2+($C6*($C6/$C$20))*M$21/2</f>
        <v>0</v>
      </c>
      <c r="N29" s="30"/>
      <c r="O29" s="30"/>
      <c r="P29" s="31">
        <v>0</v>
      </c>
      <c r="Q29" s="30"/>
      <c r="R29" s="30"/>
      <c r="S29" s="31">
        <v>0</v>
      </c>
    </row>
    <row r="30" spans="2:19" ht="15.6" thickTop="1" thickBot="1" x14ac:dyDescent="0.35">
      <c r="B30" s="39" t="s">
        <v>25</v>
      </c>
      <c r="C30" s="39">
        <f>SUM(E7:E8)</f>
        <v>100</v>
      </c>
      <c r="D30" s="42"/>
      <c r="E30" s="42"/>
      <c r="K30" t="s">
        <v>50</v>
      </c>
      <c r="M30" s="7">
        <f>+M23+M18</f>
        <v>1200</v>
      </c>
      <c r="P30" s="7">
        <f>+P23+P18</f>
        <v>1400</v>
      </c>
      <c r="S30" s="7">
        <f>+S23+S18</f>
        <v>1400</v>
      </c>
    </row>
    <row r="31" spans="2:19" ht="15.6" thickTop="1" thickBot="1" x14ac:dyDescent="0.35">
      <c r="B31" s="40" t="s">
        <v>64</v>
      </c>
      <c r="C31" s="39"/>
      <c r="D31" s="39">
        <f>E7</f>
        <v>0</v>
      </c>
      <c r="E31" s="39">
        <v>0</v>
      </c>
      <c r="K31" t="s">
        <v>64</v>
      </c>
      <c r="M31" s="51">
        <f>($E$27+$E$37)*(M$10/2)*($C11/$C$17)+(($E$27+$E$37)*(M$21/2)*($C11/$C$17))+((L$6-$E$27-$E$37)*M$21)*($C11/$C$17)</f>
        <v>342.85714285714289</v>
      </c>
      <c r="P31" s="51">
        <f>($E$27+$E$37)*(P$10/2)*($C11/$C$17)+(($E$27+$E$37)*(P$21)*($C11/$C$17))+((O$6-$E$27-$E$37)*P$21)*($C11/$C$17)</f>
        <v>400</v>
      </c>
      <c r="S31" s="51">
        <f>($E$27+$E$37)*(S$10/2)*($C11/$C$17)+(($E$27+$E$37)*(S$21)*($C11/$C$17))+((R$6-$E$27-$E$37)*S$21)*($C11/$C$17)</f>
        <v>400</v>
      </c>
    </row>
    <row r="32" spans="2:19" ht="15.6" thickTop="1" thickBot="1" x14ac:dyDescent="0.35">
      <c r="B32" s="40" t="s">
        <v>0</v>
      </c>
      <c r="C32" s="39"/>
      <c r="D32" s="39">
        <f>E8</f>
        <v>100</v>
      </c>
      <c r="E32" s="39">
        <v>50</v>
      </c>
      <c r="K32" t="s">
        <v>65</v>
      </c>
      <c r="M32" s="51">
        <f t="shared" ref="M32:M33" si="1">($E$27+$E$37)*(M$10/2)*($C12/$C$17)+(($E$27+$E$37)*(M$21/2)*($C12/$C$17))+((L$6-$E$27-$E$37)*M$21)*($C12/$C$17)</f>
        <v>171.42857142857144</v>
      </c>
      <c r="P32" s="51">
        <f t="shared" ref="P32:P33" si="2">($E$27+$E$37)*(P$10/2)*($C12/$C$17)+(($E$27+$E$37)*(P$21)*($C12/$C$17))+((O$6-$E$27-$E$37)*P$21)*($C12/$C$17)</f>
        <v>200</v>
      </c>
      <c r="S32" s="51">
        <f t="shared" ref="S32:S33" si="3">($E$27+$E$37)*(S$10/2)*($C12/$C$17)+(($E$27+$E$37)*(S$21)*($C12/$C$17))+((R$6-$E$27-$E$37)*S$21)*($C12/$C$17)</f>
        <v>200</v>
      </c>
    </row>
    <row r="33" spans="2:19" ht="15.6" thickTop="1" thickBot="1" x14ac:dyDescent="0.35">
      <c r="B33" s="39" t="s">
        <v>15</v>
      </c>
      <c r="C33" s="39">
        <f>C23</f>
        <v>700</v>
      </c>
      <c r="D33" s="42"/>
      <c r="E33" s="42"/>
      <c r="K33" t="s">
        <v>2</v>
      </c>
      <c r="M33" s="51">
        <f t="shared" si="1"/>
        <v>685.71428571428578</v>
      </c>
      <c r="P33" s="51">
        <f t="shared" si="2"/>
        <v>800</v>
      </c>
      <c r="S33" s="51">
        <f t="shared" si="3"/>
        <v>800</v>
      </c>
    </row>
    <row r="34" spans="2:19" ht="15.6" thickTop="1" thickBot="1" x14ac:dyDescent="0.35">
      <c r="B34" s="40" t="s">
        <v>64</v>
      </c>
      <c r="C34" s="39"/>
      <c r="D34" s="41">
        <f>C11</f>
        <v>200</v>
      </c>
      <c r="E34" s="41"/>
      <c r="K34" t="s">
        <v>3</v>
      </c>
      <c r="L34" s="35"/>
      <c r="M34" s="51">
        <f t="shared" ref="M34" si="4">$E$27*(($D27/$C$23)*(M$10/2))+$E$37*(($D37/$C$33)*(M$10/2))++$C$17*(($C14/$C$17)*(M$23/$C$17))</f>
        <v>0</v>
      </c>
      <c r="P34" s="51">
        <f t="shared" ref="P34" si="5">(((($E$27+$E$37)*(P$10/2))*($C14/$C$17))+(($E$27+$E$37)*(P$21))+((O$6-$E$27-$E$37)*P$21))*($C14/$C$17)</f>
        <v>0</v>
      </c>
      <c r="S34" s="7">
        <v>0</v>
      </c>
    </row>
    <row r="35" spans="2:19" ht="15.6" thickTop="1" thickBot="1" x14ac:dyDescent="0.35">
      <c r="B35" s="40" t="s">
        <v>0</v>
      </c>
      <c r="C35" s="39"/>
      <c r="D35" s="41">
        <f t="shared" ref="D35:D36" si="6">C12</f>
        <v>100</v>
      </c>
      <c r="E35" s="41"/>
      <c r="G35" s="7"/>
      <c r="H35" s="7"/>
      <c r="K35" t="s">
        <v>99</v>
      </c>
      <c r="L35" s="35"/>
      <c r="M35" s="51">
        <f>(M21*L6)-SUM(M31:M33)</f>
        <v>200</v>
      </c>
      <c r="P35" s="51">
        <f>(P21*O6)-SUM(P31:P33)</f>
        <v>0</v>
      </c>
      <c r="S35" s="7">
        <f>+S30-S31-S32-S33</f>
        <v>0</v>
      </c>
    </row>
    <row r="36" spans="2:19" ht="15.6" thickTop="1" thickBot="1" x14ac:dyDescent="0.35">
      <c r="B36" s="40" t="s">
        <v>2</v>
      </c>
      <c r="C36" s="39"/>
      <c r="D36" s="41">
        <f t="shared" si="6"/>
        <v>400</v>
      </c>
      <c r="E36" s="41"/>
      <c r="G36" s="7"/>
      <c r="H36" s="7"/>
      <c r="K36" s="30" t="s">
        <v>53</v>
      </c>
      <c r="L36" s="30"/>
      <c r="M36" s="51">
        <f>M19+M24+M13</f>
        <v>50</v>
      </c>
      <c r="N36" s="30"/>
      <c r="O36" s="30"/>
      <c r="P36" s="31">
        <f>+P24+P19</f>
        <v>0</v>
      </c>
      <c r="Q36" s="30"/>
      <c r="R36" s="30"/>
      <c r="S36" s="31">
        <f>+S24+S19</f>
        <v>0</v>
      </c>
    </row>
    <row r="37" spans="2:19" ht="15.6" thickTop="1" thickBot="1" x14ac:dyDescent="0.35">
      <c r="B37" s="39" t="s">
        <v>16</v>
      </c>
      <c r="C37" s="45">
        <f>MIN(C30,C33)</f>
        <v>100</v>
      </c>
      <c r="D37" s="42">
        <v>0</v>
      </c>
      <c r="E37" s="39">
        <v>50</v>
      </c>
      <c r="G37" s="7"/>
      <c r="H37" s="7"/>
      <c r="K37" s="32" t="s">
        <v>65</v>
      </c>
      <c r="L37" s="30"/>
      <c r="M37" s="51">
        <f>E$37*(($E31/$E$37)*(M$10/2))+E$37*(($E31/$E$37)*(M$21/2))</f>
        <v>0</v>
      </c>
      <c r="N37" s="30"/>
      <c r="O37" s="30"/>
      <c r="P37" s="31">
        <f>$C$37*(($D31/$C$30)*(P$10/2))</f>
        <v>0</v>
      </c>
      <c r="Q37" s="30"/>
      <c r="R37" s="30"/>
      <c r="S37" s="31">
        <f>+E7*S10</f>
        <v>0</v>
      </c>
    </row>
    <row r="38" spans="2:19" ht="15" thickTop="1" x14ac:dyDescent="0.3">
      <c r="B38" s="13"/>
      <c r="C38" s="46"/>
      <c r="D38" s="47"/>
      <c r="E38" s="47"/>
      <c r="K38" s="32" t="s">
        <v>21</v>
      </c>
      <c r="L38" s="30"/>
      <c r="M38" s="51">
        <f>E$37*(($E32/$E$37)*(M$10/2))+E$37*(($E32/$E$37)*(M$21/2))</f>
        <v>50</v>
      </c>
      <c r="N38" s="30"/>
      <c r="O38" s="30"/>
      <c r="P38" s="31">
        <f>$C$37*(($D32/$C$30)*(P$10/2))</f>
        <v>0</v>
      </c>
      <c r="Q38" s="30"/>
      <c r="R38" s="30"/>
      <c r="S38" s="31">
        <f>+E8*S10</f>
        <v>0</v>
      </c>
    </row>
    <row r="39" spans="2:19" ht="15" thickBot="1" x14ac:dyDescent="0.35">
      <c r="B39" s="35" t="s">
        <v>88</v>
      </c>
      <c r="K39" s="32" t="s">
        <v>22</v>
      </c>
      <c r="L39" s="30"/>
      <c r="M39" s="51">
        <f>IF(F9&gt;0,0,E9/E37)</f>
        <v>0</v>
      </c>
      <c r="N39" s="30"/>
      <c r="O39" s="30"/>
      <c r="P39" s="33">
        <v>0</v>
      </c>
      <c r="Q39" s="30"/>
      <c r="R39" s="30"/>
      <c r="S39" s="33">
        <v>0</v>
      </c>
    </row>
    <row r="40" spans="2:19" ht="15.6" thickTop="1" thickBot="1" x14ac:dyDescent="0.35">
      <c r="B40" s="39" t="s">
        <v>26</v>
      </c>
      <c r="C40" s="39">
        <f>+C5</f>
        <v>200</v>
      </c>
      <c r="D40" s="44">
        <f>+D6</f>
        <v>5</v>
      </c>
      <c r="E40" s="44">
        <f>+E6</f>
        <v>0</v>
      </c>
    </row>
    <row r="41" spans="2:19" ht="15.6" thickTop="1" thickBot="1" x14ac:dyDescent="0.35">
      <c r="B41" s="39" t="s">
        <v>91</v>
      </c>
      <c r="C41" s="39">
        <f>+C14</f>
        <v>0</v>
      </c>
      <c r="D41" s="44">
        <f>D14</f>
        <v>0</v>
      </c>
      <c r="E41" s="44">
        <f>E14</f>
        <v>0</v>
      </c>
    </row>
    <row r="42" spans="2:19" ht="15" thickTop="1" x14ac:dyDescent="0.3">
      <c r="B42" s="13"/>
      <c r="C42" s="13"/>
      <c r="D42" s="48"/>
      <c r="E42" s="48"/>
    </row>
    <row r="43" spans="2:19" ht="15" thickBot="1" x14ac:dyDescent="0.35">
      <c r="B43" s="35" t="s">
        <v>89</v>
      </c>
    </row>
    <row r="44" spans="2:19" ht="15.6" thickTop="1" thickBot="1" x14ac:dyDescent="0.35">
      <c r="B44" s="39" t="s">
        <v>27</v>
      </c>
      <c r="C44" s="39">
        <f>+E9</f>
        <v>0</v>
      </c>
      <c r="D44" s="44">
        <f>+F9</f>
        <v>7</v>
      </c>
      <c r="E44" s="44">
        <f>+G9</f>
        <v>0</v>
      </c>
      <c r="K44" t="s">
        <v>72</v>
      </c>
      <c r="M44" s="7">
        <f>+M27+M31</f>
        <v>342.85714285714289</v>
      </c>
      <c r="P44" s="7">
        <f>+P27+P31</f>
        <v>400</v>
      </c>
      <c r="S44" s="7">
        <f>+S27+S31</f>
        <v>400</v>
      </c>
    </row>
    <row r="45" spans="2:19" ht="15.6" thickTop="1" thickBot="1" x14ac:dyDescent="0.35">
      <c r="B45" s="39" t="s">
        <v>91</v>
      </c>
      <c r="C45" s="39">
        <f>+C14</f>
        <v>0</v>
      </c>
      <c r="D45" s="44">
        <f>+D14</f>
        <v>0</v>
      </c>
      <c r="E45" s="44">
        <f>+E14</f>
        <v>0</v>
      </c>
      <c r="K45" t="s">
        <v>73</v>
      </c>
      <c r="M45" s="7">
        <f>+M32+M37</f>
        <v>171.42857142857144</v>
      </c>
      <c r="P45" s="7">
        <f>+P32+P37</f>
        <v>200</v>
      </c>
      <c r="S45" s="7">
        <f>+S32+S37</f>
        <v>200</v>
      </c>
    </row>
    <row r="46" spans="2:19" ht="15" thickTop="1" x14ac:dyDescent="0.3">
      <c r="K46" t="s">
        <v>0</v>
      </c>
      <c r="M46" s="7">
        <f>+M28</f>
        <v>150</v>
      </c>
      <c r="P46" s="7">
        <f>+P28</f>
        <v>0</v>
      </c>
      <c r="S46" s="7">
        <f>+S28</f>
        <v>0</v>
      </c>
    </row>
    <row r="47" spans="2:19" x14ac:dyDescent="0.3">
      <c r="B47" t="s">
        <v>37</v>
      </c>
      <c r="C47">
        <v>700</v>
      </c>
      <c r="K47" t="s">
        <v>2</v>
      </c>
      <c r="M47" s="7">
        <f>+M33</f>
        <v>685.71428571428578</v>
      </c>
      <c r="P47" s="7">
        <f>+P33</f>
        <v>800</v>
      </c>
      <c r="S47" s="7">
        <f>+S33</f>
        <v>800</v>
      </c>
    </row>
    <row r="48" spans="2:19" x14ac:dyDescent="0.3">
      <c r="B48" t="s">
        <v>43</v>
      </c>
      <c r="C48">
        <v>300</v>
      </c>
      <c r="K48" t="s">
        <v>21</v>
      </c>
      <c r="M48" s="7">
        <f>+M38</f>
        <v>50</v>
      </c>
      <c r="P48" s="7">
        <f>+P38</f>
        <v>0</v>
      </c>
      <c r="S48" s="7">
        <f>+S38</f>
        <v>0</v>
      </c>
    </row>
    <row r="49" spans="2:19" x14ac:dyDescent="0.3">
      <c r="B49" t="s">
        <v>44</v>
      </c>
      <c r="C49">
        <v>0</v>
      </c>
      <c r="K49" t="s">
        <v>1</v>
      </c>
      <c r="M49" s="7">
        <f>+M29</f>
        <v>0</v>
      </c>
      <c r="P49" s="7">
        <f>+P29</f>
        <v>0</v>
      </c>
      <c r="S49" s="7">
        <f>+S29</f>
        <v>0</v>
      </c>
    </row>
    <row r="50" spans="2:19" x14ac:dyDescent="0.3">
      <c r="B50" t="s">
        <v>45</v>
      </c>
      <c r="C50">
        <v>0</v>
      </c>
      <c r="K50" t="s">
        <v>3</v>
      </c>
      <c r="M50" s="7">
        <f>+M34</f>
        <v>0</v>
      </c>
      <c r="P50" s="7">
        <f>+P34</f>
        <v>0</v>
      </c>
      <c r="S50" s="7">
        <f>+S34</f>
        <v>0</v>
      </c>
    </row>
    <row r="51" spans="2:19" x14ac:dyDescent="0.3">
      <c r="K51" t="s">
        <v>22</v>
      </c>
      <c r="M51" s="7">
        <f>+M39</f>
        <v>0</v>
      </c>
      <c r="P51" s="7">
        <f>+P39</f>
        <v>0</v>
      </c>
      <c r="S51" s="7">
        <f>+S39</f>
        <v>0</v>
      </c>
    </row>
    <row r="52" spans="2:19" x14ac:dyDescent="0.3">
      <c r="K52" t="s">
        <v>99</v>
      </c>
      <c r="M52" s="7">
        <f>+M35</f>
        <v>200</v>
      </c>
      <c r="P52" s="7">
        <f>+P35</f>
        <v>0</v>
      </c>
      <c r="S52" s="7">
        <f>+S35</f>
        <v>0</v>
      </c>
    </row>
    <row r="53" spans="2:19" x14ac:dyDescent="0.3">
      <c r="K53" t="s">
        <v>94</v>
      </c>
      <c r="M53" s="7">
        <f>SUM(M44:M51)</f>
        <v>1400</v>
      </c>
      <c r="P53" s="7">
        <f>SUM(P44:P52)</f>
        <v>1400</v>
      </c>
      <c r="S53" s="7">
        <f>SUM(S44:S52)</f>
        <v>1400</v>
      </c>
    </row>
    <row r="62" spans="2:19" x14ac:dyDescent="0.3">
      <c r="O62" s="2"/>
      <c r="P62" s="2"/>
    </row>
    <row r="63" spans="2:19" x14ac:dyDescent="0.3">
      <c r="O63" s="7"/>
      <c r="P63" s="7"/>
    </row>
    <row r="64" spans="2:19" x14ac:dyDescent="0.3">
      <c r="L64" s="2"/>
      <c r="M64" s="2"/>
    </row>
    <row r="65" spans="12:13" x14ac:dyDescent="0.3">
      <c r="L65" s="7"/>
      <c r="M65" s="7"/>
    </row>
  </sheetData>
  <mergeCells count="7">
    <mergeCell ref="A11:A14"/>
    <mergeCell ref="L1:M1"/>
    <mergeCell ref="O1:P1"/>
    <mergeCell ref="R1:S1"/>
    <mergeCell ref="C2:D2"/>
    <mergeCell ref="E2:F2"/>
    <mergeCell ref="G2:H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="90" zoomScaleNormal="90" workbookViewId="0">
      <selection activeCell="U23" sqref="U23"/>
    </sheetView>
  </sheetViews>
  <sheetFormatPr defaultRowHeight="14.4" x14ac:dyDescent="0.3"/>
  <cols>
    <col min="2" max="2" width="24.5546875" customWidth="1"/>
    <col min="5" max="5" width="11.88671875" customWidth="1"/>
    <col min="8" max="8" width="11.88671875" bestFit="1" customWidth="1"/>
    <col min="11" max="11" width="31.6640625" customWidth="1"/>
    <col min="13" max="13" width="12.5546875" bestFit="1" customWidth="1"/>
    <col min="14" max="14" width="4" customWidth="1"/>
    <col min="15" max="15" width="10.33203125" customWidth="1"/>
    <col min="16" max="16" width="12.5546875" customWidth="1"/>
    <col min="17" max="17" width="4.6640625" customWidth="1"/>
    <col min="18" max="18" width="11.33203125" customWidth="1"/>
    <col min="19" max="19" width="11.6640625" customWidth="1"/>
  </cols>
  <sheetData>
    <row r="1" spans="1:19" ht="27.75" customHeight="1" x14ac:dyDescent="0.3">
      <c r="K1" s="5"/>
      <c r="L1" s="56" t="s">
        <v>80</v>
      </c>
      <c r="M1" s="56"/>
      <c r="N1" s="5"/>
      <c r="O1" s="56" t="s">
        <v>79</v>
      </c>
      <c r="P1" s="56"/>
      <c r="R1" s="56" t="s">
        <v>78</v>
      </c>
      <c r="S1" s="56"/>
    </row>
    <row r="2" spans="1:19" x14ac:dyDescent="0.3">
      <c r="C2" s="59" t="s">
        <v>33</v>
      </c>
      <c r="D2" s="60"/>
      <c r="E2" s="61" t="s">
        <v>34</v>
      </c>
      <c r="F2" s="61"/>
      <c r="G2" s="59" t="s">
        <v>23</v>
      </c>
      <c r="H2" s="60"/>
      <c r="K2" t="s">
        <v>9</v>
      </c>
      <c r="L2" s="2"/>
      <c r="M2" s="2">
        <v>25</v>
      </c>
      <c r="N2" s="2"/>
      <c r="O2" s="2"/>
      <c r="P2" s="2">
        <v>25</v>
      </c>
      <c r="R2" s="2"/>
      <c r="S2" s="2">
        <v>25</v>
      </c>
    </row>
    <row r="3" spans="1:19" x14ac:dyDescent="0.3">
      <c r="B3" s="5"/>
      <c r="C3" s="15" t="s">
        <v>4</v>
      </c>
      <c r="D3" s="18" t="s">
        <v>5</v>
      </c>
      <c r="E3" s="50" t="s">
        <v>4</v>
      </c>
      <c r="F3" s="50" t="s">
        <v>5</v>
      </c>
      <c r="G3" s="15" t="s">
        <v>4</v>
      </c>
      <c r="H3" s="18" t="s">
        <v>24</v>
      </c>
      <c r="K3" t="s">
        <v>10</v>
      </c>
      <c r="L3" s="2"/>
      <c r="M3" s="2">
        <v>31</v>
      </c>
      <c r="N3" s="2"/>
      <c r="O3" s="2"/>
      <c r="P3" s="2">
        <v>31</v>
      </c>
      <c r="R3" s="2"/>
      <c r="S3" s="2">
        <v>31</v>
      </c>
    </row>
    <row r="4" spans="1:19" x14ac:dyDescent="0.3">
      <c r="B4" t="s">
        <v>64</v>
      </c>
      <c r="C4" s="16">
        <v>0</v>
      </c>
      <c r="D4" s="19">
        <v>0</v>
      </c>
      <c r="F4" s="2"/>
      <c r="G4" s="22"/>
      <c r="H4" s="21"/>
      <c r="K4" t="s">
        <v>28</v>
      </c>
      <c r="L4" s="2"/>
      <c r="M4" s="2">
        <v>25</v>
      </c>
      <c r="N4" s="2"/>
      <c r="O4" s="2"/>
      <c r="P4" s="2">
        <v>25</v>
      </c>
      <c r="R4" s="2"/>
      <c r="S4" s="2">
        <v>25</v>
      </c>
    </row>
    <row r="5" spans="1:19" x14ac:dyDescent="0.3">
      <c r="B5" t="s">
        <v>0</v>
      </c>
      <c r="C5" s="16">
        <v>200</v>
      </c>
      <c r="D5" s="19">
        <v>0</v>
      </c>
      <c r="F5" s="2"/>
      <c r="G5" s="22"/>
      <c r="H5" s="21"/>
      <c r="K5" t="s">
        <v>95</v>
      </c>
      <c r="L5" s="2"/>
      <c r="M5" s="2">
        <v>29</v>
      </c>
      <c r="N5" s="2"/>
      <c r="O5" s="2"/>
      <c r="P5" s="2">
        <v>29</v>
      </c>
      <c r="R5" s="2"/>
      <c r="S5" s="2">
        <v>29</v>
      </c>
    </row>
    <row r="6" spans="1:19" x14ac:dyDescent="0.3">
      <c r="B6" s="13" t="s">
        <v>1</v>
      </c>
      <c r="C6" s="16">
        <v>0</v>
      </c>
      <c r="D6" s="19">
        <v>5</v>
      </c>
      <c r="F6" s="2"/>
      <c r="G6" s="22"/>
      <c r="H6" s="21"/>
      <c r="K6" t="s">
        <v>92</v>
      </c>
      <c r="L6">
        <v>700</v>
      </c>
      <c r="O6">
        <v>700</v>
      </c>
      <c r="R6">
        <v>700</v>
      </c>
    </row>
    <row r="7" spans="1:19" x14ac:dyDescent="0.3">
      <c r="B7" s="3" t="s">
        <v>65</v>
      </c>
      <c r="C7" s="16"/>
      <c r="D7" s="19"/>
      <c r="E7">
        <v>0</v>
      </c>
      <c r="F7" s="2">
        <v>0</v>
      </c>
      <c r="G7" s="22"/>
      <c r="H7" s="21"/>
      <c r="K7" t="s">
        <v>46</v>
      </c>
      <c r="L7" t="s">
        <v>42</v>
      </c>
      <c r="O7" t="s">
        <v>42</v>
      </c>
      <c r="R7" t="s">
        <v>42</v>
      </c>
    </row>
    <row r="8" spans="1:19" x14ac:dyDescent="0.3">
      <c r="B8" s="3" t="s">
        <v>21</v>
      </c>
      <c r="C8" s="16"/>
      <c r="D8" s="19"/>
      <c r="E8">
        <v>100</v>
      </c>
      <c r="F8" s="2">
        <v>0</v>
      </c>
      <c r="G8" s="22"/>
      <c r="H8" s="21"/>
      <c r="K8" t="s">
        <v>40</v>
      </c>
      <c r="L8" t="s">
        <v>42</v>
      </c>
      <c r="O8" t="s">
        <v>42</v>
      </c>
      <c r="R8" t="s">
        <v>42</v>
      </c>
    </row>
    <row r="9" spans="1:19" x14ac:dyDescent="0.3">
      <c r="B9" s="3" t="s">
        <v>22</v>
      </c>
      <c r="C9" s="16"/>
      <c r="D9" s="19"/>
      <c r="E9">
        <v>0</v>
      </c>
      <c r="F9" s="2">
        <v>7</v>
      </c>
      <c r="G9" s="22"/>
      <c r="H9" s="21"/>
    </row>
    <row r="10" spans="1:19" ht="15" thickBot="1" x14ac:dyDescent="0.35">
      <c r="B10" s="11" t="s">
        <v>48</v>
      </c>
      <c r="C10" s="17"/>
      <c r="D10" s="20"/>
      <c r="E10" s="1"/>
      <c r="F10" s="14"/>
      <c r="G10" s="23">
        <v>1000</v>
      </c>
      <c r="H10" s="26">
        <v>29</v>
      </c>
      <c r="K10" t="s">
        <v>17</v>
      </c>
      <c r="L10" s="7"/>
      <c r="M10" s="7">
        <f>M5-M2</f>
        <v>4</v>
      </c>
      <c r="O10" s="7"/>
      <c r="P10" s="7">
        <f>P5-P4</f>
        <v>4</v>
      </c>
      <c r="R10" s="7"/>
      <c r="S10" s="7">
        <f>S5-S2</f>
        <v>4</v>
      </c>
    </row>
    <row r="11" spans="1:19" x14ac:dyDescent="0.3">
      <c r="A11" s="57" t="s">
        <v>47</v>
      </c>
      <c r="B11" t="s">
        <v>64</v>
      </c>
      <c r="C11" s="24">
        <v>200</v>
      </c>
      <c r="D11" s="10">
        <v>0</v>
      </c>
      <c r="F11" s="2"/>
      <c r="H11" s="25"/>
      <c r="K11" t="s">
        <v>8</v>
      </c>
      <c r="L11" s="2"/>
      <c r="M11" s="2">
        <f>+M$10*($E$22+$E$32)</f>
        <v>1200</v>
      </c>
      <c r="O11" s="2"/>
      <c r="P11" s="2">
        <f>+P$10*($E$22+$E$32)</f>
        <v>1200</v>
      </c>
      <c r="R11" s="2"/>
      <c r="S11" s="2">
        <f>+S$10*($E$22+$E$32)</f>
        <v>1200</v>
      </c>
    </row>
    <row r="12" spans="1:19" x14ac:dyDescent="0.3">
      <c r="A12" s="58"/>
      <c r="B12" t="s">
        <v>65</v>
      </c>
      <c r="C12" s="16">
        <v>100</v>
      </c>
      <c r="D12" s="10">
        <v>0</v>
      </c>
      <c r="F12" s="2"/>
      <c r="H12" s="21"/>
      <c r="K12" t="s">
        <v>19</v>
      </c>
      <c r="L12" s="2"/>
      <c r="M12" s="2">
        <v>0</v>
      </c>
      <c r="O12" s="2"/>
      <c r="P12" s="2">
        <v>0</v>
      </c>
      <c r="R12" s="2"/>
      <c r="S12" s="2">
        <v>0</v>
      </c>
    </row>
    <row r="13" spans="1:19" x14ac:dyDescent="0.3">
      <c r="A13" s="58"/>
      <c r="B13" t="s">
        <v>2</v>
      </c>
      <c r="C13" s="16">
        <v>400</v>
      </c>
      <c r="D13" s="10">
        <v>0</v>
      </c>
      <c r="F13" s="2"/>
      <c r="H13" s="21"/>
      <c r="K13" t="s">
        <v>32</v>
      </c>
      <c r="L13" s="2"/>
      <c r="M13" s="2">
        <v>0</v>
      </c>
      <c r="O13" s="2"/>
      <c r="P13" s="2">
        <v>0</v>
      </c>
      <c r="R13" s="2"/>
      <c r="S13" s="2">
        <v>0</v>
      </c>
    </row>
    <row r="14" spans="1:19" x14ac:dyDescent="0.3">
      <c r="A14" s="58"/>
      <c r="B14" t="s">
        <v>3</v>
      </c>
      <c r="C14" s="16">
        <v>0</v>
      </c>
      <c r="D14" s="10">
        <v>0</v>
      </c>
      <c r="F14" s="2"/>
      <c r="H14" s="21"/>
      <c r="L14" s="2"/>
      <c r="M14" s="2"/>
      <c r="O14" s="2"/>
      <c r="P14" s="2"/>
      <c r="R14" s="2"/>
      <c r="S14" s="2"/>
    </row>
    <row r="15" spans="1:19" x14ac:dyDescent="0.3">
      <c r="B15" s="9"/>
      <c r="C15" s="3"/>
      <c r="D15" s="10"/>
      <c r="K15" t="s">
        <v>20</v>
      </c>
      <c r="L15" s="2"/>
      <c r="M15" s="2">
        <f>+M11-M12</f>
        <v>1200</v>
      </c>
      <c r="O15" s="2"/>
      <c r="P15" s="2">
        <f>+P11-P12</f>
        <v>1200</v>
      </c>
      <c r="R15" s="2"/>
      <c r="S15" s="2">
        <f>+S11-S12</f>
        <v>1200</v>
      </c>
    </row>
    <row r="16" spans="1:19" x14ac:dyDescent="0.3">
      <c r="B16" s="4" t="s">
        <v>11</v>
      </c>
      <c r="C16">
        <v>1000</v>
      </c>
      <c r="L16" s="2"/>
      <c r="M16" s="2"/>
      <c r="O16" s="2"/>
      <c r="P16" s="2"/>
      <c r="R16" s="2"/>
      <c r="S16" s="2"/>
    </row>
    <row r="17" spans="2:19" x14ac:dyDescent="0.3">
      <c r="B17" t="s">
        <v>12</v>
      </c>
      <c r="C17">
        <v>700</v>
      </c>
      <c r="K17" t="s">
        <v>30</v>
      </c>
      <c r="L17" s="2"/>
      <c r="M17" s="2">
        <f>M$10*(MIN((E$21+E$22),(C$4+C$5)))/2</f>
        <v>400</v>
      </c>
      <c r="O17" s="2"/>
      <c r="P17" s="2">
        <f>100*P10</f>
        <v>400</v>
      </c>
      <c r="R17" s="2"/>
      <c r="S17" s="2">
        <f>200*S10</f>
        <v>800</v>
      </c>
    </row>
    <row r="18" spans="2:19" x14ac:dyDescent="0.3">
      <c r="K18" t="s">
        <v>35</v>
      </c>
      <c r="L18" s="2"/>
      <c r="M18" s="2">
        <f>(E$27+E$37)*(M$10/2)</f>
        <v>600</v>
      </c>
      <c r="O18" s="2"/>
      <c r="P18" s="2">
        <f>+P17+P19</f>
        <v>600</v>
      </c>
      <c r="R18" s="2"/>
      <c r="S18" s="2">
        <v>0</v>
      </c>
    </row>
    <row r="19" spans="2:19" ht="15" thickBot="1" x14ac:dyDescent="0.35">
      <c r="B19" s="35" t="s">
        <v>86</v>
      </c>
      <c r="C19" t="s">
        <v>96</v>
      </c>
      <c r="E19" t="s">
        <v>97</v>
      </c>
      <c r="K19" t="s">
        <v>31</v>
      </c>
      <c r="M19" s="2">
        <f>M$10*(MIN((E$31+E$32),(E$7+E$8)))/2</f>
        <v>200</v>
      </c>
      <c r="P19" s="2">
        <f>50*P10</f>
        <v>200</v>
      </c>
      <c r="S19" s="2">
        <f>100*S10</f>
        <v>400</v>
      </c>
    </row>
    <row r="20" spans="2:19" ht="15.6" thickTop="1" thickBot="1" x14ac:dyDescent="0.35">
      <c r="B20" s="39" t="s">
        <v>14</v>
      </c>
      <c r="C20" s="39">
        <f>SUMIF(D4:D9,0,C4:C9)</f>
        <v>200</v>
      </c>
      <c r="D20" s="39"/>
      <c r="E20" s="39"/>
    </row>
    <row r="21" spans="2:19" ht="15.6" thickTop="1" thickBot="1" x14ac:dyDescent="0.35">
      <c r="B21" s="40" t="s">
        <v>64</v>
      </c>
      <c r="C21" s="39"/>
      <c r="D21" s="39">
        <f>C4</f>
        <v>0</v>
      </c>
      <c r="E21" s="39">
        <f>MIN(D21,D$21+D$22)</f>
        <v>0</v>
      </c>
      <c r="K21" t="s">
        <v>39</v>
      </c>
      <c r="M21" s="7">
        <f>M3-M5</f>
        <v>2</v>
      </c>
      <c r="P21" s="7">
        <f>P3-P5</f>
        <v>2</v>
      </c>
      <c r="S21" s="7">
        <f>S3-S5</f>
        <v>2</v>
      </c>
    </row>
    <row r="22" spans="2:19" ht="15.6" thickTop="1" thickBot="1" x14ac:dyDescent="0.35">
      <c r="B22" s="40" t="s">
        <v>0</v>
      </c>
      <c r="C22" s="39"/>
      <c r="D22" s="39">
        <v>200</v>
      </c>
      <c r="E22" s="39">
        <f>MIN(D22,D$21+D$22)</f>
        <v>200</v>
      </c>
      <c r="K22" t="s">
        <v>100</v>
      </c>
      <c r="M22" s="7">
        <f>M21*L6</f>
        <v>1400</v>
      </c>
      <c r="P22" s="7">
        <f>P21*O6</f>
        <v>1400</v>
      </c>
      <c r="S22" s="7">
        <f>S21*R6</f>
        <v>1400</v>
      </c>
    </row>
    <row r="23" spans="2:19" ht="15.6" thickTop="1" thickBot="1" x14ac:dyDescent="0.35">
      <c r="B23" s="39" t="s">
        <v>15</v>
      </c>
      <c r="C23" s="39">
        <f>SUMIF(D10:D13,0,C10:C13)</f>
        <v>700</v>
      </c>
      <c r="D23" s="39"/>
      <c r="E23" s="39"/>
      <c r="K23" t="s">
        <v>30</v>
      </c>
      <c r="M23" s="2">
        <f>+M21/2*($E$21+$E$22)</f>
        <v>200</v>
      </c>
      <c r="P23" s="2">
        <v>0</v>
      </c>
      <c r="S23" s="2">
        <v>0</v>
      </c>
    </row>
    <row r="24" spans="2:19" ht="15.6" thickTop="1" thickBot="1" x14ac:dyDescent="0.35">
      <c r="B24" s="40" t="s">
        <v>64</v>
      </c>
      <c r="C24" s="39"/>
      <c r="D24" s="41">
        <f>C11</f>
        <v>200</v>
      </c>
      <c r="E24" s="41">
        <f>D11</f>
        <v>0</v>
      </c>
      <c r="K24" t="s">
        <v>52</v>
      </c>
      <c r="M24" s="2">
        <f>+M21/2*L6+(L6-SUM(E21:E22)-SUM(E31:E32))*M21/2</f>
        <v>1100</v>
      </c>
      <c r="P24" s="2">
        <f>+P21/2*O6+(O6-SUM(H21:H22)-SUM(H31:H32))*P21/2</f>
        <v>1400</v>
      </c>
      <c r="S24" s="2">
        <f>+S21/2*R6+(R6-SUM(K21:K23)-SUM(K32:K33))*S21/2</f>
        <v>1400</v>
      </c>
    </row>
    <row r="25" spans="2:19" ht="15.6" thickTop="1" thickBot="1" x14ac:dyDescent="0.35">
      <c r="B25" s="40" t="s">
        <v>0</v>
      </c>
      <c r="C25" s="39"/>
      <c r="D25" s="41">
        <f t="shared" ref="D25:E26" si="0">C12</f>
        <v>100</v>
      </c>
      <c r="E25" s="41">
        <f t="shared" si="0"/>
        <v>0</v>
      </c>
      <c r="K25" t="s">
        <v>31</v>
      </c>
      <c r="M25" s="2">
        <f>+M21/2*SUM(E31:E32)</f>
        <v>100</v>
      </c>
      <c r="P25" s="2">
        <v>0</v>
      </c>
      <c r="S25" s="2">
        <v>0</v>
      </c>
    </row>
    <row r="26" spans="2:19" ht="15.6" thickTop="1" thickBot="1" x14ac:dyDescent="0.35">
      <c r="B26" s="40" t="s">
        <v>2</v>
      </c>
      <c r="C26" s="39"/>
      <c r="D26" s="41">
        <f t="shared" si="0"/>
        <v>400</v>
      </c>
      <c r="E26" s="41">
        <f t="shared" si="0"/>
        <v>0</v>
      </c>
    </row>
    <row r="27" spans="2:19" ht="15.6" thickTop="1" thickBot="1" x14ac:dyDescent="0.35">
      <c r="B27" s="39" t="s">
        <v>16</v>
      </c>
      <c r="C27" s="39">
        <f>MIN(C20,C23)</f>
        <v>200</v>
      </c>
      <c r="D27" s="42">
        <v>0</v>
      </c>
      <c r="E27" s="39">
        <f>MIN(E22+E21,C27)</f>
        <v>200</v>
      </c>
      <c r="K27" s="30" t="s">
        <v>49</v>
      </c>
      <c r="L27" s="30"/>
      <c r="M27" s="31">
        <f>+M23+M17</f>
        <v>600</v>
      </c>
      <c r="N27" s="30"/>
      <c r="O27" s="30"/>
      <c r="P27" s="31">
        <f>+P23+P17</f>
        <v>400</v>
      </c>
      <c r="Q27" s="30"/>
      <c r="R27" s="30"/>
      <c r="S27" s="31">
        <f>+S23+S17</f>
        <v>800</v>
      </c>
    </row>
    <row r="28" spans="2:19" ht="15" thickTop="1" x14ac:dyDescent="0.3">
      <c r="B28" s="13"/>
      <c r="C28" s="46"/>
      <c r="D28" s="47"/>
      <c r="E28" s="47"/>
      <c r="K28" s="30" t="s">
        <v>64</v>
      </c>
      <c r="L28" s="30"/>
      <c r="M28" s="31">
        <f>E$27*(($E21/$E$27)*(M$10/2))+E$27*(($E21/$E$27)*(M$21/2))</f>
        <v>0</v>
      </c>
      <c r="N28" s="30"/>
      <c r="O28" s="30"/>
      <c r="P28" s="31">
        <f>+F4*P10/2+F11*P21/2</f>
        <v>0</v>
      </c>
      <c r="Q28" s="30"/>
      <c r="R28" s="30"/>
      <c r="S28" s="31">
        <f>+I4*S10/2+I11*S21/2</f>
        <v>0</v>
      </c>
    </row>
    <row r="29" spans="2:19" ht="15" thickBot="1" x14ac:dyDescent="0.35">
      <c r="B29" s="35" t="s">
        <v>87</v>
      </c>
      <c r="D29" s="2"/>
      <c r="E29" s="2"/>
      <c r="K29" s="30" t="s">
        <v>0</v>
      </c>
      <c r="L29" s="30"/>
      <c r="M29" s="31">
        <f>E$27*(($E22/$E$27)*(M$10/2))+E$27*(($E22/$E$27)*(M$21/2))</f>
        <v>600</v>
      </c>
      <c r="N29" s="30"/>
      <c r="O29" s="30"/>
      <c r="P29" s="31">
        <f>+$C5*P$10/2</f>
        <v>400</v>
      </c>
      <c r="Q29" s="30"/>
      <c r="R29" s="30"/>
      <c r="S29" s="31">
        <f>+C5*S10</f>
        <v>800</v>
      </c>
    </row>
    <row r="30" spans="2:19" ht="15.6" thickTop="1" thickBot="1" x14ac:dyDescent="0.35">
      <c r="B30" s="39" t="s">
        <v>25</v>
      </c>
      <c r="C30" s="39">
        <f>SUM(E7:E8)</f>
        <v>100</v>
      </c>
      <c r="D30" s="42"/>
      <c r="E30" s="42"/>
      <c r="K30" s="32" t="s">
        <v>1</v>
      </c>
      <c r="L30" s="30"/>
      <c r="M30" s="31">
        <f>+$C6*M$10/2+($C6*($C6/$C$20))*M$21/2</f>
        <v>0</v>
      </c>
      <c r="N30" s="30"/>
      <c r="O30" s="30"/>
      <c r="P30" s="31">
        <v>0</v>
      </c>
      <c r="Q30" s="30"/>
      <c r="R30" s="30"/>
      <c r="S30" s="31">
        <v>0</v>
      </c>
    </row>
    <row r="31" spans="2:19" ht="15.6" thickTop="1" thickBot="1" x14ac:dyDescent="0.35">
      <c r="B31" s="40" t="s">
        <v>64</v>
      </c>
      <c r="C31" s="39"/>
      <c r="D31" s="39">
        <f>E7</f>
        <v>0</v>
      </c>
      <c r="E31" s="39">
        <f>MIN(D31,D$31+D$32)</f>
        <v>0</v>
      </c>
      <c r="K31" t="s">
        <v>50</v>
      </c>
      <c r="M31" s="7">
        <f>+M24+M18</f>
        <v>1700</v>
      </c>
      <c r="P31" s="7">
        <f>+P24+P18</f>
        <v>2000</v>
      </c>
      <c r="S31" s="7">
        <f>+S24+S18</f>
        <v>1400</v>
      </c>
    </row>
    <row r="32" spans="2:19" ht="15.6" thickTop="1" thickBot="1" x14ac:dyDescent="0.35">
      <c r="B32" s="40" t="s">
        <v>0</v>
      </c>
      <c r="C32" s="39"/>
      <c r="D32" s="39">
        <v>100</v>
      </c>
      <c r="E32" s="39">
        <f>MIN(D32,D$31+D$32)</f>
        <v>100</v>
      </c>
      <c r="K32" t="s">
        <v>64</v>
      </c>
      <c r="M32" s="51">
        <f>($E$27+$E$37)*(M$10/2)*($C11/$C$17)+(($E$27+$E$37)*(M$21/2)*($C11/$C$17))+((L$6-$E$27-$E$37)*M$21)*($C11/$C$17)</f>
        <v>485.71428571428567</v>
      </c>
      <c r="P32" s="51">
        <f>($E$27+$E$37)*(P$10/2)*($C11/$C$17)+(($E$27+$E$37)*(P$21)*($C11/$C$17))+((O$6-$E$27-$E$37)*P$21)*($C11/$C$17)</f>
        <v>571.42857142857133</v>
      </c>
      <c r="S32" s="51">
        <f>($C11/$C$17)+(($E$27+$E$37)*(S$21)*($C11/$C$17))+((R$6-$E$27-$E$37)*S$21)*($C11/$C$17)</f>
        <v>400.28571428571422</v>
      </c>
    </row>
    <row r="33" spans="2:19" ht="15.6" thickTop="1" thickBot="1" x14ac:dyDescent="0.35">
      <c r="B33" s="39" t="s">
        <v>15</v>
      </c>
      <c r="C33" s="39">
        <f>C23</f>
        <v>700</v>
      </c>
      <c r="D33" s="42"/>
      <c r="E33" s="42"/>
      <c r="K33" t="s">
        <v>65</v>
      </c>
      <c r="M33" s="51">
        <f t="shared" ref="M33:M34" si="1">($E$27+$E$37)*(M$10/2)*($C12/$C$17)+(($E$27+$E$37)*(M$21/2)*($C12/$C$17))+((L$6-$E$27-$E$37)*M$21)*($C12/$C$17)</f>
        <v>242.85714285714283</v>
      </c>
      <c r="P33" s="51">
        <f t="shared" ref="P33:P34" si="2">($E$27+$E$37)*(P$10/2)*($C12/$C$17)+(($E$27+$E$37)*(P$21)*($C12/$C$17))+((O$6-$E$27-$E$37)*P$21)*($C12/$C$17)</f>
        <v>285.71428571428567</v>
      </c>
      <c r="S33" s="51">
        <f t="shared" ref="S33:S34" si="3">($C12/$C$17)+(($E$27+$E$37)*(S$21)*($C12/$C$17))+((R$6-$E$27-$E$37)*S$21)*($C12/$C$17)</f>
        <v>200.14285714285711</v>
      </c>
    </row>
    <row r="34" spans="2:19" ht="15.6" thickTop="1" thickBot="1" x14ac:dyDescent="0.35">
      <c r="B34" s="40" t="s">
        <v>64</v>
      </c>
      <c r="C34" s="39"/>
      <c r="D34" s="41">
        <f>C11</f>
        <v>200</v>
      </c>
      <c r="E34" s="41"/>
      <c r="K34" t="s">
        <v>2</v>
      </c>
      <c r="M34" s="51">
        <f t="shared" si="1"/>
        <v>971.42857142857133</v>
      </c>
      <c r="P34" s="51">
        <f t="shared" si="2"/>
        <v>1142.8571428571427</v>
      </c>
      <c r="S34" s="51">
        <f t="shared" si="3"/>
        <v>800.57142857142844</v>
      </c>
    </row>
    <row r="35" spans="2:19" ht="15.6" thickTop="1" thickBot="1" x14ac:dyDescent="0.35">
      <c r="B35" s="40" t="s">
        <v>0</v>
      </c>
      <c r="C35" s="39"/>
      <c r="D35" s="41">
        <f t="shared" ref="D35:D36" si="4">C12</f>
        <v>100</v>
      </c>
      <c r="E35" s="41"/>
      <c r="G35" s="7"/>
      <c r="H35" s="7"/>
      <c r="K35" t="s">
        <v>3</v>
      </c>
      <c r="L35" s="35"/>
      <c r="M35" s="51">
        <f>$E$27*(($D27/$C$23)*(M$10/2))+$E$37*(($D37/$C$33)*(M$10/2))++$C$17*(($C14/$C$17)*(M$24/$C$17))</f>
        <v>0</v>
      </c>
      <c r="P35" s="51">
        <f>(((($E$27+$E$37)*(P$10/2))*($C14/$C$17))+(($E$27+$E$37)*(P$21))+((O$6-$E$27-$E$37)*P$21))*($C14/$C$17)</f>
        <v>0</v>
      </c>
      <c r="S35" s="7">
        <v>0</v>
      </c>
    </row>
    <row r="36" spans="2:19" ht="15.6" thickTop="1" thickBot="1" x14ac:dyDescent="0.35">
      <c r="B36" s="40" t="s">
        <v>2</v>
      </c>
      <c r="C36" s="39"/>
      <c r="D36" s="41">
        <f t="shared" si="4"/>
        <v>400</v>
      </c>
      <c r="E36" s="41"/>
      <c r="G36" s="7"/>
      <c r="H36" s="7"/>
      <c r="K36" t="s">
        <v>99</v>
      </c>
      <c r="L36" s="35"/>
      <c r="M36" s="51">
        <f>(E27+E37)*(M21/2)</f>
        <v>300</v>
      </c>
      <c r="P36" s="51">
        <v>0</v>
      </c>
      <c r="S36" s="7">
        <v>0</v>
      </c>
    </row>
    <row r="37" spans="2:19" ht="15.6" thickTop="1" thickBot="1" x14ac:dyDescent="0.35">
      <c r="B37" s="39" t="s">
        <v>16</v>
      </c>
      <c r="C37" s="45">
        <f>MIN(C30,C33)</f>
        <v>100</v>
      </c>
      <c r="D37" s="42">
        <v>0</v>
      </c>
      <c r="E37" s="39">
        <f>MIN(C37,(E32+E31))</f>
        <v>100</v>
      </c>
      <c r="G37" s="7"/>
      <c r="H37" s="7"/>
      <c r="K37" s="30" t="s">
        <v>53</v>
      </c>
      <c r="L37" s="30"/>
      <c r="M37" s="51">
        <f>M19+M25+M13</f>
        <v>300</v>
      </c>
      <c r="N37" s="30"/>
      <c r="O37" s="30"/>
      <c r="P37" s="31">
        <f>+P25+P19</f>
        <v>200</v>
      </c>
      <c r="Q37" s="30"/>
      <c r="R37" s="30"/>
      <c r="S37" s="31">
        <f>+S25+S19</f>
        <v>400</v>
      </c>
    </row>
    <row r="38" spans="2:19" ht="15" thickTop="1" x14ac:dyDescent="0.3">
      <c r="B38" s="13"/>
      <c r="C38" s="46"/>
      <c r="D38" s="47"/>
      <c r="E38" s="47"/>
      <c r="K38" s="32" t="s">
        <v>65</v>
      </c>
      <c r="L38" s="30"/>
      <c r="M38" s="51">
        <f>E$37*(($E31/$E$37)*(M$10/2))+E$37*(($E31/$E$37)*(M$21/2))</f>
        <v>0</v>
      </c>
      <c r="N38" s="30"/>
      <c r="O38" s="30"/>
      <c r="P38" s="31">
        <f>$C$37*(($D31/$C$30)*(P$10/2))</f>
        <v>0</v>
      </c>
      <c r="Q38" s="30"/>
      <c r="R38" s="30"/>
      <c r="S38" s="31">
        <f>+E7*S10</f>
        <v>0</v>
      </c>
    </row>
    <row r="39" spans="2:19" ht="15" thickBot="1" x14ac:dyDescent="0.35">
      <c r="B39" s="35" t="s">
        <v>88</v>
      </c>
      <c r="K39" s="32" t="s">
        <v>21</v>
      </c>
      <c r="L39" s="30"/>
      <c r="M39" s="51">
        <f>E$37*(($E32/$E$37)*(M$10/2))+E$37*(($E32/$E$37)*(M$21/2))</f>
        <v>300</v>
      </c>
      <c r="N39" s="30"/>
      <c r="O39" s="30"/>
      <c r="P39" s="31">
        <f>$C$37*(($D32/$C$30)*(P$10/2))</f>
        <v>200</v>
      </c>
      <c r="Q39" s="30"/>
      <c r="R39" s="30"/>
      <c r="S39" s="31">
        <f>+E8*S10</f>
        <v>400</v>
      </c>
    </row>
    <row r="40" spans="2:19" ht="15.6" thickTop="1" thickBot="1" x14ac:dyDescent="0.35">
      <c r="B40" s="39" t="s">
        <v>26</v>
      </c>
      <c r="C40" s="39">
        <f>+C5</f>
        <v>200</v>
      </c>
      <c r="D40" s="44">
        <f>+D6</f>
        <v>5</v>
      </c>
      <c r="E40" s="44">
        <f>+E6</f>
        <v>0</v>
      </c>
      <c r="K40" s="32" t="s">
        <v>22</v>
      </c>
      <c r="L40" s="30"/>
      <c r="M40" s="51">
        <f>IF(F9&gt;0,0,E9/E37)</f>
        <v>0</v>
      </c>
      <c r="N40" s="30"/>
      <c r="O40" s="30"/>
      <c r="P40" s="33">
        <v>0</v>
      </c>
      <c r="Q40" s="30"/>
      <c r="R40" s="30"/>
      <c r="S40" s="33">
        <v>0</v>
      </c>
    </row>
    <row r="41" spans="2:19" ht="15.6" thickTop="1" thickBot="1" x14ac:dyDescent="0.35">
      <c r="B41" s="39" t="s">
        <v>91</v>
      </c>
      <c r="C41" s="39">
        <f>+C14</f>
        <v>0</v>
      </c>
      <c r="D41" s="44">
        <f>D14</f>
        <v>0</v>
      </c>
      <c r="E41" s="44">
        <f>E14</f>
        <v>0</v>
      </c>
    </row>
    <row r="42" spans="2:19" ht="15" thickTop="1" x14ac:dyDescent="0.3">
      <c r="B42" s="13"/>
      <c r="C42" s="13"/>
      <c r="D42" s="48"/>
      <c r="E42" s="48"/>
    </row>
    <row r="43" spans="2:19" ht="15" thickBot="1" x14ac:dyDescent="0.35">
      <c r="B43" s="35" t="s">
        <v>89</v>
      </c>
    </row>
    <row r="44" spans="2:19" ht="15.6" thickTop="1" thickBot="1" x14ac:dyDescent="0.35">
      <c r="B44" s="39" t="s">
        <v>27</v>
      </c>
      <c r="C44" s="39">
        <f>+E9</f>
        <v>0</v>
      </c>
      <c r="D44" s="44">
        <f>+F9</f>
        <v>7</v>
      </c>
      <c r="E44" s="44">
        <f>+G9</f>
        <v>0</v>
      </c>
    </row>
    <row r="45" spans="2:19" ht="15.6" thickTop="1" thickBot="1" x14ac:dyDescent="0.35">
      <c r="B45" s="39" t="s">
        <v>91</v>
      </c>
      <c r="C45" s="39">
        <f>+C14</f>
        <v>0</v>
      </c>
      <c r="D45" s="44">
        <f>+D14</f>
        <v>0</v>
      </c>
      <c r="E45" s="44">
        <f>+E14</f>
        <v>0</v>
      </c>
      <c r="K45" t="s">
        <v>72</v>
      </c>
      <c r="M45" s="7">
        <f>+M28+M32</f>
        <v>485.71428571428567</v>
      </c>
      <c r="P45" s="7">
        <f>+P28+P32</f>
        <v>571.42857142857133</v>
      </c>
      <c r="S45" s="7">
        <f>+S28+S32</f>
        <v>400.28571428571422</v>
      </c>
    </row>
    <row r="46" spans="2:19" ht="15" thickTop="1" x14ac:dyDescent="0.3">
      <c r="K46" t="s">
        <v>73</v>
      </c>
      <c r="M46" s="7">
        <f>+M33+M38</f>
        <v>242.85714285714283</v>
      </c>
      <c r="P46" s="7">
        <f>+P33+P38</f>
        <v>285.71428571428567</v>
      </c>
      <c r="S46" s="7">
        <f>+S33+S38</f>
        <v>200.14285714285711</v>
      </c>
    </row>
    <row r="47" spans="2:19" x14ac:dyDescent="0.3">
      <c r="B47" t="s">
        <v>37</v>
      </c>
      <c r="C47">
        <v>700</v>
      </c>
      <c r="K47" t="s">
        <v>0</v>
      </c>
      <c r="M47" s="7">
        <f>+M29</f>
        <v>600</v>
      </c>
      <c r="P47" s="7">
        <f>+P29</f>
        <v>400</v>
      </c>
      <c r="S47" s="7">
        <f>+S29</f>
        <v>800</v>
      </c>
    </row>
    <row r="48" spans="2:19" x14ac:dyDescent="0.3">
      <c r="B48" t="s">
        <v>43</v>
      </c>
      <c r="C48">
        <v>300</v>
      </c>
      <c r="K48" t="s">
        <v>2</v>
      </c>
      <c r="M48" s="7">
        <f>+M34</f>
        <v>971.42857142857133</v>
      </c>
      <c r="P48" s="7">
        <f>+P34</f>
        <v>1142.8571428571427</v>
      </c>
      <c r="S48" s="7">
        <f>+S34</f>
        <v>800.57142857142844</v>
      </c>
    </row>
    <row r="49" spans="2:19" x14ac:dyDescent="0.3">
      <c r="B49" t="s">
        <v>44</v>
      </c>
      <c r="C49">
        <v>0</v>
      </c>
      <c r="K49" t="s">
        <v>21</v>
      </c>
      <c r="M49" s="7">
        <f>+M39</f>
        <v>300</v>
      </c>
      <c r="P49" s="7">
        <f>+P39</f>
        <v>200</v>
      </c>
      <c r="S49" s="7">
        <f>+S39</f>
        <v>400</v>
      </c>
    </row>
    <row r="50" spans="2:19" x14ac:dyDescent="0.3">
      <c r="B50" t="s">
        <v>45</v>
      </c>
      <c r="C50">
        <v>0</v>
      </c>
      <c r="K50" t="s">
        <v>1</v>
      </c>
      <c r="M50" s="7">
        <f>+M30</f>
        <v>0</v>
      </c>
      <c r="P50" s="7">
        <f>+P30</f>
        <v>0</v>
      </c>
      <c r="S50" s="7">
        <f>+S30</f>
        <v>0</v>
      </c>
    </row>
    <row r="51" spans="2:19" x14ac:dyDescent="0.3">
      <c r="K51" t="s">
        <v>3</v>
      </c>
      <c r="M51" s="7">
        <f>+M35</f>
        <v>0</v>
      </c>
      <c r="P51" s="7">
        <f>+P35</f>
        <v>0</v>
      </c>
      <c r="S51" s="7">
        <f>+S35</f>
        <v>0</v>
      </c>
    </row>
    <row r="52" spans="2:19" x14ac:dyDescent="0.3">
      <c r="K52" t="s">
        <v>22</v>
      </c>
      <c r="M52" s="7">
        <f>+M40</f>
        <v>0</v>
      </c>
      <c r="P52" s="7">
        <f>+P40</f>
        <v>0</v>
      </c>
      <c r="S52" s="7">
        <f>+S40</f>
        <v>0</v>
      </c>
    </row>
    <row r="53" spans="2:19" x14ac:dyDescent="0.3">
      <c r="K53" t="s">
        <v>99</v>
      </c>
      <c r="M53" s="7">
        <f>+M36</f>
        <v>300</v>
      </c>
      <c r="P53" s="7">
        <f>+P36</f>
        <v>0</v>
      </c>
      <c r="S53" s="7">
        <f>+S36</f>
        <v>0</v>
      </c>
    </row>
    <row r="54" spans="2:19" x14ac:dyDescent="0.3">
      <c r="K54" t="s">
        <v>94</v>
      </c>
      <c r="M54" s="7">
        <f>SUM(M45:M52)</f>
        <v>2600</v>
      </c>
      <c r="P54" s="7">
        <f>SUM(P45:P53)</f>
        <v>2599.9999999999995</v>
      </c>
      <c r="S54" s="7">
        <f>SUM(S45:S53)</f>
        <v>2601</v>
      </c>
    </row>
    <row r="63" spans="2:19" x14ac:dyDescent="0.3">
      <c r="O63" s="2"/>
      <c r="P63" s="2"/>
    </row>
    <row r="64" spans="2:19" x14ac:dyDescent="0.3">
      <c r="O64" s="7"/>
      <c r="P64" s="7"/>
    </row>
    <row r="65" spans="12:13" x14ac:dyDescent="0.3">
      <c r="L65" s="2"/>
      <c r="M65" s="2"/>
    </row>
    <row r="66" spans="12:13" x14ac:dyDescent="0.3">
      <c r="L66" s="7"/>
      <c r="M66" s="7"/>
    </row>
  </sheetData>
  <mergeCells count="7">
    <mergeCell ref="A11:A14"/>
    <mergeCell ref="L1:M1"/>
    <mergeCell ref="O1:P1"/>
    <mergeCell ref="R1:S1"/>
    <mergeCell ref="C2:D2"/>
    <mergeCell ref="E2:F2"/>
    <mergeCell ref="G2:H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Props1.xml><?xml version="1.0" encoding="utf-8"?>
<ds:datastoreItem xmlns:ds="http://schemas.openxmlformats.org/officeDocument/2006/customXml" ds:itemID="{FB62140C-DD93-4947-BB96-A5E1D8D8A736}"/>
</file>

<file path=customXml/itemProps2.xml><?xml version="1.0" encoding="utf-8"?>
<ds:datastoreItem xmlns:ds="http://schemas.openxmlformats.org/officeDocument/2006/customXml" ds:itemID="{E5179D17-062E-4126-B202-7334FE9ABCC5}">
  <ds:schemaRefs>
    <ds:schemaRef ds:uri="http://schemas.microsoft.com/sharepoint/v3"/>
    <ds:schemaRef ds:uri="http://schemas.microsoft.com/sharepoint/v4"/>
    <ds:schemaRef ds:uri="http://purl.org/dc/terms/"/>
    <ds:schemaRef ds:uri="2e64aaae-efe8-4b36-9ab4-486f04499e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cc7e218-8b47-4273-ba28-07719656e1ad"/>
    <ds:schemaRef ds:uri="e6671a59-50a7-4167-890c-836f7535b73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D679C5-F3A6-4070-9962-323ADCFED452}"/>
</file>

<file path=customXml/itemProps4.xml><?xml version="1.0" encoding="utf-8"?>
<ds:datastoreItem xmlns:ds="http://schemas.openxmlformats.org/officeDocument/2006/customXml" ds:itemID="{B8CCB82C-3E6E-4ACC-A111-8587F080A7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1</vt:lpstr>
      <vt:lpstr>Example 2</vt:lpstr>
      <vt:lpstr>Example 3</vt:lpstr>
      <vt:lpstr>Example 4 Only ETSR Congestion</vt:lpstr>
      <vt:lpstr>Example 5 Only ITC Binding</vt:lpstr>
      <vt:lpstr>Example 6 ETSR ITC Binding 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Tretheway, Donald</dc:creator>
  <cp:lastModifiedBy>Osborne, Kristina</cp:lastModifiedBy>
  <dcterms:created xsi:type="dcterms:W3CDTF">2020-06-10T14:32:22Z</dcterms:created>
  <dcterms:modified xsi:type="dcterms:W3CDTF">2022-02-04T22:06:43Z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0x0101003C4558D17C5424438ED9E058A452A00D</vt:lpwstr>
  </property>
  <property fmtid="{D5CDD505-2E9C-101B-9397-08002B2CF9AE}" pid="3" name="_dlc_DocIdItemGuid">
    <vt:lpwstr>6262d4a4-6191-45a1-bdb9-6c55d5209ecc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/>
  </property>
</Properties>
</file>