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eamfiles\MarketQualityRenewableInt\2762 - Market Analysis Mgr\VOM_contract\Revised Straw Proposal\"/>
    </mc:Choice>
  </mc:AlternateContent>
  <bookViews>
    <workbookView xWindow="0" yWindow="0" windowWidth="20490" windowHeight="6570" tabRatio="743" firstSheet="2" activeTab="10"/>
  </bookViews>
  <sheets>
    <sheet name="Overview" sheetId="63" r:id="rId1"/>
    <sheet name="Step 1 - Gather Data" sheetId="6" r:id="rId2"/>
    <sheet name="1a. NYISO" sheetId="26" r:id="rId3"/>
    <sheet name="1b. EPA 2016" sheetId="52" r:id="rId4"/>
    <sheet name="1c. APS 2017" sheetId="17" r:id="rId5"/>
    <sheet name="1d. PAC 2019" sheetId="37" r:id="rId6"/>
    <sheet name="1e. PSE 2018" sheetId="38" r:id="rId7"/>
    <sheet name="1f. EIA 2020" sheetId="18" r:id="rId8"/>
    <sheet name="Step 2 - Determine Adder Type" sheetId="62" r:id="rId9"/>
    <sheet name="Step 3 - Convert Ext. Estimates" sheetId="31" r:id="rId10"/>
    <sheet name="Step 4 Cross-validate" sheetId="50" r:id="rId11"/>
    <sheet name="Appendices---------&gt;" sheetId="15" r:id="rId12"/>
    <sheet name="Inflation Rates" sheetId="60" r:id="rId13"/>
    <sheet name="VO Estimates" sheetId="61" r:id="rId14"/>
  </sheets>
  <definedNames>
    <definedName name="_AMO_UniqueIdentifier" hidden="1">"'07fd93bd-45cf-4d74-a49d-bcacce55afe8'"</definedName>
    <definedName name="_xlnm._FilterDatabase" localSheetId="9" hidden="1">#REF!</definedName>
    <definedName name="_NST01">#REF!</definedName>
    <definedName name="alldata">#REF!</definedName>
    <definedName name="alled" localSheetId="8">#REF!</definedName>
    <definedName name="alled">#REF!</definedName>
    <definedName name="allstem" localSheetId="8">#REF!</definedName>
    <definedName name="allstem">#REF!</definedName>
    <definedName name="asdf">#REF!</definedName>
    <definedName name="_xlnm.Print_Area" localSheetId="10">'Step 4 Cross-validate'!$B$8:$B$8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31" l="1"/>
  <c r="D24" i="31"/>
  <c r="F47" i="31"/>
  <c r="D57" i="31"/>
  <c r="H47" i="31"/>
  <c r="G47" i="31"/>
  <c r="F29" i="26" l="1"/>
  <c r="D14" i="31" l="1"/>
  <c r="D13" i="31"/>
  <c r="G32" i="31" l="1"/>
  <c r="F12" i="37"/>
  <c r="E13" i="37"/>
  <c r="F13" i="37" s="1"/>
  <c r="G33" i="31" s="1"/>
  <c r="V43" i="26" l="1"/>
  <c r="V42" i="26"/>
  <c r="V41" i="26"/>
  <c r="F16" i="18"/>
  <c r="G16" i="18" s="1"/>
  <c r="F17" i="18"/>
  <c r="G17" i="18" s="1"/>
  <c r="F18" i="18"/>
  <c r="G18" i="18" s="1"/>
  <c r="F15" i="18"/>
  <c r="G14" i="38"/>
  <c r="H14" i="38" s="1"/>
  <c r="G13" i="38"/>
  <c r="H13" i="38" s="1"/>
  <c r="H19" i="17"/>
  <c r="H20" i="17"/>
  <c r="H21" i="17"/>
  <c r="H22" i="17"/>
  <c r="H18" i="17"/>
  <c r="G19" i="17"/>
  <c r="G20" i="17"/>
  <c r="G21" i="17"/>
  <c r="G22" i="17"/>
  <c r="G18" i="17"/>
  <c r="F14" i="52"/>
  <c r="E20" i="31"/>
  <c r="D19" i="31"/>
  <c r="E18" i="31"/>
  <c r="H27" i="26"/>
  <c r="H17" i="18" l="1"/>
  <c r="I17" i="18" s="1"/>
  <c r="I33" i="31" s="1"/>
  <c r="I51" i="31" s="1"/>
  <c r="H41" i="26" l="1"/>
  <c r="F41" i="26"/>
  <c r="F27" i="26"/>
  <c r="F43" i="26"/>
  <c r="C35" i="52" l="1"/>
  <c r="D14" i="52" s="1"/>
  <c r="Q43" i="26" l="1"/>
  <c r="H43" i="26"/>
  <c r="G43" i="26"/>
  <c r="H42" i="26"/>
  <c r="F42" i="26"/>
  <c r="N41" i="26"/>
  <c r="F28" i="26"/>
  <c r="Q29" i="26"/>
  <c r="R29" i="26" s="1"/>
  <c r="H29" i="26"/>
  <c r="G29" i="26"/>
  <c r="N27" i="26"/>
  <c r="H28" i="26"/>
  <c r="R43" i="26" l="1"/>
  <c r="S43" i="26" s="1"/>
  <c r="J42" i="26"/>
  <c r="K42" i="26" s="1"/>
  <c r="J27" i="26"/>
  <c r="K27" i="26" s="1"/>
  <c r="J43" i="26"/>
  <c r="K43" i="26" s="1"/>
  <c r="J29" i="26"/>
  <c r="K29" i="26" s="1"/>
  <c r="L29" i="26" s="1"/>
  <c r="S29" i="26"/>
  <c r="T29" i="26" l="1"/>
  <c r="L42" i="26"/>
  <c r="T42" i="26" s="1"/>
  <c r="U42" i="26" s="1"/>
  <c r="L43" i="26"/>
  <c r="T43" i="26" s="1"/>
  <c r="W43" i="26" s="1"/>
  <c r="D33" i="31" s="1"/>
  <c r="U29" i="26"/>
  <c r="D15" i="31" s="1"/>
  <c r="L27" i="26"/>
  <c r="O27" i="26"/>
  <c r="J28" i="26"/>
  <c r="K28" i="26" s="1"/>
  <c r="E25" i="31" l="1"/>
  <c r="E15" i="50" s="1"/>
  <c r="P27" i="26"/>
  <c r="Q27" i="26" s="1"/>
  <c r="R27" i="26" s="1"/>
  <c r="S27" i="26" s="1"/>
  <c r="T27" i="26" s="1"/>
  <c r="D51" i="31"/>
  <c r="U43" i="26"/>
  <c r="W42" i="26"/>
  <c r="D32" i="31" s="1"/>
  <c r="L28" i="26"/>
  <c r="T28" i="26" s="1"/>
  <c r="J41" i="26"/>
  <c r="K41" i="26" s="1"/>
  <c r="L41" i="26" s="1"/>
  <c r="O41" i="26"/>
  <c r="P41" i="26" s="1"/>
  <c r="Q41" i="26" s="1"/>
  <c r="E14" i="50" l="1"/>
  <c r="U28" i="26"/>
  <c r="R41" i="26"/>
  <c r="S41" i="26" s="1"/>
  <c r="T41" i="26" s="1"/>
  <c r="W41" i="26" s="1"/>
  <c r="D31" i="31" s="1"/>
  <c r="U27" i="26"/>
  <c r="D47" i="31"/>
  <c r="C14" i="50" l="1"/>
  <c r="E13" i="50"/>
  <c r="U41" i="26"/>
  <c r="D50" i="31" l="1"/>
  <c r="C14" i="52" l="1"/>
  <c r="G14" i="52" s="1"/>
  <c r="H14" i="52" l="1"/>
  <c r="E34" i="31" s="1"/>
  <c r="E52" i="31" s="1"/>
  <c r="H18" i="18"/>
  <c r="I18" i="18" s="1"/>
  <c r="I34" i="31" s="1"/>
  <c r="I52" i="31" l="1"/>
  <c r="E59" i="31" s="1"/>
  <c r="E24" i="50" s="1"/>
  <c r="G51" i="31" l="1"/>
  <c r="G15" i="18" l="1"/>
  <c r="I14" i="38" l="1"/>
  <c r="H32" i="31" s="1"/>
  <c r="I13" i="38"/>
  <c r="H31" i="31" s="1"/>
  <c r="H15" i="18" l="1"/>
  <c r="I21" i="17"/>
  <c r="I22" i="17"/>
  <c r="J22" i="17" s="1"/>
  <c r="K22" i="17" s="1"/>
  <c r="H16" i="18"/>
  <c r="I16" i="18" s="1"/>
  <c r="I32" i="31" s="1"/>
  <c r="I19" i="17"/>
  <c r="J19" i="17" s="1"/>
  <c r="K19" i="17" s="1"/>
  <c r="I20" i="17"/>
  <c r="J20" i="17" s="1"/>
  <c r="I15" i="18" l="1"/>
  <c r="I31" i="31" s="1"/>
  <c r="H50" i="31"/>
  <c r="K20" i="17"/>
  <c r="L20" i="17" s="1"/>
  <c r="J21" i="17"/>
  <c r="K21" i="17" s="1"/>
  <c r="I18" i="17"/>
  <c r="J18" i="17" s="1"/>
  <c r="K18" i="17" s="1"/>
  <c r="F33" i="31" l="1"/>
  <c r="F51" i="31" s="1"/>
  <c r="I50" i="31"/>
  <c r="I47" i="31"/>
  <c r="L18" i="17"/>
  <c r="F32" i="31" s="1"/>
  <c r="L21" i="17"/>
  <c r="F31" i="31" s="1"/>
  <c r="E58" i="31" l="1"/>
  <c r="E23" i="50" s="1"/>
  <c r="F50" i="31"/>
  <c r="E56" i="31" s="1"/>
  <c r="E21" i="50" s="1"/>
  <c r="C22" i="50" l="1"/>
  <c r="E22" i="50"/>
</calcChain>
</file>

<file path=xl/sharedStrings.xml><?xml version="1.0" encoding="utf-8"?>
<sst xmlns="http://schemas.openxmlformats.org/spreadsheetml/2006/main" count="534" uniqueCount="215">
  <si>
    <t>MW</t>
  </si>
  <si>
    <t>A</t>
  </si>
  <si>
    <t>D</t>
  </si>
  <si>
    <t>Variable O&amp;M</t>
  </si>
  <si>
    <t>$/MWh</t>
  </si>
  <si>
    <t>C</t>
  </si>
  <si>
    <t>B</t>
  </si>
  <si>
    <t>$/cycle</t>
  </si>
  <si>
    <t>E</t>
  </si>
  <si>
    <t>F</t>
  </si>
  <si>
    <t>Technology Type</t>
  </si>
  <si>
    <t>Hydro</t>
  </si>
  <si>
    <t>VO Adder</t>
  </si>
  <si>
    <t>Capacity Factor</t>
  </si>
  <si>
    <t>Maintenance Costs</t>
  </si>
  <si>
    <t>Annual Capacity</t>
  </si>
  <si>
    <t>LM6000PC</t>
  </si>
  <si>
    <t xml:space="preserve"> (2020$/MWh)</t>
  </si>
  <si>
    <t>Less: VO</t>
  </si>
  <si>
    <t>Variable Maintenance</t>
  </si>
  <si>
    <t xml:space="preserve"> (2019$/MWh)</t>
  </si>
  <si>
    <t>Convert to $/yr</t>
  </si>
  <si>
    <t>($/cycle)/MW</t>
  </si>
  <si>
    <t>For Comparison</t>
  </si>
  <si>
    <t>APS</t>
  </si>
  <si>
    <t>Nominal Capacity</t>
  </si>
  <si>
    <t xml:space="preserve"> (2016$/MWh)</t>
  </si>
  <si>
    <t>Conversion Factor</t>
  </si>
  <si>
    <t>J</t>
  </si>
  <si>
    <t>NYISO</t>
  </si>
  <si>
    <t>Starts per Cycle</t>
  </si>
  <si>
    <t>Costs per MWh</t>
  </si>
  <si>
    <t>($/year)/MW</t>
  </si>
  <si>
    <t xml:space="preserve"> (2018$/MWh)</t>
  </si>
  <si>
    <t>GE 7F.05</t>
  </si>
  <si>
    <t>1x1 F-Class (Unfired)</t>
  </si>
  <si>
    <t>1x0 F-Class Dual Fuel (NG)</t>
  </si>
  <si>
    <t>PSE 2018</t>
  </si>
  <si>
    <t>Combined Cycle Gas Turbines</t>
  </si>
  <si>
    <t>Combustion Turbines</t>
  </si>
  <si>
    <t xml:space="preserve">Technology Types </t>
  </si>
  <si>
    <t>Aeroderivative</t>
  </si>
  <si>
    <t>EPA</t>
  </si>
  <si>
    <t>Pacificorp 2019</t>
  </si>
  <si>
    <t>Option 2</t>
  </si>
  <si>
    <t>Option 1</t>
  </si>
  <si>
    <t>Tech type</t>
  </si>
  <si>
    <t>Cost of Parts</t>
  </si>
  <si>
    <t>Labor Scaling Factor</t>
  </si>
  <si>
    <t>Cost of Labor</t>
  </si>
  <si>
    <t>Costs per Cycle</t>
  </si>
  <si>
    <t>Run-hours per Cycle</t>
  </si>
  <si>
    <t>Geo-scaled Costs of Labor</t>
  </si>
  <si>
    <t>Time-scaled Costs per Cycle</t>
  </si>
  <si>
    <t>Geo-Scaled Costs of Labor</t>
  </si>
  <si>
    <t>Total Costs per Cycle</t>
  </si>
  <si>
    <t>($/MW)/RH</t>
  </si>
  <si>
    <t>($/MW)/Start</t>
  </si>
  <si>
    <t>Starts per Year</t>
  </si>
  <si>
    <t>Maint. Cycle (Years)</t>
  </si>
  <si>
    <t>($/year) per MW</t>
  </si>
  <si>
    <t>RHs per Year</t>
  </si>
  <si>
    <t>Operating Data from</t>
  </si>
  <si>
    <t>APS 2017</t>
  </si>
  <si>
    <t xml:space="preserve"> (2017$/MWh)</t>
  </si>
  <si>
    <t>PAC</t>
  </si>
  <si>
    <t>Primary source (weighted 50%)</t>
  </si>
  <si>
    <t>Secondary source (weighted 50% across all secondary sources)</t>
  </si>
  <si>
    <t>($/start)/MW</t>
  </si>
  <si>
    <t>($/RH)/MW</t>
  </si>
  <si>
    <t>WEC_BANC</t>
  </si>
  <si>
    <t>Region</t>
  </si>
  <si>
    <t>Annual CF</t>
  </si>
  <si>
    <t>WEC_CALN</t>
  </si>
  <si>
    <t>WEC_LADW</t>
  </si>
  <si>
    <t>WEC_SDGE</t>
  </si>
  <si>
    <t>WECC_AZ</t>
  </si>
  <si>
    <t>WECC_CO</t>
  </si>
  <si>
    <t>WECC_ID</t>
  </si>
  <si>
    <t>WECC_IID</t>
  </si>
  <si>
    <t>WECC_MT</t>
  </si>
  <si>
    <t>WECC_NM</t>
  </si>
  <si>
    <t>WECC_NNV</t>
  </si>
  <si>
    <t>WECC_PNW</t>
  </si>
  <si>
    <t>WECC_SCE</t>
  </si>
  <si>
    <t>WECC_SNV</t>
  </si>
  <si>
    <t>WECC_UT</t>
  </si>
  <si>
    <t>WECC_WY</t>
  </si>
  <si>
    <t>WECC_average</t>
  </si>
  <si>
    <t>$/cycle per MW</t>
  </si>
  <si>
    <t>Average Degraded Net Plant Capacity ICAP</t>
  </si>
  <si>
    <t>Source: 2010 Report</t>
  </si>
  <si>
    <t>Page 47</t>
  </si>
  <si>
    <t>G = E * F</t>
  </si>
  <si>
    <t>H = D + G</t>
  </si>
  <si>
    <t>I = H * Inf Rate</t>
  </si>
  <si>
    <t>Page 136</t>
  </si>
  <si>
    <t>K</t>
  </si>
  <si>
    <t>L</t>
  </si>
  <si>
    <t>M = K * L</t>
  </si>
  <si>
    <t>N = J + M</t>
  </si>
  <si>
    <t>O = N * Inf Rate</t>
  </si>
  <si>
    <t>P = B * C * O</t>
  </si>
  <si>
    <t>Q = I + Q</t>
  </si>
  <si>
    <t>R = Q / C</t>
  </si>
  <si>
    <t>Page 31</t>
  </si>
  <si>
    <t>Page 90</t>
  </si>
  <si>
    <t>Page 32</t>
  </si>
  <si>
    <t>Pages 32, 29</t>
  </si>
  <si>
    <t>Note 2: The NYISO expresses maintenance costs in both: 1) $/start or $/run-hour and 2) $/MWh values. These represent separate maintenance costs and thus should be added together to arrive at an estimate of total variable maintenance costs. To convert the $/MWh costs to a $/cycle value, the CAISO utilizes the methodology discussed by NYISO on page 32 of the 2010 NYISO report. NYISO does not identify any $/MWh costs for combustion turbines.</t>
  </si>
  <si>
    <t>Source:</t>
  </si>
  <si>
    <t>Page 4-3</t>
  </si>
  <si>
    <t>Starts per cycle</t>
  </si>
  <si>
    <t>Unweighted VM Costs</t>
  </si>
  <si>
    <t>Source: EPA 2016</t>
  </si>
  <si>
    <t>Capacity factors derived from EIA form 923 data for 2007-2016 period</t>
  </si>
  <si>
    <t>Page 4-12</t>
  </si>
  <si>
    <t>D = C * Inf Rate</t>
  </si>
  <si>
    <t>F = E / A</t>
  </si>
  <si>
    <t>Note 2: The CAISO scales the maintenance cost estimates from the $-year used in the source documents to $2019. See Inflation Rates tab.</t>
  </si>
  <si>
    <t>7F.05</t>
  </si>
  <si>
    <t>CC 7F.05</t>
  </si>
  <si>
    <t>Model</t>
  </si>
  <si>
    <t>Source: APS 2017</t>
  </si>
  <si>
    <t>F = D - E</t>
  </si>
  <si>
    <t>G = A * B * F * 8760</t>
  </si>
  <si>
    <t>E = A * B * C * 8760</t>
  </si>
  <si>
    <t>H = G / A</t>
  </si>
  <si>
    <t>I = Average (H)</t>
  </si>
  <si>
    <t>Source: Pacificorp 2019</t>
  </si>
  <si>
    <t>Appen. B</t>
  </si>
  <si>
    <t>Page 8</t>
  </si>
  <si>
    <t>Page 29</t>
  </si>
  <si>
    <t>E = D - C</t>
  </si>
  <si>
    <t>G = F / A</t>
  </si>
  <si>
    <t>F = A * B * E * 8760</t>
  </si>
  <si>
    <t>Note 1: To estimate variable maintenance costs, the CAISO subtracts the variable operations (VO) values from the source documentation's estimate of VOM costs. This assumes that the VO costs estimated by the ISO are the same as those utilized in the source documentation.</t>
  </si>
  <si>
    <t>Tab 1a</t>
  </si>
  <si>
    <t>Tab 1b</t>
  </si>
  <si>
    <t>Tab 1c</t>
  </si>
  <si>
    <t>Tab 1d</t>
  </si>
  <si>
    <t>Tab 1e</t>
  </si>
  <si>
    <t>Tab 1f</t>
  </si>
  <si>
    <t>RH per cycle</t>
  </si>
  <si>
    <t>Step 1: Estimate variable maintenance costs using external sources</t>
  </si>
  <si>
    <t>Step 3: Convert the variable maintenance costs to the appropriate adder type</t>
  </si>
  <si>
    <t>All CAISO/EIM</t>
  </si>
  <si>
    <t>PSE</t>
  </si>
  <si>
    <t xml:space="preserve">Default Maintenance Adder </t>
  </si>
  <si>
    <t>Step 2: Determine which adder type ($/run-hour, $/start, or $/MWh adder) is most appropriate for each technology type</t>
  </si>
  <si>
    <t>As stated in the paper, the default adder type for each technology type is as follows:</t>
  </si>
  <si>
    <t>$/start</t>
  </si>
  <si>
    <t>$/run-hour</t>
  </si>
  <si>
    <t>Default Adder Type</t>
  </si>
  <si>
    <t>Interpolated MMA Values</t>
  </si>
  <si>
    <t>Default Maintenance Adder</t>
  </si>
  <si>
    <t>See Step 4</t>
  </si>
  <si>
    <t>See the subsequent tabs for data gathered from external sources</t>
  </si>
  <si>
    <t>Base Year</t>
  </si>
  <si>
    <t>Inflation Factor to 2019</t>
  </si>
  <si>
    <t>Appendix A- Inflation Rates</t>
  </si>
  <si>
    <t>In some cases, the ISO subtracts the variable operations costs from VOM values found in external sources to arrive at an estimate of variable maintenance costs. These VO values are discussed in greater detail in the Revised Straw Proposal.</t>
  </si>
  <si>
    <t>Appendix B - Variable Operations Costs</t>
  </si>
  <si>
    <t>Note 4</t>
  </si>
  <si>
    <t>Note 3</t>
  </si>
  <si>
    <t>Note 2</t>
  </si>
  <si>
    <t>Note 1</t>
  </si>
  <si>
    <t>Note 1: The CAISO scales the maintenance cost estimates from the $-year used in the source documents to $2019. See Inflation Rates tab.</t>
  </si>
  <si>
    <t>From Step 3</t>
  </si>
  <si>
    <t>Step 4: Cross-validate the estimate from external sources against interpolated major maintenance adder values to determine a default maintenance adder</t>
  </si>
  <si>
    <t>In this step, the CAISO cross-validates the external estimates from Step 3 against interpolated MMA values. The CAISO only discloses the interpolated MMA values when they are lower than the external estimate values. The values in the black boxes are the default MA values proposed under each option.</t>
  </si>
  <si>
    <t xml:space="preserve">Variable Operations and Maintenance Cost Review </t>
  </si>
  <si>
    <t>Revised Straw Proposal</t>
  </si>
  <si>
    <t>Supporting Calculations</t>
  </si>
  <si>
    <t>Note 5</t>
  </si>
  <si>
    <t>S</t>
  </si>
  <si>
    <t>T = R / S</t>
  </si>
  <si>
    <t>Note 5: For Option 2, the CAISO must convert the NYISO estimates from $/cycle to $/year. To do so, the ISO uses CAISO/EIM operating data to estimate an average maintenance cycle length in years. However, this calculation is eventually reversed in Step 3 and thus this has no impact on the calculation.</t>
  </si>
  <si>
    <t>Source: EIA 2020</t>
  </si>
  <si>
    <t>EIA 2020</t>
  </si>
  <si>
    <t xml:space="preserve">This set of supporting calculations supplements the discussion of the proposed calculation methodology for default maintenance adders. This appendix is intended to aid in understanding some of the more complicated aspects of the calculation. It will also highlight the differences between Option 1 and Option 2 which will aid in stakeholders' ability to indicate their preferred option. 
As a reminder, the steps to calculate the default maintenance adder are: 
  1) Estimate variable maintenance costs using external sources
  2) Determine which adder type ($/run-hour, $/start, or $/MWh adder) is most appropriate for each technology type
  3) Convert the variable maintenance costs to the appropriate adder type 
  4) Cross-validate the estimate from external sources against interpolated major maintenance adder values to determine a default maintenance adder
  5) Using the default maintenance adder, calculate a resource-specific adder
Step 5 will be performed on a resource-by-resource basis and is thus not included in this workbook.
</t>
  </si>
  <si>
    <t>$/year</t>
  </si>
  <si>
    <t>C = B / A</t>
  </si>
  <si>
    <t>Source: NYISO 2010, NYISO 2016</t>
  </si>
  <si>
    <t>Note 1: The CAISO utilized the NYISO 2010 report for the estimates of aeroderivative CTs and the 2016 NYISO report for estimates of CTs and CCGTs</t>
  </si>
  <si>
    <t>The calculations below are performed from left to right, with final values highlighted in bold</t>
  </si>
  <si>
    <t>Source: 2016 Report</t>
  </si>
  <si>
    <t>Note 4: The CAISO scales the maintenance cost estimates from the $-year used in the source documents to $2019. The NYISO 2016 report was presented in 2015 dollars. See Inflation Rates tab.</t>
  </si>
  <si>
    <t>Page 52</t>
  </si>
  <si>
    <t>Pages 133, 136</t>
  </si>
  <si>
    <t>|--------- Major maintenance costs expressed in $/starts or $/run-hours, converted to $/cycle---------|</t>
  </si>
  <si>
    <t>|--------------------- Major maintenance costs expressed in $/MWh, converted to $/cycle---------------------|</t>
  </si>
  <si>
    <t>Tech type (Note 6)</t>
  </si>
  <si>
    <r>
      <t xml:space="preserve">Note 6: See the </t>
    </r>
    <r>
      <rPr>
        <b/>
        <i/>
        <sz val="11"/>
        <color theme="1"/>
        <rFont val="Calibri"/>
        <family val="2"/>
        <scheme val="minor"/>
      </rPr>
      <t>Technology Groups</t>
    </r>
    <r>
      <rPr>
        <sz val="11"/>
        <color theme="1"/>
        <rFont val="Calibri"/>
        <family val="2"/>
        <scheme val="minor"/>
      </rPr>
      <t xml:space="preserve"> section of paper for discussion of which technologies were used for the estimates below.</t>
    </r>
  </si>
  <si>
    <t>Note 3: The CAISO used an average capacity across the 3,818 resources presented in the EPA report.</t>
  </si>
  <si>
    <r>
      <t>Annual Capacity
(</t>
    </r>
    <r>
      <rPr>
        <sz val="11"/>
        <color rgb="FFFF0000"/>
        <rFont val="Calibri"/>
        <family val="2"/>
        <scheme val="minor"/>
      </rPr>
      <t>Note 3</t>
    </r>
    <r>
      <rPr>
        <sz val="11"/>
        <color theme="1"/>
        <rFont val="Calibri"/>
        <family val="2"/>
        <scheme val="minor"/>
      </rPr>
      <t>)</t>
    </r>
  </si>
  <si>
    <t>Note 1: The CAISO utilized an estimated capacity factor based on EPA estimates of capacity factors for areas within the CAISO/EIM operating area. See the capacity factor figures below.</t>
  </si>
  <si>
    <t>Page 309</t>
  </si>
  <si>
    <t>GE LM6000PF Sprint</t>
  </si>
  <si>
    <t>1x1x1 5000F 5</t>
  </si>
  <si>
    <t>1x0 Siemens 5000F5</t>
  </si>
  <si>
    <t>LM6000</t>
  </si>
  <si>
    <t>Note 6</t>
  </si>
  <si>
    <t xml:space="preserve">Note 3: In cases where multiple observations for the same technology type exist in the source documents, the CAISO averages the cost estimates across the representative technology types. </t>
  </si>
  <si>
    <r>
      <t>Note 4: See the</t>
    </r>
    <r>
      <rPr>
        <b/>
        <i/>
        <sz val="11"/>
        <color theme="1"/>
        <rFont val="Calibri"/>
        <family val="2"/>
        <scheme val="minor"/>
      </rPr>
      <t xml:space="preserve"> Technology Groups</t>
    </r>
    <r>
      <rPr>
        <sz val="11"/>
        <color theme="1"/>
        <rFont val="Calibri"/>
        <family val="2"/>
        <scheme val="minor"/>
      </rPr>
      <t xml:space="preserve"> section of paper for discussion of which technologies were used for the estimates below.</t>
    </r>
  </si>
  <si>
    <t xml:space="preserve">Note 1: In cases where multiple observations for the same technology type exist in the source documents, the CAISO averages the cost estimates across the representative technology types. </t>
  </si>
  <si>
    <r>
      <t>Note 2: See the</t>
    </r>
    <r>
      <rPr>
        <b/>
        <i/>
        <sz val="11"/>
        <color theme="1"/>
        <rFont val="Calibri"/>
        <family val="2"/>
        <scheme val="minor"/>
      </rPr>
      <t xml:space="preserve"> Technology Groups</t>
    </r>
    <r>
      <rPr>
        <sz val="11"/>
        <color theme="1"/>
        <rFont val="Calibri"/>
        <family val="2"/>
        <scheme val="minor"/>
      </rPr>
      <t xml:space="preserve"> section of paper for discussion of which technologies were used for the estimates below.</t>
    </r>
  </si>
  <si>
    <t>Source: PSE 2018</t>
  </si>
  <si>
    <t>Page 2</t>
  </si>
  <si>
    <t>Note 2: The EIA report did not have the capacity factors that were used to estimate the VOM values. In order to convert the values to $/year units, the CAISO estimates capacity factors using CAISO/EIM operating data for these technologies. This estimate introduces uncertainty into the calculation and assumes that the capacity factors estimated by the ISO are the same as those utilized in the source documentation.</t>
  </si>
  <si>
    <t>CAISO PUBLIC</t>
  </si>
  <si>
    <t>In this step, the CAISO converts the variable maintenance costs from the source documentation to $/start per MW or $/run-hour per MW default maintenance adder values. To do so, the CAISO uses different conversion factors and inputs for Option 1 versus Option 2: 
- For Option 1, the conversion factors were provided in the source documentation. 
- For Option 2, the conversion factors were estimated using CAISO/EIM operating data. For APS, Pacificorp, and PSE, the ISO could potentially use balancing area-specific operating data but proposes to use CAISO/EIM-level data to ameliorate confidentiality concerns. Also, the ISO calculated the default maintenance adder as a weighted average where the primary source (in green) was weighted 50% and the secondary sources (in coral) were weighted together as 50%.</t>
  </si>
  <si>
    <r>
      <t xml:space="preserve">Note 3: The CAISO scales labor costs based on the relative wages in NY versus the states in the CAISO/EIM operating area. To convert these values, the CAISO used BLS wage data from May 2019, for OCC_Code 49-2095:  </t>
    </r>
    <r>
      <rPr>
        <i/>
        <sz val="11"/>
        <color theme="1"/>
        <rFont val="Calibri"/>
        <family val="2"/>
        <scheme val="minor"/>
      </rPr>
      <t>Electrical and Electronics Repairers, Powerhouse, Substation, and Relay.</t>
    </r>
    <r>
      <rPr>
        <sz val="11"/>
        <color theme="1"/>
        <rFont val="Calibri"/>
        <family val="2"/>
        <scheme val="minor"/>
      </rPr>
      <t xml:space="preserve"> The labor scaling factor is a ratio of the weighted average of the wages in states representing the CAISO/EIM operating area and the wages in NY.
</t>
    </r>
    <r>
      <rPr>
        <u/>
        <sz val="11"/>
        <color theme="1"/>
        <rFont val="Calibri"/>
        <family val="2"/>
        <scheme val="minor"/>
      </rPr>
      <t xml:space="preserve">https://www.bls.gov/oes/current/oes_nat.htm </t>
    </r>
  </si>
  <si>
    <t>For the purposes of the default maintenance adder calculation, the CAISO uses the Consumer Price Index from the BLS to inflate the values from the source documentation to 2019 dollars. See the paper for more details.</t>
  </si>
  <si>
    <t>&gt; External Estimate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</si>
</sst>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8" formatCode="&quot;$&quot;#,##0.00_);[Red]\(&quot;$&quot;#,##0.00\)"/>
    <numFmt numFmtId="43" formatCode="_(* #,##0.00_);_(* \(#,##0.00\);_(* &quot;-&quot;??_);_(@_)"/>
    <numFmt numFmtId="164" formatCode="_(* #,##0_);_(* \(#,##0\);_(* &quot;-&quot;??_);_(@_)"/>
    <numFmt numFmtId="165" formatCode="_(* #,##0.0000_);_(* \(#,##0.0000\);_(* &quot;-&quot;??_);_(@_)"/>
    <numFmt numFmtId="166" formatCode="&quot;$&quot;#,##0.00"/>
    <numFmt numFmtId="167" formatCode="_(* #,##0.0_);_(* \(#,##0.0\);_(* &quot;-&quot;??_);_(@_)"/>
    <numFmt numFmtId="168" formatCode="0.0000"/>
  </numFmts>
  <fonts count="21" x14ac:knownFonts="1">
    <font>
      <sz val="11"/>
      <color theme="1"/>
      <name val="Calibri"/>
      <family val="2"/>
      <scheme val="minor"/>
    </font>
    <font>
      <sz val="11"/>
      <color theme="1"/>
      <name val="Calibri"/>
      <family val="2"/>
      <scheme val="minor"/>
    </font>
    <font>
      <b/>
      <u/>
      <sz val="11"/>
      <color theme="1"/>
      <name val="Calibri"/>
      <family val="2"/>
      <scheme val="minor"/>
    </font>
    <font>
      <i/>
      <sz val="11"/>
      <color theme="1"/>
      <name val="Calibri"/>
      <family val="2"/>
      <scheme val="minor"/>
    </font>
    <font>
      <b/>
      <sz val="11"/>
      <color rgb="FFFF0000"/>
      <name val="Calibri"/>
      <family val="2"/>
      <scheme val="minor"/>
    </font>
    <font>
      <u/>
      <sz val="11"/>
      <color theme="10"/>
      <name val="Calibri"/>
      <family val="2"/>
      <scheme val="minor"/>
    </font>
    <font>
      <sz val="11"/>
      <color rgb="FFFF0000"/>
      <name val="Calibri"/>
      <family val="2"/>
      <scheme val="minor"/>
    </font>
    <font>
      <b/>
      <sz val="11"/>
      <color theme="1"/>
      <name val="Calibri"/>
      <family val="2"/>
      <scheme val="minor"/>
    </font>
    <font>
      <sz val="11"/>
      <color rgb="FF333333"/>
      <name val="Arial"/>
      <family val="2"/>
    </font>
    <font>
      <sz val="11"/>
      <color rgb="FF000000"/>
      <name val="Calibri"/>
      <family val="2"/>
      <scheme val="minor"/>
    </font>
    <font>
      <sz val="10"/>
      <name val="MS Sans Serif"/>
    </font>
    <font>
      <sz val="11"/>
      <color theme="0" tint="-0.34998626667073579"/>
      <name val="Calibri"/>
      <family val="2"/>
      <scheme val="minor"/>
    </font>
    <font>
      <i/>
      <sz val="11"/>
      <color rgb="FFFF0000"/>
      <name val="Calibri"/>
      <family val="2"/>
      <scheme val="minor"/>
    </font>
    <font>
      <i/>
      <sz val="11"/>
      <color rgb="FF0070C0"/>
      <name val="Calibri"/>
      <family val="2"/>
      <scheme val="minor"/>
    </font>
    <font>
      <sz val="11"/>
      <color rgb="FF0070C0"/>
      <name val="Calibri"/>
      <family val="2"/>
      <scheme val="minor"/>
    </font>
    <font>
      <b/>
      <sz val="11"/>
      <color rgb="FF00B050"/>
      <name val="Calibri"/>
      <family val="2"/>
      <scheme val="minor"/>
    </font>
    <font>
      <u/>
      <sz val="11"/>
      <color theme="1"/>
      <name val="Calibri"/>
      <family val="2"/>
      <scheme val="minor"/>
    </font>
    <font>
      <sz val="22"/>
      <color theme="1"/>
      <name val="Arial"/>
      <family val="2"/>
    </font>
    <font>
      <sz val="16"/>
      <color theme="1"/>
      <name val="Arial"/>
      <family val="2"/>
    </font>
    <font>
      <i/>
      <u/>
      <sz val="11"/>
      <color theme="1"/>
      <name val="Calibri"/>
      <family val="2"/>
      <scheme val="minor"/>
    </font>
    <font>
      <b/>
      <i/>
      <sz val="11"/>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92D050"/>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theme="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0" fillId="0" borderId="0"/>
    <xf numFmtId="43" fontId="10" fillId="0" borderId="0" applyFont="0" applyFill="0" applyBorder="0" applyAlignment="0" applyProtection="0"/>
  </cellStyleXfs>
  <cellXfs count="157">
    <xf numFmtId="0" fontId="0" fillId="0" borderId="0" xfId="0"/>
    <xf numFmtId="164" fontId="0" fillId="0" borderId="0" xfId="1" applyNumberFormat="1" applyFont="1"/>
    <xf numFmtId="43" fontId="0" fillId="0" borderId="0" xfId="1" applyNumberFormat="1" applyFont="1"/>
    <xf numFmtId="165" fontId="0" fillId="0" borderId="0" xfId="1" applyNumberFormat="1" applyFont="1"/>
    <xf numFmtId="9" fontId="0" fillId="0" borderId="0" xfId="2" applyFont="1"/>
    <xf numFmtId="0" fontId="0" fillId="0" borderId="0" xfId="0" applyFill="1" applyBorder="1"/>
    <xf numFmtId="164" fontId="0" fillId="0" borderId="0" xfId="1" applyNumberFormat="1" applyFont="1" applyFill="1" applyBorder="1"/>
    <xf numFmtId="0" fontId="0" fillId="3" borderId="0" xfId="0" applyFill="1"/>
    <xf numFmtId="0" fontId="0" fillId="4" borderId="0" xfId="0" applyFill="1"/>
    <xf numFmtId="3" fontId="0" fillId="0" borderId="0" xfId="0" applyNumberFormat="1"/>
    <xf numFmtId="0" fontId="0" fillId="0" borderId="0" xfId="0" applyFill="1"/>
    <xf numFmtId="43" fontId="0" fillId="0" borderId="0" xfId="1" applyFont="1"/>
    <xf numFmtId="43" fontId="0" fillId="0" borderId="0" xfId="0" applyNumberFormat="1"/>
    <xf numFmtId="164" fontId="0" fillId="0" borderId="0" xfId="1" applyNumberFormat="1" applyFont="1" applyFill="1"/>
    <xf numFmtId="164" fontId="0" fillId="0" borderId="0" xfId="1" applyNumberFormat="1" applyFont="1" applyFill="1" applyAlignment="1">
      <alignment horizontal="center"/>
    </xf>
    <xf numFmtId="0" fontId="0" fillId="0" borderId="0" xfId="0" applyAlignment="1">
      <alignment horizontal="center"/>
    </xf>
    <xf numFmtId="0" fontId="0" fillId="0" borderId="0" xfId="0" applyAlignment="1">
      <alignment wrapText="1"/>
    </xf>
    <xf numFmtId="0" fontId="2" fillId="0" borderId="0" xfId="0" applyFont="1"/>
    <xf numFmtId="0" fontId="5" fillId="0" borderId="0" xfId="3"/>
    <xf numFmtId="0" fontId="3" fillId="0" borderId="0" xfId="0" applyFont="1"/>
    <xf numFmtId="0" fontId="0" fillId="0" borderId="3" xfId="0" applyBorder="1"/>
    <xf numFmtId="0" fontId="0" fillId="0" borderId="4" xfId="0" applyBorder="1"/>
    <xf numFmtId="0" fontId="0" fillId="0" borderId="0" xfId="0" applyBorder="1"/>
    <xf numFmtId="0" fontId="0" fillId="0" borderId="6" xfId="0" applyBorder="1"/>
    <xf numFmtId="0" fontId="0" fillId="0" borderId="8" xfId="0" applyBorder="1"/>
    <xf numFmtId="0" fontId="0" fillId="0" borderId="9" xfId="0" applyBorder="1"/>
    <xf numFmtId="0" fontId="2" fillId="0" borderId="0" xfId="0" applyFont="1" applyFill="1"/>
    <xf numFmtId="43" fontId="0" fillId="0" borderId="0" xfId="1" applyFont="1" applyFill="1"/>
    <xf numFmtId="0" fontId="0" fillId="0" borderId="2" xfId="0" applyBorder="1"/>
    <xf numFmtId="0" fontId="0" fillId="0" borderId="7" xfId="0" applyBorder="1"/>
    <xf numFmtId="0" fontId="2" fillId="0" borderId="0" xfId="0" applyFont="1" applyAlignment="1">
      <alignment horizontal="center"/>
    </xf>
    <xf numFmtId="164" fontId="4" fillId="0" borderId="0" xfId="1" applyNumberFormat="1" applyFont="1"/>
    <xf numFmtId="9" fontId="0" fillId="0" borderId="0" xfId="2" applyNumberFormat="1" applyFont="1"/>
    <xf numFmtId="43" fontId="0" fillId="0" borderId="0" xfId="1" applyNumberFormat="1" applyFont="1" applyFill="1"/>
    <xf numFmtId="9" fontId="0" fillId="0" borderId="0" xfId="2" applyFont="1" applyFill="1"/>
    <xf numFmtId="0" fontId="7" fillId="0" borderId="0" xfId="0" applyFont="1"/>
    <xf numFmtId="2" fontId="0" fillId="0" borderId="0" xfId="0" applyNumberFormat="1"/>
    <xf numFmtId="164" fontId="0" fillId="0" borderId="0" xfId="0" applyNumberFormat="1"/>
    <xf numFmtId="2" fontId="0" fillId="0" borderId="0" xfId="0" applyNumberFormat="1" applyFill="1"/>
    <xf numFmtId="0" fontId="0" fillId="5" borderId="0" xfId="0" applyFill="1"/>
    <xf numFmtId="0" fontId="4" fillId="0" borderId="0" xfId="0" applyFont="1" applyFill="1" applyAlignment="1">
      <alignment horizontal="center"/>
    </xf>
    <xf numFmtId="0" fontId="0" fillId="0" borderId="0" xfId="0" applyFill="1" applyAlignment="1">
      <alignment horizontal="center" wrapText="1"/>
    </xf>
    <xf numFmtId="9" fontId="0" fillId="0" borderId="0" xfId="0" applyNumberFormat="1"/>
    <xf numFmtId="43" fontId="0" fillId="0" borderId="0" xfId="0" applyNumberFormat="1" applyFill="1"/>
    <xf numFmtId="3" fontId="0" fillId="0" borderId="0" xfId="0" applyNumberFormat="1" applyFill="1"/>
    <xf numFmtId="164" fontId="0" fillId="0" borderId="0" xfId="0" applyNumberFormat="1" applyFill="1"/>
    <xf numFmtId="6" fontId="0" fillId="0" borderId="0" xfId="0" applyNumberFormat="1"/>
    <xf numFmtId="8" fontId="0" fillId="0" borderId="0" xfId="0" applyNumberFormat="1"/>
    <xf numFmtId="0" fontId="3" fillId="0" borderId="0" xfId="0" applyFont="1" applyAlignment="1">
      <alignment horizontal="center"/>
    </xf>
    <xf numFmtId="1" fontId="0" fillId="0" borderId="0" xfId="0" applyNumberFormat="1"/>
    <xf numFmtId="20" fontId="0" fillId="0" borderId="0" xfId="0" applyNumberFormat="1" applyAlignment="1">
      <alignment wrapText="1"/>
    </xf>
    <xf numFmtId="0" fontId="0" fillId="7" borderId="0" xfId="0" applyFill="1"/>
    <xf numFmtId="167" fontId="0" fillId="0" borderId="0" xfId="1" applyNumberFormat="1" applyFont="1"/>
    <xf numFmtId="43" fontId="0" fillId="7" borderId="0" xfId="0" applyNumberFormat="1" applyFill="1"/>
    <xf numFmtId="164" fontId="0" fillId="4" borderId="0" xfId="1" applyNumberFormat="1" applyFont="1" applyFill="1" applyAlignment="1">
      <alignment horizontal="center" vertical="center"/>
    </xf>
    <xf numFmtId="164" fontId="0" fillId="6" borderId="0" xfId="1" applyNumberFormat="1" applyFont="1" applyFill="1" applyAlignment="1">
      <alignment horizontal="center" vertical="center"/>
    </xf>
    <xf numFmtId="2" fontId="0" fillId="7" borderId="0" xfId="0" applyNumberFormat="1" applyFill="1"/>
    <xf numFmtId="10" fontId="0" fillId="0" borderId="0" xfId="0" applyNumberFormat="1"/>
    <xf numFmtId="9" fontId="0" fillId="0" borderId="8" xfId="0" applyNumberFormat="1" applyBorder="1"/>
    <xf numFmtId="167" fontId="0" fillId="0" borderId="0" xfId="1" applyNumberFormat="1" applyFont="1" applyFill="1"/>
    <xf numFmtId="0" fontId="0" fillId="8" borderId="0" xfId="0" applyFill="1"/>
    <xf numFmtId="43" fontId="0" fillId="8" borderId="0" xfId="1" applyNumberFormat="1" applyFont="1" applyFill="1"/>
    <xf numFmtId="43" fontId="11" fillId="7" borderId="0" xfId="1" applyNumberFormat="1" applyFont="1" applyFill="1"/>
    <xf numFmtId="43" fontId="0" fillId="8" borderId="0" xfId="1" applyFont="1" applyFill="1"/>
    <xf numFmtId="43" fontId="0" fillId="8" borderId="1" xfId="1" applyNumberFormat="1" applyFont="1" applyFill="1" applyBorder="1"/>
    <xf numFmtId="43" fontId="0" fillId="8" borderId="1" xfId="1" applyFont="1" applyFill="1" applyBorder="1"/>
    <xf numFmtId="0" fontId="0" fillId="0" borderId="0" xfId="0" applyFill="1" applyAlignment="1">
      <alignment wrapText="1"/>
    </xf>
    <xf numFmtId="0" fontId="0" fillId="0" borderId="0" xfId="0" applyFill="1" applyAlignment="1">
      <alignment horizontal="center"/>
    </xf>
    <xf numFmtId="2" fontId="0" fillId="8" borderId="1" xfId="0" applyNumberFormat="1" applyFill="1" applyBorder="1"/>
    <xf numFmtId="166" fontId="0" fillId="0" borderId="0" xfId="0" applyNumberFormat="1" applyFill="1"/>
    <xf numFmtId="0" fontId="5" fillId="0" borderId="0" xfId="3" applyFill="1"/>
    <xf numFmtId="0" fontId="3" fillId="0" borderId="0" xfId="0" applyFont="1" applyFill="1"/>
    <xf numFmtId="0" fontId="6" fillId="0" borderId="0" xfId="0" applyFont="1" applyFill="1"/>
    <xf numFmtId="0" fontId="6" fillId="0" borderId="0" xfId="0" applyFont="1" applyFill="1" applyAlignment="1">
      <alignment horizontal="center"/>
    </xf>
    <xf numFmtId="0" fontId="12" fillId="0" borderId="0" xfId="0" applyFont="1" applyFill="1"/>
    <xf numFmtId="0" fontId="13" fillId="0" borderId="0" xfId="0" applyFont="1" applyFill="1"/>
    <xf numFmtId="0" fontId="14" fillId="0" borderId="0" xfId="0" applyFont="1" applyFill="1"/>
    <xf numFmtId="0" fontId="14" fillId="0" borderId="0" xfId="0" applyFont="1" applyFill="1" applyAlignment="1">
      <alignment horizontal="center"/>
    </xf>
    <xf numFmtId="0" fontId="15" fillId="0" borderId="0" xfId="0" applyFont="1" applyFill="1" applyAlignment="1">
      <alignment horizontal="center"/>
    </xf>
    <xf numFmtId="168" fontId="0" fillId="0" borderId="0" xfId="0" applyNumberFormat="1"/>
    <xf numFmtId="0" fontId="15" fillId="0" borderId="0" xfId="0" applyFont="1" applyAlignment="1">
      <alignment horizontal="center"/>
    </xf>
    <xf numFmtId="0" fontId="15" fillId="0" borderId="0" xfId="0" applyFont="1"/>
    <xf numFmtId="0" fontId="6" fillId="0" borderId="0" xfId="0" applyFont="1"/>
    <xf numFmtId="0" fontId="6" fillId="0" borderId="0" xfId="0" applyFont="1" applyAlignment="1">
      <alignment horizontal="center"/>
    </xf>
    <xf numFmtId="6" fontId="8" fillId="0" borderId="0" xfId="0" applyNumberFormat="1" applyFont="1" applyBorder="1"/>
    <xf numFmtId="0" fontId="15" fillId="0" borderId="0" xfId="0" applyFont="1" applyAlignment="1">
      <alignment horizontal="center" wrapText="1"/>
    </xf>
    <xf numFmtId="6" fontId="9" fillId="0" borderId="0" xfId="0" applyNumberFormat="1" applyFont="1" applyBorder="1" applyAlignment="1">
      <alignment horizontal="left" vertical="center" indent="2"/>
    </xf>
    <xf numFmtId="6" fontId="9" fillId="0" borderId="0" xfId="0" applyNumberFormat="1" applyFont="1" applyBorder="1"/>
    <xf numFmtId="0" fontId="2" fillId="0" borderId="2" xfId="0" applyFont="1" applyBorder="1"/>
    <xf numFmtId="164" fontId="0" fillId="0" borderId="3" xfId="1" applyNumberFormat="1" applyFont="1" applyFill="1" applyBorder="1" applyAlignment="1">
      <alignment horizontal="center"/>
    </xf>
    <xf numFmtId="164" fontId="0" fillId="0" borderId="4" xfId="1" applyNumberFormat="1" applyFont="1" applyFill="1" applyBorder="1" applyAlignment="1">
      <alignment horizontal="center"/>
    </xf>
    <xf numFmtId="0" fontId="0" fillId="0" borderId="5" xfId="0" applyBorder="1"/>
    <xf numFmtId="164" fontId="0" fillId="2" borderId="0" xfId="1" applyNumberFormat="1" applyFont="1" applyFill="1" applyBorder="1"/>
    <xf numFmtId="164" fontId="0" fillId="0" borderId="0" xfId="1" applyNumberFormat="1" applyFont="1" applyBorder="1"/>
    <xf numFmtId="164" fontId="0" fillId="2" borderId="8" xfId="1" applyNumberFormat="1" applyFont="1" applyFill="1" applyBorder="1"/>
    <xf numFmtId="164" fontId="0" fillId="0" borderId="8" xfId="1" applyNumberFormat="1" applyFont="1" applyFill="1" applyBorder="1"/>
    <xf numFmtId="0" fontId="2" fillId="0" borderId="2" xfId="0" applyFont="1" applyFill="1" applyBorder="1"/>
    <xf numFmtId="0" fontId="7" fillId="0" borderId="3" xfId="0" applyFont="1" applyBorder="1"/>
    <xf numFmtId="0" fontId="7" fillId="0" borderId="4" xfId="0" applyFont="1" applyBorder="1"/>
    <xf numFmtId="0" fontId="2" fillId="0" borderId="5" xfId="0" applyFont="1" applyBorder="1"/>
    <xf numFmtId="0" fontId="3" fillId="0" borderId="0" xfId="0" applyFont="1" applyBorder="1" applyAlignment="1">
      <alignment horizontal="right"/>
    </xf>
    <xf numFmtId="0" fontId="3" fillId="0" borderId="0" xfId="0" applyFont="1" applyBorder="1"/>
    <xf numFmtId="164" fontId="3" fillId="0" borderId="0" xfId="1" applyNumberFormat="1" applyFont="1" applyBorder="1"/>
    <xf numFmtId="0" fontId="3" fillId="0" borderId="6" xfId="0" applyFont="1" applyBorder="1"/>
    <xf numFmtId="164" fontId="0" fillId="0" borderId="6" xfId="1" applyNumberFormat="1" applyFont="1" applyBorder="1"/>
    <xf numFmtId="0" fontId="7" fillId="0" borderId="0" xfId="0" applyFont="1" applyBorder="1"/>
    <xf numFmtId="0" fontId="7" fillId="0" borderId="6" xfId="0" applyFont="1" applyBorder="1"/>
    <xf numFmtId="164" fontId="0" fillId="0" borderId="6" xfId="1" applyNumberFormat="1" applyFont="1" applyFill="1" applyBorder="1" applyAlignment="1">
      <alignment horizontal="center"/>
    </xf>
    <xf numFmtId="0" fontId="0" fillId="2" borderId="8" xfId="0" applyFill="1" applyBorder="1"/>
    <xf numFmtId="164" fontId="0" fillId="0" borderId="8" xfId="1" applyNumberFormat="1" applyFont="1" applyBorder="1"/>
    <xf numFmtId="164" fontId="0" fillId="0" borderId="9" xfId="1" applyNumberFormat="1" applyFont="1" applyBorder="1"/>
    <xf numFmtId="164" fontId="0" fillId="0" borderId="9" xfId="1" applyNumberFormat="1" applyFont="1" applyFill="1" applyBorder="1" applyAlignment="1">
      <alignment horizontal="center"/>
    </xf>
    <xf numFmtId="0" fontId="3" fillId="0" borderId="3" xfId="0" applyFont="1" applyBorder="1" applyAlignment="1">
      <alignment horizontal="right"/>
    </xf>
    <xf numFmtId="43" fontId="0" fillId="0" borderId="0" xfId="1" applyNumberFormat="1" applyFont="1" applyFill="1" applyBorder="1"/>
    <xf numFmtId="43" fontId="0" fillId="2" borderId="0" xfId="1" applyNumberFormat="1" applyFont="1" applyFill="1" applyBorder="1"/>
    <xf numFmtId="43" fontId="0" fillId="0" borderId="0" xfId="1" applyNumberFormat="1" applyFont="1" applyBorder="1"/>
    <xf numFmtId="43" fontId="0" fillId="0" borderId="6" xfId="1" applyNumberFormat="1" applyFont="1" applyFill="1" applyBorder="1" applyAlignment="1">
      <alignment horizontal="center"/>
    </xf>
    <xf numFmtId="0" fontId="0" fillId="0" borderId="5" xfId="0" applyFill="1" applyBorder="1"/>
    <xf numFmtId="43" fontId="0" fillId="2" borderId="8" xfId="1" applyNumberFormat="1" applyFont="1" applyFill="1" applyBorder="1"/>
    <xf numFmtId="43" fontId="0" fillId="0" borderId="8" xfId="1" applyNumberFormat="1" applyFont="1" applyFill="1" applyBorder="1"/>
    <xf numFmtId="43" fontId="0" fillId="0" borderId="9" xfId="1" applyNumberFormat="1" applyFont="1" applyFill="1" applyBorder="1"/>
    <xf numFmtId="0" fontId="0" fillId="6" borderId="0" xfId="1" applyNumberFormat="1" applyFont="1" applyFill="1" applyAlignment="1">
      <alignment horizontal="left"/>
    </xf>
    <xf numFmtId="0" fontId="0" fillId="2" borderId="0" xfId="0" applyFill="1" applyBorder="1"/>
    <xf numFmtId="0" fontId="0" fillId="2" borderId="6" xfId="0" applyFill="1" applyBorder="1"/>
    <xf numFmtId="0" fontId="2" fillId="0" borderId="0" xfId="0" applyFont="1" applyBorder="1"/>
    <xf numFmtId="164" fontId="0" fillId="0" borderId="0" xfId="1" applyNumberFormat="1" applyFont="1" applyFill="1" applyBorder="1" applyAlignment="1">
      <alignment horizontal="left"/>
    </xf>
    <xf numFmtId="164" fontId="0" fillId="0" borderId="6" xfId="1" applyNumberFormat="1" applyFont="1" applyFill="1" applyBorder="1"/>
    <xf numFmtId="164" fontId="0" fillId="0" borderId="9" xfId="1" applyNumberFormat="1" applyFont="1" applyFill="1" applyBorder="1"/>
    <xf numFmtId="43" fontId="0" fillId="0" borderId="6" xfId="1" applyNumberFormat="1" applyFont="1" applyFill="1" applyBorder="1"/>
    <xf numFmtId="43" fontId="0" fillId="2" borderId="6" xfId="1" applyNumberFormat="1" applyFont="1" applyFill="1" applyBorder="1"/>
    <xf numFmtId="43" fontId="0" fillId="0" borderId="6" xfId="1" applyNumberFormat="1" applyFont="1" applyBorder="1"/>
    <xf numFmtId="43" fontId="0" fillId="0" borderId="9" xfId="1" applyNumberFormat="1" applyFont="1" applyBorder="1"/>
    <xf numFmtId="0" fontId="7" fillId="0" borderId="0" xfId="0" applyFont="1" applyFill="1" applyBorder="1"/>
    <xf numFmtId="0" fontId="2" fillId="3" borderId="0" xfId="0" applyFont="1" applyFill="1"/>
    <xf numFmtId="43" fontId="3" fillId="8" borderId="0" xfId="1" applyFont="1" applyFill="1"/>
    <xf numFmtId="0" fontId="2" fillId="0" borderId="0" xfId="0" applyFont="1" applyFill="1" applyAlignment="1">
      <alignment wrapText="1"/>
    </xf>
    <xf numFmtId="0" fontId="18" fillId="8" borderId="0" xfId="0" applyFont="1" applyFill="1" applyAlignment="1">
      <alignment horizontal="left" vertical="center" indent="1"/>
    </xf>
    <xf numFmtId="0" fontId="17" fillId="8" borderId="0" xfId="0" applyFont="1" applyFill="1" applyAlignment="1">
      <alignment horizontal="left" indent="1"/>
    </xf>
    <xf numFmtId="0" fontId="19" fillId="8" borderId="0" xfId="0" applyFont="1" applyFill="1"/>
    <xf numFmtId="0" fontId="0" fillId="0" borderId="0" xfId="0" applyAlignment="1">
      <alignment wrapText="1"/>
    </xf>
    <xf numFmtId="0" fontId="0" fillId="0" borderId="0" xfId="0"/>
    <xf numFmtId="0" fontId="0" fillId="3" borderId="0" xfId="0" applyFill="1"/>
    <xf numFmtId="0" fontId="7" fillId="0" borderId="0" xfId="0" applyFont="1" applyAlignment="1">
      <alignment wrapText="1"/>
    </xf>
    <xf numFmtId="164" fontId="7" fillId="0" borderId="0" xfId="0" applyNumberFormat="1" applyFont="1"/>
    <xf numFmtId="164" fontId="7" fillId="0" borderId="0" xfId="1" applyNumberFormat="1" applyFont="1"/>
    <xf numFmtId="164" fontId="7" fillId="0" borderId="0" xfId="0" applyNumberFormat="1" applyFont="1" applyFill="1"/>
    <xf numFmtId="0" fontId="7" fillId="0" borderId="0" xfId="0" applyFont="1" applyFill="1"/>
    <xf numFmtId="164" fontId="7" fillId="0" borderId="0" xfId="1" applyNumberFormat="1" applyFont="1" applyFill="1"/>
    <xf numFmtId="0" fontId="0" fillId="0" borderId="0" xfId="0" applyAlignment="1">
      <alignment vertical="top" wrapText="1"/>
    </xf>
    <xf numFmtId="0" fontId="0" fillId="0" borderId="0" xfId="0" applyAlignment="1">
      <alignment vertical="top"/>
    </xf>
    <xf numFmtId="0" fontId="7" fillId="0" borderId="0" xfId="0" applyFont="1" applyAlignment="1">
      <alignment vertical="top"/>
    </xf>
    <xf numFmtId="0" fontId="0" fillId="8" borderId="0" xfId="0" applyFill="1" applyAlignment="1">
      <alignment vertical="top" wrapText="1"/>
    </xf>
    <xf numFmtId="0" fontId="0" fillId="0" borderId="0" xfId="0" applyFill="1" applyAlignment="1">
      <alignment horizontal="center"/>
    </xf>
    <xf numFmtId="0" fontId="0" fillId="0" borderId="0" xfId="0" applyAlignment="1">
      <alignment wrapText="1"/>
    </xf>
    <xf numFmtId="0" fontId="0" fillId="0" borderId="0" xfId="0"/>
    <xf numFmtId="0" fontId="0" fillId="3" borderId="0" xfId="0" applyFill="1"/>
    <xf numFmtId="0" fontId="2" fillId="0" borderId="0" xfId="0" applyFont="1" applyFill="1" applyAlignment="1">
      <alignment wrapText="1"/>
    </xf>
  </cellXfs>
  <cellStyles count="6">
    <cellStyle name="Comma" xfId="1" builtinId="3"/>
    <cellStyle name="Comma 2" xfId="5"/>
    <cellStyle name="Hyperlink" xfId="3" builtinId="8"/>
    <cellStyle name="Normal" xfId="0" builtinId="0"/>
    <cellStyle name="Normal 2" xfId="4"/>
    <cellStyle name="Percent" xfId="2" builtinId="5"/>
  </cellStyles>
  <dxfs count="0"/>
  <tableStyles count="0" defaultTableStyle="TableStyleMedium2" defaultPivotStyle="PivotStyleLight16"/>
  <colors>
    <mruColors>
      <color rgb="FFFFC9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95250</xdr:rowOff>
    </xdr:from>
    <xdr:to>
      <xdr:col>7</xdr:col>
      <xdr:colOff>81915</xdr:colOff>
      <xdr:row>4</xdr:row>
      <xdr:rowOff>17780</xdr:rowOff>
    </xdr:to>
    <xdr:pic>
      <xdr:nvPicPr>
        <xdr:cNvPr id="2" name="Picture 1" descr="CAISO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95250"/>
          <a:ext cx="3663315" cy="68453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6:L27"/>
  <sheetViews>
    <sheetView workbookViewId="0">
      <selection activeCell="C9" sqref="C9"/>
    </sheetView>
  </sheetViews>
  <sheetFormatPr defaultRowHeight="15" x14ac:dyDescent="0.25"/>
  <cols>
    <col min="1" max="1" width="2.42578125" style="60" customWidth="1"/>
    <col min="2" max="10" width="9.140625" style="60"/>
    <col min="11" max="11" width="11.5703125" style="60" customWidth="1"/>
    <col min="12" max="16384" width="9.140625" style="60"/>
  </cols>
  <sheetData>
    <row r="6" spans="2:12" ht="27" x14ac:dyDescent="0.35">
      <c r="B6" s="137" t="s">
        <v>171</v>
      </c>
    </row>
    <row r="7" spans="2:12" ht="20.25" x14ac:dyDescent="0.25">
      <c r="B7" s="136" t="s">
        <v>172</v>
      </c>
    </row>
    <row r="9" spans="2:12" x14ac:dyDescent="0.25">
      <c r="B9" s="138" t="s">
        <v>173</v>
      </c>
    </row>
    <row r="11" spans="2:12" x14ac:dyDescent="0.25">
      <c r="B11" s="151" t="s">
        <v>180</v>
      </c>
      <c r="C11" s="151"/>
      <c r="D11" s="151"/>
      <c r="E11" s="151"/>
      <c r="F11" s="151"/>
      <c r="G11" s="151"/>
      <c r="H11" s="151"/>
      <c r="I11" s="151"/>
      <c r="J11" s="151"/>
      <c r="K11" s="151"/>
      <c r="L11" s="151"/>
    </row>
    <row r="12" spans="2:12" x14ac:dyDescent="0.25">
      <c r="B12" s="151"/>
      <c r="C12" s="151"/>
      <c r="D12" s="151"/>
      <c r="E12" s="151"/>
      <c r="F12" s="151"/>
      <c r="G12" s="151"/>
      <c r="H12" s="151"/>
      <c r="I12" s="151"/>
      <c r="J12" s="151"/>
      <c r="K12" s="151"/>
      <c r="L12" s="151"/>
    </row>
    <row r="13" spans="2:12" x14ac:dyDescent="0.25">
      <c r="B13" s="151"/>
      <c r="C13" s="151"/>
      <c r="D13" s="151"/>
      <c r="E13" s="151"/>
      <c r="F13" s="151"/>
      <c r="G13" s="151"/>
      <c r="H13" s="151"/>
      <c r="I13" s="151"/>
      <c r="J13" s="151"/>
      <c r="K13" s="151"/>
      <c r="L13" s="151"/>
    </row>
    <row r="14" spans="2:12" x14ac:dyDescent="0.25">
      <c r="B14" s="151"/>
      <c r="C14" s="151"/>
      <c r="D14" s="151"/>
      <c r="E14" s="151"/>
      <c r="F14" s="151"/>
      <c r="G14" s="151"/>
      <c r="H14" s="151"/>
      <c r="I14" s="151"/>
      <c r="J14" s="151"/>
      <c r="K14" s="151"/>
      <c r="L14" s="151"/>
    </row>
    <row r="15" spans="2:12" x14ac:dyDescent="0.25">
      <c r="B15" s="151"/>
      <c r="C15" s="151"/>
      <c r="D15" s="151"/>
      <c r="E15" s="151"/>
      <c r="F15" s="151"/>
      <c r="G15" s="151"/>
      <c r="H15" s="151"/>
      <c r="I15" s="151"/>
      <c r="J15" s="151"/>
      <c r="K15" s="151"/>
      <c r="L15" s="151"/>
    </row>
    <row r="16" spans="2:12" x14ac:dyDescent="0.25">
      <c r="B16" s="151"/>
      <c r="C16" s="151"/>
      <c r="D16" s="151"/>
      <c r="E16" s="151"/>
      <c r="F16" s="151"/>
      <c r="G16" s="151"/>
      <c r="H16" s="151"/>
      <c r="I16" s="151"/>
      <c r="J16" s="151"/>
      <c r="K16" s="151"/>
      <c r="L16" s="151"/>
    </row>
    <row r="17" spans="2:12" x14ac:dyDescent="0.25">
      <c r="B17" s="151"/>
      <c r="C17" s="151"/>
      <c r="D17" s="151"/>
      <c r="E17" s="151"/>
      <c r="F17" s="151"/>
      <c r="G17" s="151"/>
      <c r="H17" s="151"/>
      <c r="I17" s="151"/>
      <c r="J17" s="151"/>
      <c r="K17" s="151"/>
      <c r="L17" s="151"/>
    </row>
    <row r="18" spans="2:12" x14ac:dyDescent="0.25">
      <c r="B18" s="151"/>
      <c r="C18" s="151"/>
      <c r="D18" s="151"/>
      <c r="E18" s="151"/>
      <c r="F18" s="151"/>
      <c r="G18" s="151"/>
      <c r="H18" s="151"/>
      <c r="I18" s="151"/>
      <c r="J18" s="151"/>
      <c r="K18" s="151"/>
      <c r="L18" s="151"/>
    </row>
    <row r="19" spans="2:12" x14ac:dyDescent="0.25">
      <c r="B19" s="151"/>
      <c r="C19" s="151"/>
      <c r="D19" s="151"/>
      <c r="E19" s="151"/>
      <c r="F19" s="151"/>
      <c r="G19" s="151"/>
      <c r="H19" s="151"/>
      <c r="I19" s="151"/>
      <c r="J19" s="151"/>
      <c r="K19" s="151"/>
      <c r="L19" s="151"/>
    </row>
    <row r="20" spans="2:12" x14ac:dyDescent="0.25">
      <c r="B20" s="151"/>
      <c r="C20" s="151"/>
      <c r="D20" s="151"/>
      <c r="E20" s="151"/>
      <c r="F20" s="151"/>
      <c r="G20" s="151"/>
      <c r="H20" s="151"/>
      <c r="I20" s="151"/>
      <c r="J20" s="151"/>
      <c r="K20" s="151"/>
      <c r="L20" s="151"/>
    </row>
    <row r="21" spans="2:12" x14ac:dyDescent="0.25">
      <c r="B21" s="151"/>
      <c r="C21" s="151"/>
      <c r="D21" s="151"/>
      <c r="E21" s="151"/>
      <c r="F21" s="151"/>
      <c r="G21" s="151"/>
      <c r="H21" s="151"/>
      <c r="I21" s="151"/>
      <c r="J21" s="151"/>
      <c r="K21" s="151"/>
      <c r="L21" s="151"/>
    </row>
    <row r="22" spans="2:12" x14ac:dyDescent="0.25">
      <c r="B22" s="151"/>
      <c r="C22" s="151"/>
      <c r="D22" s="151"/>
      <c r="E22" s="151"/>
      <c r="F22" s="151"/>
      <c r="G22" s="151"/>
      <c r="H22" s="151"/>
      <c r="I22" s="151"/>
      <c r="J22" s="151"/>
      <c r="K22" s="151"/>
      <c r="L22" s="151"/>
    </row>
    <row r="23" spans="2:12" x14ac:dyDescent="0.25">
      <c r="B23" s="151"/>
      <c r="C23" s="151"/>
      <c r="D23" s="151"/>
      <c r="E23" s="151"/>
      <c r="F23" s="151"/>
      <c r="G23" s="151"/>
      <c r="H23" s="151"/>
      <c r="I23" s="151"/>
      <c r="J23" s="151"/>
      <c r="K23" s="151"/>
      <c r="L23" s="151"/>
    </row>
    <row r="24" spans="2:12" x14ac:dyDescent="0.25">
      <c r="B24" s="151"/>
      <c r="C24" s="151"/>
      <c r="D24" s="151"/>
      <c r="E24" s="151"/>
      <c r="F24" s="151"/>
      <c r="G24" s="151"/>
      <c r="H24" s="151"/>
      <c r="I24" s="151"/>
      <c r="J24" s="151"/>
      <c r="K24" s="151"/>
      <c r="L24" s="151"/>
    </row>
    <row r="27" spans="2:12" x14ac:dyDescent="0.25">
      <c r="B27" s="152" t="s">
        <v>210</v>
      </c>
      <c r="C27" s="152"/>
      <c r="D27" s="152"/>
      <c r="E27" s="152"/>
      <c r="F27" s="152"/>
      <c r="G27" s="152"/>
      <c r="H27" s="152"/>
      <c r="I27" s="152"/>
      <c r="J27" s="152"/>
      <c r="K27" s="152"/>
      <c r="L27" s="152"/>
    </row>
  </sheetData>
  <mergeCells count="2">
    <mergeCell ref="B11:L24"/>
    <mergeCell ref="B27:L27"/>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I62"/>
  <sheetViews>
    <sheetView topLeftCell="A16" workbookViewId="0">
      <selection activeCell="G29" sqref="G29"/>
    </sheetView>
  </sheetViews>
  <sheetFormatPr defaultRowHeight="15" x14ac:dyDescent="0.25"/>
  <cols>
    <col min="1" max="1" width="1.7109375" customWidth="1"/>
    <col min="2" max="2" width="33.140625" customWidth="1"/>
    <col min="3" max="3" width="3.85546875" customWidth="1"/>
    <col min="4" max="4" width="19.42578125" bestFit="1" customWidth="1"/>
    <col min="5" max="5" width="19.42578125" customWidth="1"/>
    <col min="6" max="6" width="19.85546875" style="1" bestFit="1" customWidth="1"/>
    <col min="7" max="7" width="19.42578125" customWidth="1"/>
    <col min="8" max="8" width="19.42578125" bestFit="1" customWidth="1"/>
    <col min="9" max="9" width="19.85546875" style="1" bestFit="1" customWidth="1"/>
  </cols>
  <sheetData>
    <row r="1" spans="2:9" x14ac:dyDescent="0.25">
      <c r="B1" s="26" t="s">
        <v>145</v>
      </c>
    </row>
    <row r="3" spans="2:9" x14ac:dyDescent="0.25">
      <c r="B3" s="153" t="s">
        <v>211</v>
      </c>
      <c r="C3" s="153"/>
      <c r="D3" s="153"/>
      <c r="E3" s="153"/>
      <c r="F3" s="153"/>
      <c r="G3" s="153"/>
      <c r="H3" s="153"/>
      <c r="I3" s="153"/>
    </row>
    <row r="4" spans="2:9" x14ac:dyDescent="0.25">
      <c r="B4" s="153"/>
      <c r="C4" s="153"/>
      <c r="D4" s="153"/>
      <c r="E4" s="153"/>
      <c r="F4" s="153"/>
      <c r="G4" s="153"/>
      <c r="H4" s="153"/>
      <c r="I4" s="153"/>
    </row>
    <row r="5" spans="2:9" x14ac:dyDescent="0.25">
      <c r="B5" s="153"/>
      <c r="C5" s="153"/>
      <c r="D5" s="153"/>
      <c r="E5" s="153"/>
      <c r="F5" s="153"/>
      <c r="G5" s="153"/>
      <c r="H5" s="153"/>
      <c r="I5" s="153"/>
    </row>
    <row r="6" spans="2:9" x14ac:dyDescent="0.25">
      <c r="B6" s="153"/>
      <c r="C6" s="153"/>
      <c r="D6" s="153"/>
      <c r="E6" s="153"/>
      <c r="F6" s="153"/>
      <c r="G6" s="153"/>
      <c r="H6" s="153"/>
      <c r="I6" s="153"/>
    </row>
    <row r="7" spans="2:9" x14ac:dyDescent="0.25">
      <c r="B7" s="153"/>
      <c r="C7" s="153"/>
      <c r="D7" s="153"/>
      <c r="E7" s="153"/>
      <c r="F7" s="153"/>
      <c r="G7" s="153"/>
      <c r="H7" s="153"/>
      <c r="I7" s="153"/>
    </row>
    <row r="8" spans="2:9" x14ac:dyDescent="0.25">
      <c r="B8" s="153"/>
      <c r="C8" s="153"/>
      <c r="D8" s="153"/>
      <c r="E8" s="153"/>
      <c r="F8" s="153"/>
      <c r="G8" s="153"/>
      <c r="H8" s="153"/>
      <c r="I8" s="153"/>
    </row>
    <row r="10" spans="2:9" x14ac:dyDescent="0.25">
      <c r="B10" s="7" t="s">
        <v>45</v>
      </c>
      <c r="C10" s="7"/>
      <c r="D10" s="7"/>
      <c r="E10" s="7"/>
      <c r="F10" s="7"/>
      <c r="G10" s="7"/>
      <c r="H10" s="155"/>
      <c r="I10" s="155"/>
    </row>
    <row r="11" spans="2:9" x14ac:dyDescent="0.25">
      <c r="D11" s="54" t="s">
        <v>29</v>
      </c>
    </row>
    <row r="12" spans="2:9" x14ac:dyDescent="0.25">
      <c r="B12" s="88" t="s">
        <v>14</v>
      </c>
      <c r="C12" s="20"/>
      <c r="D12" s="90" t="s">
        <v>22</v>
      </c>
      <c r="E12" s="22"/>
    </row>
    <row r="13" spans="2:9" x14ac:dyDescent="0.25">
      <c r="B13" s="91" t="s">
        <v>38</v>
      </c>
      <c r="C13" s="22"/>
      <c r="D13" s="126">
        <f>VLOOKUP(B13, '1a. NYISO'!$B$27:$U$29, 20, FALSE)</f>
        <v>123202.91874697107</v>
      </c>
    </row>
    <row r="14" spans="2:9" x14ac:dyDescent="0.25">
      <c r="B14" s="91" t="s">
        <v>39</v>
      </c>
      <c r="C14" s="22"/>
      <c r="D14" s="126">
        <f>VLOOKUP(B14, '1a. NYISO'!$B$27:$U$29, 20, FALSE)</f>
        <v>125118.29134130884</v>
      </c>
      <c r="E14" s="125"/>
    </row>
    <row r="15" spans="2:9" x14ac:dyDescent="0.25">
      <c r="B15" s="29" t="s">
        <v>41</v>
      </c>
      <c r="C15" s="24"/>
      <c r="D15" s="127">
        <f>VLOOKUP(B15, '1a. NYISO'!$B$27:$U$29, 20, FALSE)</f>
        <v>266407.49176583422</v>
      </c>
      <c r="E15" s="125"/>
    </row>
    <row r="16" spans="2:9" x14ac:dyDescent="0.25">
      <c r="B16" s="22"/>
      <c r="C16" s="22"/>
      <c r="D16" s="22"/>
      <c r="E16" s="22"/>
    </row>
    <row r="17" spans="2:9" x14ac:dyDescent="0.25">
      <c r="B17" s="96" t="s">
        <v>27</v>
      </c>
      <c r="C17" s="20"/>
      <c r="D17" s="97" t="s">
        <v>112</v>
      </c>
      <c r="E17" s="98" t="s">
        <v>143</v>
      </c>
    </row>
    <row r="18" spans="2:9" x14ac:dyDescent="0.25">
      <c r="B18" s="91" t="s">
        <v>38</v>
      </c>
      <c r="C18" s="22"/>
      <c r="D18" s="122"/>
      <c r="E18" s="104">
        <f>'1a. NYISO'!E27</f>
        <v>48000</v>
      </c>
    </row>
    <row r="19" spans="2:9" x14ac:dyDescent="0.25">
      <c r="B19" s="91" t="s">
        <v>39</v>
      </c>
      <c r="C19" s="22"/>
      <c r="D19" s="93">
        <f>'1a. NYISO'!D28</f>
        <v>2400</v>
      </c>
      <c r="E19" s="123"/>
    </row>
    <row r="20" spans="2:9" x14ac:dyDescent="0.25">
      <c r="B20" s="29" t="s">
        <v>41</v>
      </c>
      <c r="C20" s="24"/>
      <c r="D20" s="108"/>
      <c r="E20" s="110">
        <f>'1a. NYISO'!E29</f>
        <v>50000</v>
      </c>
    </row>
    <row r="21" spans="2:9" x14ac:dyDescent="0.25">
      <c r="B21" s="26"/>
      <c r="D21" s="35"/>
    </row>
    <row r="22" spans="2:9" x14ac:dyDescent="0.25">
      <c r="B22" s="88" t="s">
        <v>148</v>
      </c>
      <c r="C22" s="20"/>
      <c r="D22" s="97" t="s">
        <v>68</v>
      </c>
      <c r="E22" s="98" t="s">
        <v>69</v>
      </c>
    </row>
    <row r="23" spans="2:9" x14ac:dyDescent="0.25">
      <c r="B23" s="91" t="s">
        <v>38</v>
      </c>
      <c r="C23" s="22"/>
      <c r="D23" s="122"/>
      <c r="E23" s="128">
        <f>D13/E18</f>
        <v>2.5667274738952308</v>
      </c>
      <c r="F23" s="31" t="s">
        <v>156</v>
      </c>
    </row>
    <row r="24" spans="2:9" x14ac:dyDescent="0.25">
      <c r="B24" s="91" t="s">
        <v>39</v>
      </c>
      <c r="C24" s="22"/>
      <c r="D24" s="113">
        <f>D14/D19</f>
        <v>52.132621392212016</v>
      </c>
      <c r="E24" s="123"/>
      <c r="F24" s="31" t="s">
        <v>156</v>
      </c>
    </row>
    <row r="25" spans="2:9" x14ac:dyDescent="0.25">
      <c r="B25" s="29" t="s">
        <v>41</v>
      </c>
      <c r="C25" s="24"/>
      <c r="D25" s="108"/>
      <c r="E25" s="120">
        <f>D15/E20</f>
        <v>5.3281498353166841</v>
      </c>
      <c r="F25" s="31" t="s">
        <v>156</v>
      </c>
    </row>
    <row r="27" spans="2:9" x14ac:dyDescent="0.25">
      <c r="B27" s="7" t="s">
        <v>44</v>
      </c>
      <c r="C27" s="7"/>
      <c r="D27" s="7"/>
      <c r="E27" s="7"/>
      <c r="F27" s="7"/>
      <c r="G27" s="7"/>
      <c r="H27" s="155"/>
      <c r="I27" s="155"/>
    </row>
    <row r="28" spans="2:9" s="10" customFormat="1" x14ac:dyDescent="0.25">
      <c r="D28" s="40" t="s">
        <v>137</v>
      </c>
      <c r="E28" s="40" t="s">
        <v>138</v>
      </c>
      <c r="F28" s="40" t="s">
        <v>139</v>
      </c>
      <c r="G28" s="40" t="s">
        <v>140</v>
      </c>
      <c r="H28" s="40" t="s">
        <v>141</v>
      </c>
      <c r="I28" s="40" t="s">
        <v>142</v>
      </c>
    </row>
    <row r="29" spans="2:9" ht="33.75" customHeight="1" x14ac:dyDescent="0.25">
      <c r="D29" s="54" t="s">
        <v>29</v>
      </c>
      <c r="E29" s="54" t="s">
        <v>42</v>
      </c>
      <c r="F29" s="55" t="s">
        <v>63</v>
      </c>
      <c r="G29" s="55" t="s">
        <v>43</v>
      </c>
      <c r="H29" s="55" t="s">
        <v>37</v>
      </c>
      <c r="I29" s="55" t="s">
        <v>179</v>
      </c>
    </row>
    <row r="30" spans="2:9" x14ac:dyDescent="0.25">
      <c r="B30" s="88" t="s">
        <v>14</v>
      </c>
      <c r="C30" s="20"/>
      <c r="D30" s="89" t="s">
        <v>32</v>
      </c>
      <c r="E30" s="89" t="s">
        <v>32</v>
      </c>
      <c r="F30" s="89" t="s">
        <v>32</v>
      </c>
      <c r="G30" s="89" t="s">
        <v>32</v>
      </c>
      <c r="H30" s="89" t="s">
        <v>32</v>
      </c>
      <c r="I30" s="90" t="s">
        <v>32</v>
      </c>
    </row>
    <row r="31" spans="2:9" x14ac:dyDescent="0.25">
      <c r="B31" s="91" t="s">
        <v>38</v>
      </c>
      <c r="C31" s="22"/>
      <c r="D31" s="6">
        <f>VLOOKUP(B31, '1a. NYISO'!$B$41:$W$43, 22, FALSE)</f>
        <v>11053.280210532623</v>
      </c>
      <c r="E31" s="92"/>
      <c r="F31" s="93">
        <f>VLOOKUP(B31, '1c. APS 2017'!$B$18:$L$22, 11,FALSE)</f>
        <v>6626.3296418383834</v>
      </c>
      <c r="G31" s="92"/>
      <c r="H31" s="6">
        <f>VLOOKUP($B31, '1e. PSE 2018'!$B$13:$I$14, 8, FALSE)</f>
        <v>3804.1675589225597</v>
      </c>
      <c r="I31" s="107">
        <f>VLOOKUP(B31, '1f. EIA 2020'!$B$15:$I$18, 8, FALSE)</f>
        <v>5823.5305797991032</v>
      </c>
    </row>
    <row r="32" spans="2:9" x14ac:dyDescent="0.25">
      <c r="B32" s="91" t="s">
        <v>39</v>
      </c>
      <c r="C32" s="22"/>
      <c r="D32" s="6">
        <f>VLOOKUP(B32, '1a. NYISO'!$B$41:$W$43, 22, FALSE)</f>
        <v>3324.3786743995202</v>
      </c>
      <c r="E32" s="92"/>
      <c r="F32" s="93">
        <f>VLOOKUP(B32, '1c. APS 2017'!$B$18:$L$22, 11,FALSE)</f>
        <v>1234.6479983515148</v>
      </c>
      <c r="G32" s="6">
        <f>VLOOKUP($B32, '1d. PAC 2019'!$B$12:$K$13, 5, FALSE)</f>
        <v>6177.6061776061779</v>
      </c>
      <c r="H32" s="6">
        <f>VLOOKUP($B32, '1e. PSE 2018'!$B$13:$I$14, 8, FALSE)</f>
        <v>2101.6906890235696</v>
      </c>
      <c r="I32" s="107">
        <f>VLOOKUP(B32, '1f. EIA 2020'!$B$15:$I$18, 8, FALSE)</f>
        <v>4167.7161536421736</v>
      </c>
    </row>
    <row r="33" spans="2:9" x14ac:dyDescent="0.25">
      <c r="B33" s="91" t="s">
        <v>41</v>
      </c>
      <c r="C33" s="22"/>
      <c r="D33" s="6">
        <f>VLOOKUP(B33, '1a. NYISO'!$B$41:$W$43, 22, FALSE)</f>
        <v>3657.0749778563663</v>
      </c>
      <c r="E33" s="92"/>
      <c r="F33" s="93">
        <f>VLOOKUP(B33, '1c. APS 2017'!$B$18:$L$22, 11,FALSE)</f>
        <v>200.96799835151469</v>
      </c>
      <c r="G33" s="6">
        <f>VLOOKUP($B33, '1d. PAC 2019'!$B$12:$K$13, 5, FALSE)</f>
        <v>3750</v>
      </c>
      <c r="H33" s="92"/>
      <c r="I33" s="107">
        <f>VLOOKUP(B33, '1f. EIA 2020'!$B$15:$I$18, 8, FALSE)</f>
        <v>1284.473496276177</v>
      </c>
    </row>
    <row r="34" spans="2:9" x14ac:dyDescent="0.25">
      <c r="B34" s="29" t="s">
        <v>11</v>
      </c>
      <c r="C34" s="24"/>
      <c r="D34" s="94"/>
      <c r="E34" s="95">
        <f>'1b. EPA 2016'!H14</f>
        <v>8321.2926161142459</v>
      </c>
      <c r="F34" s="94"/>
      <c r="G34" s="94"/>
      <c r="H34" s="94"/>
      <c r="I34" s="111">
        <f>VLOOKUP(B34, '1f. EIA 2020'!$B$15:$I$18, 8, FALSE)</f>
        <v>4021.3807320612618</v>
      </c>
    </row>
    <row r="35" spans="2:9" x14ac:dyDescent="0.25">
      <c r="B35" s="10"/>
      <c r="C35" s="10"/>
      <c r="D35" s="13"/>
      <c r="E35" s="13"/>
      <c r="F35" s="13"/>
      <c r="G35" s="13"/>
      <c r="H35" s="13"/>
      <c r="I35" s="14"/>
    </row>
    <row r="36" spans="2:9" x14ac:dyDescent="0.25">
      <c r="B36" s="96" t="s">
        <v>27</v>
      </c>
      <c r="C36" s="20"/>
      <c r="D36" s="97" t="s">
        <v>58</v>
      </c>
      <c r="E36" s="97" t="s">
        <v>58</v>
      </c>
      <c r="F36" s="97" t="s">
        <v>58</v>
      </c>
      <c r="G36" s="97" t="s">
        <v>58</v>
      </c>
      <c r="H36" s="97" t="s">
        <v>58</v>
      </c>
      <c r="I36" s="98" t="s">
        <v>58</v>
      </c>
    </row>
    <row r="37" spans="2:9" x14ac:dyDescent="0.25">
      <c r="B37" s="99"/>
      <c r="C37" s="100" t="s">
        <v>62</v>
      </c>
      <c r="D37" s="101" t="s">
        <v>146</v>
      </c>
      <c r="E37" s="101" t="s">
        <v>146</v>
      </c>
      <c r="F37" s="102" t="s">
        <v>24</v>
      </c>
      <c r="G37" s="101" t="s">
        <v>65</v>
      </c>
      <c r="H37" s="101" t="s">
        <v>147</v>
      </c>
      <c r="I37" s="103" t="s">
        <v>146</v>
      </c>
    </row>
    <row r="38" spans="2:9" x14ac:dyDescent="0.25">
      <c r="B38" s="91" t="s">
        <v>39</v>
      </c>
      <c r="C38" s="22"/>
      <c r="D38" s="93">
        <v>63.767725190510795</v>
      </c>
      <c r="E38" s="92"/>
      <c r="F38" s="93">
        <v>63.767725190510795</v>
      </c>
      <c r="G38" s="93">
        <v>63.767725190510795</v>
      </c>
      <c r="H38" s="93">
        <v>63.767725190510795</v>
      </c>
      <c r="I38" s="104">
        <v>63.767725190510795</v>
      </c>
    </row>
    <row r="39" spans="2:9" x14ac:dyDescent="0.25">
      <c r="B39" s="91"/>
      <c r="C39" s="22"/>
      <c r="D39" s="22"/>
      <c r="E39" s="22"/>
      <c r="F39" s="93"/>
      <c r="G39" s="22"/>
      <c r="H39" s="22"/>
      <c r="I39" s="104"/>
    </row>
    <row r="40" spans="2:9" x14ac:dyDescent="0.25">
      <c r="B40" s="91"/>
      <c r="C40" s="22"/>
      <c r="D40" s="105" t="s">
        <v>61</v>
      </c>
      <c r="E40" s="105" t="s">
        <v>61</v>
      </c>
      <c r="F40" s="105" t="s">
        <v>61</v>
      </c>
      <c r="G40" s="105" t="s">
        <v>61</v>
      </c>
      <c r="H40" s="105" t="s">
        <v>61</v>
      </c>
      <c r="I40" s="106" t="s">
        <v>61</v>
      </c>
    </row>
    <row r="41" spans="2:9" x14ac:dyDescent="0.25">
      <c r="B41" s="99"/>
      <c r="C41" s="100" t="s">
        <v>62</v>
      </c>
      <c r="D41" s="101" t="s">
        <v>146</v>
      </c>
      <c r="E41" s="101" t="s">
        <v>146</v>
      </c>
      <c r="F41" s="102" t="s">
        <v>24</v>
      </c>
      <c r="G41" s="101" t="s">
        <v>65</v>
      </c>
      <c r="H41" s="101" t="s">
        <v>147</v>
      </c>
      <c r="I41" s="103" t="s">
        <v>146</v>
      </c>
    </row>
    <row r="42" spans="2:9" x14ac:dyDescent="0.25">
      <c r="B42" s="91" t="s">
        <v>38</v>
      </c>
      <c r="C42" s="22"/>
      <c r="D42" s="6">
        <v>4306.3707865168535</v>
      </c>
      <c r="E42" s="92"/>
      <c r="F42" s="6">
        <v>4306.3707865168535</v>
      </c>
      <c r="G42" s="92"/>
      <c r="H42" s="6">
        <v>4306.3707865168535</v>
      </c>
      <c r="I42" s="107">
        <v>4306.3707865168535</v>
      </c>
    </row>
    <row r="43" spans="2:9" x14ac:dyDescent="0.25">
      <c r="B43" s="91" t="s">
        <v>41</v>
      </c>
      <c r="C43" s="22"/>
      <c r="D43" s="93">
        <v>686.36864406779659</v>
      </c>
      <c r="E43" s="92"/>
      <c r="F43" s="93">
        <v>686.36864406779659</v>
      </c>
      <c r="G43" s="93">
        <v>686.36864406779659</v>
      </c>
      <c r="H43" s="92"/>
      <c r="I43" s="107">
        <v>686.36864406779659</v>
      </c>
    </row>
    <row r="44" spans="2:9" x14ac:dyDescent="0.25">
      <c r="B44" s="29" t="s">
        <v>11</v>
      </c>
      <c r="C44" s="24"/>
      <c r="D44" s="108"/>
      <c r="E44" s="109">
        <v>5506.9934782608698</v>
      </c>
      <c r="F44" s="94"/>
      <c r="G44" s="94"/>
      <c r="H44" s="94"/>
      <c r="I44" s="110">
        <v>5506.9934782608698</v>
      </c>
    </row>
    <row r="45" spans="2:9" x14ac:dyDescent="0.25">
      <c r="D45" s="10"/>
      <c r="E45" s="13"/>
      <c r="F45" s="13"/>
      <c r="G45" s="13"/>
      <c r="H45" s="13"/>
      <c r="I45" s="13"/>
    </row>
    <row r="46" spans="2:9" x14ac:dyDescent="0.25">
      <c r="B46" s="88" t="s">
        <v>113</v>
      </c>
      <c r="C46" s="112"/>
      <c r="D46" s="97" t="s">
        <v>68</v>
      </c>
      <c r="E46" s="97" t="s">
        <v>68</v>
      </c>
      <c r="F46" s="97" t="s">
        <v>68</v>
      </c>
      <c r="G46" s="97" t="s">
        <v>68</v>
      </c>
      <c r="H46" s="97" t="s">
        <v>68</v>
      </c>
      <c r="I46" s="98" t="s">
        <v>68</v>
      </c>
    </row>
    <row r="47" spans="2:9" x14ac:dyDescent="0.25">
      <c r="B47" s="91" t="s">
        <v>39</v>
      </c>
      <c r="C47" s="22"/>
      <c r="D47" s="113">
        <f>D32/D38</f>
        <v>52.132621392212016</v>
      </c>
      <c r="E47" s="114"/>
      <c r="F47" s="115">
        <f>F32/F38</f>
        <v>19.361644070929497</v>
      </c>
      <c r="G47" s="113">
        <f>G32/G38</f>
        <v>96.876690506837477</v>
      </c>
      <c r="H47" s="113">
        <f>H32/H38</f>
        <v>32.958533219502705</v>
      </c>
      <c r="I47" s="116">
        <f>I32/I38</f>
        <v>65.357767447259775</v>
      </c>
    </row>
    <row r="48" spans="2:9" x14ac:dyDescent="0.25">
      <c r="B48" s="117"/>
      <c r="C48" s="22"/>
      <c r="D48" s="22"/>
      <c r="E48" s="22"/>
      <c r="F48" s="93"/>
      <c r="G48" s="22"/>
      <c r="H48" s="22"/>
      <c r="I48" s="104"/>
    </row>
    <row r="49" spans="2:9" x14ac:dyDescent="0.25">
      <c r="B49" s="99"/>
      <c r="C49" s="100"/>
      <c r="D49" s="105" t="s">
        <v>69</v>
      </c>
      <c r="E49" s="105" t="s">
        <v>69</v>
      </c>
      <c r="F49" s="105" t="s">
        <v>69</v>
      </c>
      <c r="G49" s="105" t="s">
        <v>69</v>
      </c>
      <c r="H49" s="105" t="s">
        <v>69</v>
      </c>
      <c r="I49" s="106" t="s">
        <v>69</v>
      </c>
    </row>
    <row r="50" spans="2:9" x14ac:dyDescent="0.25">
      <c r="B50" s="91" t="s">
        <v>38</v>
      </c>
      <c r="C50" s="22"/>
      <c r="D50" s="113">
        <f>D31/D42</f>
        <v>2.5667274738952313</v>
      </c>
      <c r="E50" s="114"/>
      <c r="F50" s="113">
        <f>F31/F42</f>
        <v>1.5387271487595231</v>
      </c>
      <c r="G50" s="114"/>
      <c r="H50" s="113">
        <f>H31/H42</f>
        <v>0.88338133140632469</v>
      </c>
      <c r="I50" s="116">
        <f>I31/I42</f>
        <v>1.3523058901552187</v>
      </c>
    </row>
    <row r="51" spans="2:9" x14ac:dyDescent="0.25">
      <c r="B51" s="91" t="s">
        <v>41</v>
      </c>
      <c r="C51" s="22"/>
      <c r="D51" s="113">
        <f>D33/D43</f>
        <v>5.3281498353166841</v>
      </c>
      <c r="E51" s="114"/>
      <c r="F51" s="113">
        <f>F33/F43</f>
        <v>0.29279892094205856</v>
      </c>
      <c r="G51" s="113">
        <f>G33/G43</f>
        <v>5.4635362970188233</v>
      </c>
      <c r="H51" s="114"/>
      <c r="I51" s="116">
        <f>I33/I43</f>
        <v>1.8714046851902841</v>
      </c>
    </row>
    <row r="52" spans="2:9" x14ac:dyDescent="0.25">
      <c r="B52" s="29" t="s">
        <v>11</v>
      </c>
      <c r="C52" s="24"/>
      <c r="D52" s="118"/>
      <c r="E52" s="119">
        <f>E34/E44</f>
        <v>1.5110409425692914</v>
      </c>
      <c r="F52" s="118"/>
      <c r="G52" s="118"/>
      <c r="H52" s="118"/>
      <c r="I52" s="120">
        <f>I34/I44</f>
        <v>0.73023161329968189</v>
      </c>
    </row>
    <row r="53" spans="2:9" x14ac:dyDescent="0.25">
      <c r="B53" s="10"/>
    </row>
    <row r="54" spans="2:9" x14ac:dyDescent="0.25">
      <c r="B54" s="35"/>
    </row>
    <row r="55" spans="2:9" x14ac:dyDescent="0.25">
      <c r="B55" s="88" t="s">
        <v>148</v>
      </c>
      <c r="C55" s="20"/>
      <c r="D55" s="97" t="s">
        <v>68</v>
      </c>
      <c r="E55" s="98" t="s">
        <v>69</v>
      </c>
    </row>
    <row r="56" spans="2:9" x14ac:dyDescent="0.25">
      <c r="B56" s="91" t="s">
        <v>38</v>
      </c>
      <c r="C56" s="22"/>
      <c r="D56" s="114"/>
      <c r="E56" s="130">
        <f>(D50*0.5)+(AVERAGE(F50:I50)*0.5)</f>
        <v>1.9124327986677934</v>
      </c>
      <c r="F56" s="31" t="s">
        <v>156</v>
      </c>
    </row>
    <row r="57" spans="2:9" x14ac:dyDescent="0.25">
      <c r="B57" s="91" t="s">
        <v>39</v>
      </c>
      <c r="C57" s="22"/>
      <c r="D57" s="115">
        <f>(D47*0.5)+(AVERAGE(F47:I47)*0.5)</f>
        <v>52.885640101672188</v>
      </c>
      <c r="E57" s="129"/>
      <c r="F57" s="31" t="s">
        <v>156</v>
      </c>
    </row>
    <row r="58" spans="2:9" x14ac:dyDescent="0.25">
      <c r="B58" s="91" t="s">
        <v>41</v>
      </c>
      <c r="C58" s="22"/>
      <c r="D58" s="114"/>
      <c r="E58" s="130">
        <f>(D51*0.5)+(AVERAGE(F51:I51)*0.5)</f>
        <v>3.9353649015168699</v>
      </c>
      <c r="F58" s="31" t="s">
        <v>156</v>
      </c>
    </row>
    <row r="59" spans="2:9" x14ac:dyDescent="0.25">
      <c r="B59" s="29" t="s">
        <v>11</v>
      </c>
      <c r="C59" s="24"/>
      <c r="D59" s="118"/>
      <c r="E59" s="131">
        <f>(E52*0.5)+(AVERAGE(G52:I52)*0.5)</f>
        <v>1.1206362779344867</v>
      </c>
      <c r="F59" s="31" t="s">
        <v>156</v>
      </c>
    </row>
    <row r="61" spans="2:9" x14ac:dyDescent="0.25">
      <c r="B61" s="8" t="s">
        <v>66</v>
      </c>
    </row>
    <row r="62" spans="2:9" x14ac:dyDescent="0.25">
      <c r="B62" s="121" t="s">
        <v>67</v>
      </c>
    </row>
  </sheetData>
  <mergeCells count="3">
    <mergeCell ref="H10:I10"/>
    <mergeCell ref="H27:I27"/>
    <mergeCell ref="B3:I8"/>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24"/>
  <sheetViews>
    <sheetView tabSelected="1" zoomScaleNormal="100" workbookViewId="0">
      <selection activeCell="I18" sqref="I18"/>
    </sheetView>
  </sheetViews>
  <sheetFormatPr defaultRowHeight="15" x14ac:dyDescent="0.25"/>
  <cols>
    <col min="1" max="1" width="3.140625" style="10" customWidth="1"/>
    <col min="2" max="2" width="34.42578125" style="10" bestFit="1" customWidth="1"/>
    <col min="3" max="3" width="18.5703125" style="10" customWidth="1"/>
    <col min="4" max="4" width="19.85546875" style="10" bestFit="1" customWidth="1"/>
    <col min="5" max="5" width="19" style="10" bestFit="1" customWidth="1"/>
    <col min="6" max="6" width="19.85546875" style="10" bestFit="1" customWidth="1"/>
  </cols>
  <sheetData>
    <row r="1" spans="1:7" x14ac:dyDescent="0.25">
      <c r="A1"/>
      <c r="B1" s="156" t="s">
        <v>169</v>
      </c>
      <c r="C1" s="156"/>
      <c r="D1" s="156"/>
      <c r="E1" s="156"/>
      <c r="F1" s="156"/>
    </row>
    <row r="2" spans="1:7" x14ac:dyDescent="0.25">
      <c r="A2"/>
      <c r="B2" s="156"/>
      <c r="C2" s="156"/>
      <c r="D2" s="156"/>
      <c r="E2" s="156"/>
      <c r="F2" s="156"/>
    </row>
    <row r="3" spans="1:7" x14ac:dyDescent="0.25">
      <c r="A3"/>
      <c r="B3"/>
      <c r="C3"/>
      <c r="D3" s="1"/>
      <c r="E3"/>
      <c r="F3"/>
    </row>
    <row r="4" spans="1:7" x14ac:dyDescent="0.25">
      <c r="A4"/>
      <c r="B4" s="153" t="s">
        <v>170</v>
      </c>
      <c r="C4" s="153"/>
      <c r="D4" s="153"/>
      <c r="E4" s="153"/>
      <c r="F4" s="153"/>
    </row>
    <row r="5" spans="1:7" x14ac:dyDescent="0.25">
      <c r="A5"/>
      <c r="B5" s="153"/>
      <c r="C5" s="153"/>
      <c r="D5" s="153"/>
      <c r="E5" s="153"/>
      <c r="F5" s="153"/>
    </row>
    <row r="6" spans="1:7" x14ac:dyDescent="0.25">
      <c r="A6"/>
      <c r="B6" s="153"/>
      <c r="C6" s="153"/>
      <c r="D6" s="153"/>
      <c r="E6" s="153"/>
      <c r="F6" s="153"/>
    </row>
    <row r="7" spans="1:7" x14ac:dyDescent="0.25">
      <c r="A7"/>
      <c r="B7" s="16"/>
      <c r="C7" s="16"/>
      <c r="D7" s="16"/>
      <c r="E7" s="16"/>
      <c r="F7" s="16"/>
    </row>
    <row r="8" spans="1:7" x14ac:dyDescent="0.25">
      <c r="A8" s="60"/>
      <c r="B8" s="133" t="s">
        <v>45</v>
      </c>
      <c r="C8" s="7"/>
      <c r="D8" s="7"/>
      <c r="E8" s="7"/>
      <c r="F8" s="7"/>
    </row>
    <row r="9" spans="1:7" s="10" customFormat="1" x14ac:dyDescent="0.25">
      <c r="C9" s="10" t="s">
        <v>57</v>
      </c>
      <c r="D9" s="10" t="s">
        <v>57</v>
      </c>
      <c r="E9" s="10" t="s">
        <v>56</v>
      </c>
      <c r="F9" s="10" t="s">
        <v>56</v>
      </c>
    </row>
    <row r="10" spans="1:7" s="10" customFormat="1" ht="30" customHeight="1" x14ac:dyDescent="0.25">
      <c r="C10" s="41" t="s">
        <v>155</v>
      </c>
      <c r="D10" s="41" t="s">
        <v>154</v>
      </c>
      <c r="E10" s="41" t="s">
        <v>155</v>
      </c>
      <c r="F10" s="41" t="s">
        <v>154</v>
      </c>
    </row>
    <row r="11" spans="1:7" s="10" customFormat="1" x14ac:dyDescent="0.25">
      <c r="C11" s="67"/>
      <c r="D11" s="67"/>
    </row>
    <row r="12" spans="1:7" s="10" customFormat="1" ht="15.75" thickBot="1" x14ac:dyDescent="0.3">
      <c r="B12" s="135" t="s">
        <v>40</v>
      </c>
      <c r="C12" s="40" t="s">
        <v>168</v>
      </c>
      <c r="E12" s="40" t="s">
        <v>168</v>
      </c>
    </row>
    <row r="13" spans="1:7" ht="15.75" thickBot="1" x14ac:dyDescent="0.3">
      <c r="A13" s="60"/>
      <c r="B13" s="10" t="s">
        <v>38</v>
      </c>
      <c r="C13" s="62"/>
      <c r="D13" s="62"/>
      <c r="E13" s="33">
        <f>'Step 3 - Convert Ext. Estimates'!E23</f>
        <v>2.5667274738952308</v>
      </c>
      <c r="F13" s="64">
        <v>1.6947000000000001</v>
      </c>
    </row>
    <row r="14" spans="1:7" ht="15.75" thickBot="1" x14ac:dyDescent="0.3">
      <c r="A14" s="60"/>
      <c r="B14" s="10" t="s">
        <v>39</v>
      </c>
      <c r="C14" s="64">
        <f>'Step 3 - Convert Ext. Estimates'!D24</f>
        <v>52.132621392212016</v>
      </c>
      <c r="D14" s="134" t="s">
        <v>214</v>
      </c>
      <c r="E14" s="62" t="e">
        <f>#REF!/#REF!</f>
        <v>#REF!</v>
      </c>
      <c r="F14" s="62"/>
    </row>
    <row r="15" spans="1:7" ht="15.75" thickBot="1" x14ac:dyDescent="0.3">
      <c r="A15" s="60"/>
      <c r="B15" s="10" t="s">
        <v>41</v>
      </c>
      <c r="C15" s="51"/>
      <c r="D15" s="51"/>
      <c r="E15" s="65">
        <f>'Step 3 - Convert Ext. Estimates'!E25</f>
        <v>5.3281498353166841</v>
      </c>
      <c r="F15" s="134" t="s">
        <v>214</v>
      </c>
      <c r="G15" s="10"/>
    </row>
    <row r="16" spans="1:7" x14ac:dyDescent="0.25">
      <c r="A16" s="60"/>
    </row>
    <row r="17" spans="1:7" x14ac:dyDescent="0.25">
      <c r="A17" s="60"/>
      <c r="B17" s="133" t="s">
        <v>44</v>
      </c>
      <c r="C17" s="7"/>
      <c r="D17" s="7"/>
      <c r="E17" s="7"/>
      <c r="F17" s="7"/>
    </row>
    <row r="18" spans="1:7" s="10" customFormat="1" x14ac:dyDescent="0.25">
      <c r="C18" s="10" t="s">
        <v>57</v>
      </c>
      <c r="D18" s="10" t="s">
        <v>57</v>
      </c>
      <c r="E18" s="10" t="s">
        <v>56</v>
      </c>
      <c r="F18" s="10" t="s">
        <v>56</v>
      </c>
    </row>
    <row r="19" spans="1:7" s="10" customFormat="1" ht="30" customHeight="1" x14ac:dyDescent="0.25">
      <c r="C19" s="41" t="s">
        <v>155</v>
      </c>
      <c r="D19" s="41" t="s">
        <v>154</v>
      </c>
      <c r="E19" s="41" t="s">
        <v>155</v>
      </c>
      <c r="F19" s="41" t="s">
        <v>154</v>
      </c>
    </row>
    <row r="20" spans="1:7" s="10" customFormat="1" ht="15.75" thickBot="1" x14ac:dyDescent="0.3">
      <c r="B20" s="135" t="s">
        <v>40</v>
      </c>
      <c r="C20" s="40" t="s">
        <v>168</v>
      </c>
      <c r="E20" s="40" t="s">
        <v>168</v>
      </c>
    </row>
    <row r="21" spans="1:7" ht="15.75" thickBot="1" x14ac:dyDescent="0.3">
      <c r="B21" s="10" t="s">
        <v>38</v>
      </c>
      <c r="C21" s="62"/>
      <c r="D21" s="62"/>
      <c r="E21" s="61">
        <f>VLOOKUP(B21, 'Step 3 - Convert Ext. Estimates'!$B$56:$E$59, 4, FALSE)</f>
        <v>1.9124327986677934</v>
      </c>
      <c r="F21" s="64">
        <v>1.6947000000000001</v>
      </c>
    </row>
    <row r="22" spans="1:7" ht="15.75" thickBot="1" x14ac:dyDescent="0.3">
      <c r="B22" s="10" t="s">
        <v>39</v>
      </c>
      <c r="C22" s="68">
        <f>VLOOKUP(B22, 'Step 3 - Convert Ext. Estimates'!$B$56:$E$59, 3, FALSE)</f>
        <v>52.885640101672188</v>
      </c>
      <c r="D22" s="134" t="s">
        <v>214</v>
      </c>
      <c r="E22" s="62" t="e">
        <f>#REF!/#REF!</f>
        <v>#REF!</v>
      </c>
      <c r="F22" s="62"/>
    </row>
    <row r="23" spans="1:7" ht="15.75" thickBot="1" x14ac:dyDescent="0.3">
      <c r="B23" s="10" t="s">
        <v>41</v>
      </c>
      <c r="C23" s="56"/>
      <c r="D23" s="53"/>
      <c r="E23" s="65">
        <f>VLOOKUP(B23, 'Step 3 - Convert Ext. Estimates'!$B$56:$E$59, 4, FALSE)</f>
        <v>3.9353649015168699</v>
      </c>
      <c r="F23" s="134" t="s">
        <v>214</v>
      </c>
      <c r="G23" s="10"/>
    </row>
    <row r="24" spans="1:7" ht="15.75" thickBot="1" x14ac:dyDescent="0.3">
      <c r="B24" s="10" t="s">
        <v>11</v>
      </c>
      <c r="C24" s="56"/>
      <c r="D24" s="53"/>
      <c r="E24" s="63">
        <f>VLOOKUP(B24, 'Step 3 - Convert Ext. Estimates'!$B$56:$E$59, 4, FALSE)</f>
        <v>1.1206362779344867</v>
      </c>
      <c r="F24" s="65">
        <v>0.35736000000000001</v>
      </c>
    </row>
  </sheetData>
  <mergeCells count="2">
    <mergeCell ref="B4:F6"/>
    <mergeCell ref="B1:F2"/>
  </mergeCell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2"/>
  <sheetViews>
    <sheetView workbookViewId="0">
      <selection activeCell="B3" sqref="B3:H5"/>
    </sheetView>
  </sheetViews>
  <sheetFormatPr defaultRowHeight="15" x14ac:dyDescent="0.25"/>
  <cols>
    <col min="1" max="1" width="2.7109375" customWidth="1"/>
    <col min="2" max="2" width="20.140625" customWidth="1"/>
    <col min="3" max="3" width="21.5703125" bestFit="1" customWidth="1"/>
  </cols>
  <sheetData>
    <row r="1" spans="2:8" x14ac:dyDescent="0.25">
      <c r="B1" s="19" t="s">
        <v>160</v>
      </c>
    </row>
    <row r="3" spans="2:8" x14ac:dyDescent="0.25">
      <c r="B3" s="153" t="s">
        <v>213</v>
      </c>
      <c r="C3" s="153"/>
      <c r="D3" s="153"/>
      <c r="E3" s="153"/>
      <c r="F3" s="153"/>
      <c r="G3" s="153"/>
      <c r="H3" s="153"/>
    </row>
    <row r="4" spans="2:8" x14ac:dyDescent="0.25">
      <c r="B4" s="153"/>
      <c r="C4" s="153"/>
      <c r="D4" s="153"/>
      <c r="E4" s="153"/>
      <c r="F4" s="153"/>
      <c r="G4" s="153"/>
      <c r="H4" s="153"/>
    </row>
    <row r="5" spans="2:8" x14ac:dyDescent="0.25">
      <c r="B5" s="153"/>
      <c r="C5" s="153"/>
      <c r="D5" s="153"/>
      <c r="E5" s="153"/>
      <c r="F5" s="153"/>
      <c r="G5" s="153"/>
      <c r="H5" s="153"/>
    </row>
    <row r="7" spans="2:8" x14ac:dyDescent="0.25">
      <c r="B7" s="30" t="s">
        <v>158</v>
      </c>
      <c r="C7" s="17" t="s">
        <v>159</v>
      </c>
    </row>
    <row r="8" spans="2:8" x14ac:dyDescent="0.25">
      <c r="B8" s="15">
        <v>2010</v>
      </c>
      <c r="C8" s="79">
        <v>1.17313088</v>
      </c>
    </row>
    <row r="9" spans="2:8" x14ac:dyDescent="0.25">
      <c r="B9" s="15">
        <v>2015</v>
      </c>
      <c r="C9" s="79">
        <v>1.0792661516853932</v>
      </c>
    </row>
    <row r="10" spans="2:8" x14ac:dyDescent="0.25">
      <c r="B10" s="15">
        <v>2016</v>
      </c>
      <c r="C10" s="79">
        <v>1.0699999982144892</v>
      </c>
    </row>
    <row r="11" spans="2:8" x14ac:dyDescent="0.25">
      <c r="B11" s="15">
        <v>2017</v>
      </c>
      <c r="C11" s="79">
        <v>1.0436032996632996</v>
      </c>
    </row>
    <row r="12" spans="2:8" x14ac:dyDescent="0.25">
      <c r="B12" s="15">
        <v>2018</v>
      </c>
      <c r="C12" s="79">
        <v>1.0218016542902388</v>
      </c>
    </row>
  </sheetData>
  <mergeCells count="1">
    <mergeCell ref="B3:H5"/>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2"/>
  <sheetViews>
    <sheetView workbookViewId="0">
      <selection activeCell="H7" sqref="H7"/>
    </sheetView>
  </sheetViews>
  <sheetFormatPr defaultRowHeight="15" x14ac:dyDescent="0.25"/>
  <cols>
    <col min="1" max="1" width="2.42578125" customWidth="1"/>
    <col min="2" max="2" width="27.5703125" bestFit="1" customWidth="1"/>
    <col min="3" max="3" width="11.85546875" customWidth="1"/>
  </cols>
  <sheetData>
    <row r="1" spans="2:8" x14ac:dyDescent="0.25">
      <c r="B1" s="19" t="s">
        <v>162</v>
      </c>
    </row>
    <row r="3" spans="2:8" x14ac:dyDescent="0.25">
      <c r="B3" s="153" t="s">
        <v>161</v>
      </c>
      <c r="C3" s="153"/>
      <c r="D3" s="153"/>
      <c r="E3" s="153"/>
      <c r="F3" s="153"/>
      <c r="G3" s="153"/>
      <c r="H3" s="153"/>
    </row>
    <row r="4" spans="2:8" x14ac:dyDescent="0.25">
      <c r="B4" s="153"/>
      <c r="C4" s="153"/>
      <c r="D4" s="153"/>
      <c r="E4" s="153"/>
      <c r="F4" s="153"/>
      <c r="G4" s="153"/>
      <c r="H4" s="153"/>
    </row>
    <row r="5" spans="2:8" x14ac:dyDescent="0.25">
      <c r="B5" s="153"/>
      <c r="C5" s="153"/>
      <c r="D5" s="153"/>
      <c r="E5" s="153"/>
      <c r="F5" s="153"/>
      <c r="G5" s="153"/>
      <c r="H5" s="153"/>
    </row>
    <row r="7" spans="2:8" x14ac:dyDescent="0.25">
      <c r="C7" s="48" t="s">
        <v>12</v>
      </c>
    </row>
    <row r="8" spans="2:8" x14ac:dyDescent="0.25">
      <c r="B8" s="17" t="s">
        <v>10</v>
      </c>
      <c r="C8" s="30" t="s">
        <v>4</v>
      </c>
    </row>
    <row r="9" spans="2:8" x14ac:dyDescent="0.25">
      <c r="B9" t="s">
        <v>38</v>
      </c>
      <c r="C9" s="36">
        <v>0.59</v>
      </c>
    </row>
    <row r="10" spans="2:8" x14ac:dyDescent="0.25">
      <c r="B10" t="s">
        <v>39</v>
      </c>
      <c r="C10" s="36">
        <v>0.97</v>
      </c>
    </row>
    <row r="11" spans="2:8" x14ac:dyDescent="0.25">
      <c r="B11" t="s">
        <v>41</v>
      </c>
      <c r="C11" s="36">
        <v>2.15</v>
      </c>
    </row>
    <row r="12" spans="2:8" x14ac:dyDescent="0.25">
      <c r="B12" t="s">
        <v>11</v>
      </c>
      <c r="C12" s="36">
        <v>0</v>
      </c>
    </row>
  </sheetData>
  <mergeCells count="1">
    <mergeCell ref="B3:H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35"/>
  <sheetViews>
    <sheetView workbookViewId="0">
      <selection activeCell="A33" sqref="A33"/>
    </sheetView>
  </sheetViews>
  <sheetFormatPr defaultRowHeight="15" x14ac:dyDescent="0.25"/>
  <cols>
    <col min="1" max="1" width="24.28515625" bestFit="1" customWidth="1"/>
    <col min="2" max="2" width="10" bestFit="1" customWidth="1"/>
    <col min="3" max="3" width="19.7109375" bestFit="1" customWidth="1"/>
    <col min="4" max="4" width="20.140625" bestFit="1" customWidth="1"/>
    <col min="5" max="5" width="21.28515625" bestFit="1" customWidth="1"/>
    <col min="6" max="6" width="9.28515625" customWidth="1"/>
    <col min="7" max="7" width="12.140625" customWidth="1"/>
    <col min="8" max="8" width="17" customWidth="1"/>
    <col min="9" max="9" width="14" bestFit="1" customWidth="1"/>
    <col min="10" max="10" width="13.7109375" bestFit="1" customWidth="1"/>
    <col min="15" max="15" width="9.7109375" customWidth="1"/>
  </cols>
  <sheetData>
    <row r="1" spans="1:16" x14ac:dyDescent="0.25">
      <c r="A1" s="26" t="s">
        <v>144</v>
      </c>
      <c r="B1" s="26"/>
      <c r="C1" s="26"/>
      <c r="D1" s="26"/>
      <c r="E1" s="26"/>
      <c r="F1" s="26"/>
      <c r="G1" s="26"/>
      <c r="H1" s="26"/>
      <c r="I1" s="26"/>
      <c r="J1" s="26"/>
      <c r="K1" s="10"/>
      <c r="L1" s="10"/>
      <c r="M1" s="10"/>
      <c r="N1" s="10"/>
      <c r="O1" s="10"/>
      <c r="P1" s="10"/>
    </row>
    <row r="2" spans="1:16" x14ac:dyDescent="0.25">
      <c r="A2" s="10"/>
      <c r="B2" s="10"/>
      <c r="C2" s="69"/>
      <c r="D2" s="69"/>
      <c r="E2" s="70"/>
      <c r="F2" s="10"/>
      <c r="G2" s="10"/>
      <c r="H2" s="10"/>
      <c r="I2" s="69"/>
      <c r="J2" s="69"/>
      <c r="K2" s="10"/>
      <c r="L2" s="10"/>
      <c r="M2" s="10"/>
      <c r="N2" s="10"/>
      <c r="O2" s="10"/>
      <c r="P2" s="10"/>
    </row>
    <row r="3" spans="1:16" x14ac:dyDescent="0.25">
      <c r="A3" s="19" t="s">
        <v>157</v>
      </c>
      <c r="B3" s="10"/>
      <c r="C3" s="10"/>
      <c r="D3" s="10"/>
      <c r="E3" s="10"/>
      <c r="F3" s="10"/>
      <c r="G3" s="10"/>
      <c r="H3" s="10"/>
      <c r="I3" s="10"/>
      <c r="J3" s="10"/>
      <c r="K3" s="10"/>
      <c r="L3" s="10"/>
      <c r="M3" s="10"/>
      <c r="N3" s="10"/>
      <c r="O3" s="10"/>
      <c r="P3" s="10"/>
    </row>
    <row r="4" spans="1:16" x14ac:dyDescent="0.25">
      <c r="A4" s="10"/>
      <c r="B4" s="10"/>
      <c r="C4" s="69"/>
      <c r="D4" s="69"/>
      <c r="E4" s="70"/>
      <c r="F4" s="10"/>
      <c r="G4" s="10"/>
      <c r="H4" s="10"/>
      <c r="I4" s="69"/>
      <c r="J4" s="69"/>
      <c r="K4" s="10"/>
      <c r="L4" s="10"/>
      <c r="M4" s="10"/>
      <c r="N4" s="10"/>
      <c r="O4" s="71"/>
      <c r="P4" s="10"/>
    </row>
    <row r="5" spans="1:16" x14ac:dyDescent="0.25">
      <c r="A5" s="10"/>
      <c r="B5" s="10"/>
      <c r="C5" s="69"/>
      <c r="D5" s="69"/>
      <c r="E5" s="70"/>
      <c r="F5" s="10"/>
      <c r="G5" s="10"/>
      <c r="H5" s="10"/>
      <c r="I5" s="69"/>
      <c r="J5" s="69"/>
      <c r="K5" s="10"/>
      <c r="L5" s="10"/>
      <c r="M5" s="10"/>
      <c r="N5" s="10"/>
      <c r="O5" s="10"/>
      <c r="P5" s="10"/>
    </row>
    <row r="6" spans="1:16" x14ac:dyDescent="0.25">
      <c r="A6" s="10"/>
      <c r="B6" s="10"/>
      <c r="C6" s="69"/>
      <c r="D6" s="69"/>
      <c r="E6" s="70"/>
      <c r="F6" s="10"/>
      <c r="G6" s="10"/>
      <c r="H6" s="10"/>
      <c r="I6" s="69"/>
      <c r="J6" s="69"/>
      <c r="K6" s="10"/>
      <c r="L6" s="10"/>
      <c r="M6" s="10"/>
      <c r="N6" s="10"/>
      <c r="O6" s="10"/>
      <c r="P6" s="10"/>
    </row>
    <row r="7" spans="1:16" x14ac:dyDescent="0.25">
      <c r="A7" s="10"/>
      <c r="B7" s="10"/>
      <c r="C7" s="69"/>
      <c r="D7" s="69"/>
      <c r="E7" s="70"/>
      <c r="F7" s="10"/>
      <c r="G7" s="10"/>
      <c r="H7" s="10"/>
      <c r="I7" s="69"/>
      <c r="J7" s="69"/>
      <c r="K7" s="10"/>
      <c r="L7" s="10"/>
      <c r="M7" s="10"/>
      <c r="N7" s="10"/>
      <c r="O7" s="10"/>
      <c r="P7" s="10"/>
    </row>
    <row r="8" spans="1:16" x14ac:dyDescent="0.25">
      <c r="A8" s="10"/>
      <c r="B8" s="10"/>
      <c r="C8" s="69"/>
      <c r="D8" s="69"/>
      <c r="E8" s="70"/>
      <c r="F8" s="10"/>
      <c r="G8" s="10"/>
      <c r="H8" s="10"/>
      <c r="I8" s="69"/>
      <c r="J8" s="69"/>
      <c r="K8" s="10"/>
      <c r="L8" s="10"/>
      <c r="M8" s="10"/>
      <c r="N8" s="10"/>
      <c r="O8" s="10"/>
      <c r="P8" s="10"/>
    </row>
    <row r="9" spans="1:16" x14ac:dyDescent="0.25">
      <c r="A9" s="10"/>
      <c r="B9" s="10"/>
      <c r="C9" s="69"/>
      <c r="D9" s="69"/>
      <c r="E9" s="70"/>
      <c r="F9" s="10"/>
      <c r="G9" s="10"/>
      <c r="H9" s="10"/>
      <c r="I9" s="69"/>
      <c r="J9" s="69"/>
      <c r="K9" s="10"/>
      <c r="L9" s="10"/>
      <c r="M9" s="10"/>
      <c r="N9" s="10"/>
      <c r="O9" s="10"/>
      <c r="P9" s="10"/>
    </row>
    <row r="10" spans="1:16" x14ac:dyDescent="0.25">
      <c r="A10" s="10"/>
      <c r="B10" s="10"/>
      <c r="C10" s="69"/>
      <c r="D10" s="69"/>
      <c r="E10" s="70"/>
      <c r="F10" s="10"/>
      <c r="G10" s="10"/>
      <c r="H10" s="10"/>
      <c r="I10" s="69"/>
      <c r="J10" s="69"/>
      <c r="K10" s="10"/>
      <c r="L10" s="10"/>
      <c r="M10" s="10"/>
      <c r="N10" s="10"/>
      <c r="O10" s="10"/>
      <c r="P10" s="10"/>
    </row>
    <row r="11" spans="1:16" x14ac:dyDescent="0.25">
      <c r="A11" s="10"/>
      <c r="B11" s="10"/>
      <c r="C11" s="69"/>
      <c r="D11" s="69"/>
      <c r="E11" s="70"/>
      <c r="F11" s="10"/>
      <c r="G11" s="10"/>
      <c r="H11" s="10"/>
      <c r="I11" s="69"/>
      <c r="J11" s="69"/>
      <c r="K11" s="10"/>
      <c r="L11" s="10"/>
      <c r="M11" s="10"/>
      <c r="N11" s="10"/>
      <c r="O11" s="10"/>
      <c r="P11" s="10"/>
    </row>
    <row r="12" spans="1:16" x14ac:dyDescent="0.25">
      <c r="A12" s="10"/>
      <c r="B12" s="10"/>
      <c r="C12" s="69"/>
      <c r="D12" s="69"/>
      <c r="E12" s="70"/>
      <c r="F12" s="10"/>
      <c r="G12" s="10"/>
      <c r="H12" s="10"/>
      <c r="I12" s="69"/>
      <c r="J12" s="69"/>
      <c r="K12" s="10"/>
      <c r="L12" s="10"/>
      <c r="M12" s="10"/>
      <c r="N12" s="10"/>
      <c r="O12" s="10"/>
      <c r="P12" s="10"/>
    </row>
    <row r="13" spans="1:16" x14ac:dyDescent="0.25">
      <c r="A13" s="10"/>
      <c r="B13" s="10"/>
      <c r="C13" s="69"/>
      <c r="D13" s="69"/>
      <c r="E13" s="10"/>
      <c r="F13" s="10"/>
      <c r="G13" s="10"/>
      <c r="H13" s="10"/>
      <c r="I13" s="10"/>
      <c r="J13" s="10"/>
      <c r="K13" s="10"/>
      <c r="L13" s="10"/>
      <c r="M13" s="10"/>
      <c r="N13" s="10"/>
      <c r="O13" s="10"/>
      <c r="P13" s="10"/>
    </row>
    <row r="14" spans="1:16" x14ac:dyDescent="0.25">
      <c r="A14" s="10"/>
      <c r="B14" s="10"/>
      <c r="C14" s="69"/>
      <c r="D14" s="69"/>
      <c r="E14" s="70"/>
      <c r="F14" s="10"/>
      <c r="G14" s="10"/>
      <c r="H14" s="10"/>
      <c r="I14" s="69"/>
      <c r="J14" s="69"/>
      <c r="K14" s="10"/>
      <c r="L14" s="10"/>
      <c r="M14" s="10"/>
      <c r="N14" s="10"/>
      <c r="O14" s="10"/>
      <c r="P14" s="10"/>
    </row>
    <row r="15" spans="1:16" x14ac:dyDescent="0.25">
      <c r="A15" s="10"/>
      <c r="B15" s="10"/>
      <c r="C15" s="69"/>
      <c r="D15" s="69"/>
      <c r="E15" s="70"/>
      <c r="F15" s="10"/>
      <c r="G15" s="10"/>
      <c r="H15" s="10"/>
      <c r="I15" s="69"/>
      <c r="J15" s="69"/>
      <c r="K15" s="10"/>
      <c r="L15" s="10"/>
      <c r="M15" s="10"/>
      <c r="N15" s="10"/>
      <c r="O15" s="10"/>
      <c r="P15" s="10"/>
    </row>
    <row r="16" spans="1:16" x14ac:dyDescent="0.25">
      <c r="A16" s="10"/>
      <c r="B16" s="10"/>
      <c r="C16" s="69"/>
      <c r="D16" s="69"/>
      <c r="E16" s="70"/>
      <c r="F16" s="10"/>
      <c r="G16" s="10"/>
      <c r="H16" s="10"/>
      <c r="I16" s="69"/>
      <c r="J16" s="69"/>
      <c r="K16" s="10"/>
      <c r="L16" s="10"/>
      <c r="M16" s="10"/>
      <c r="N16" s="10"/>
      <c r="O16" s="10"/>
      <c r="P16" s="10"/>
    </row>
    <row r="17" spans="1:16" x14ac:dyDescent="0.25">
      <c r="A17" s="10"/>
      <c r="B17" s="10"/>
      <c r="C17" s="69"/>
      <c r="D17" s="69"/>
      <c r="E17" s="70"/>
      <c r="F17" s="10"/>
      <c r="G17" s="10"/>
      <c r="H17" s="10"/>
      <c r="I17" s="69"/>
      <c r="J17" s="69"/>
      <c r="K17" s="10"/>
      <c r="L17" s="10"/>
      <c r="M17" s="10"/>
      <c r="N17" s="10"/>
      <c r="O17" s="10"/>
      <c r="P17" s="10"/>
    </row>
    <row r="18" spans="1:16" x14ac:dyDescent="0.25">
      <c r="A18" s="10"/>
      <c r="B18" s="10"/>
      <c r="C18" s="69"/>
      <c r="D18" s="69"/>
      <c r="E18" s="70"/>
      <c r="F18" s="10"/>
      <c r="G18" s="10"/>
      <c r="H18" s="10"/>
      <c r="I18" s="69"/>
      <c r="J18" s="69"/>
      <c r="K18" s="10"/>
      <c r="L18" s="10"/>
      <c r="M18" s="10"/>
      <c r="N18" s="10"/>
      <c r="O18" s="10"/>
      <c r="P18" s="10"/>
    </row>
    <row r="19" spans="1:16" x14ac:dyDescent="0.25">
      <c r="A19" s="10"/>
      <c r="B19" s="10"/>
      <c r="C19" s="69"/>
      <c r="D19" s="69"/>
      <c r="E19" s="70"/>
      <c r="F19" s="10"/>
      <c r="G19" s="10"/>
      <c r="H19" s="10"/>
      <c r="I19" s="69"/>
      <c r="J19" s="69"/>
      <c r="K19" s="10"/>
      <c r="L19" s="10"/>
      <c r="M19" s="10"/>
      <c r="N19" s="10"/>
      <c r="O19" s="10"/>
      <c r="P19" s="10"/>
    </row>
    <row r="20" spans="1:16" x14ac:dyDescent="0.25">
      <c r="A20" s="10"/>
      <c r="B20" s="10"/>
      <c r="C20" s="69"/>
      <c r="D20" s="69"/>
      <c r="E20" s="70"/>
      <c r="F20" s="10"/>
      <c r="G20" s="10"/>
      <c r="H20" s="10"/>
      <c r="I20" s="69"/>
      <c r="J20" s="69"/>
      <c r="K20" s="10"/>
      <c r="L20" s="10"/>
      <c r="M20" s="10"/>
      <c r="N20" s="10"/>
      <c r="O20" s="10"/>
      <c r="P20" s="10"/>
    </row>
    <row r="21" spans="1:16" x14ac:dyDescent="0.25">
      <c r="A21" s="10"/>
      <c r="B21" s="10"/>
      <c r="C21" s="69"/>
      <c r="D21" s="69"/>
      <c r="E21" s="70"/>
      <c r="F21" s="10"/>
      <c r="G21" s="10"/>
      <c r="H21" s="10"/>
      <c r="I21" s="69"/>
      <c r="J21" s="69"/>
      <c r="K21" s="10"/>
      <c r="L21" s="10"/>
      <c r="M21" s="10"/>
      <c r="N21" s="10"/>
      <c r="O21" s="10"/>
      <c r="P21" s="10"/>
    </row>
    <row r="22" spans="1:16" x14ac:dyDescent="0.25">
      <c r="A22" s="10"/>
      <c r="B22" s="10"/>
      <c r="C22" s="69"/>
      <c r="D22" s="69"/>
      <c r="E22" s="10"/>
      <c r="F22" s="10"/>
      <c r="G22" s="10"/>
      <c r="H22" s="10"/>
      <c r="I22" s="10"/>
      <c r="J22" s="10"/>
      <c r="K22" s="10"/>
      <c r="L22" s="10"/>
      <c r="M22" s="10"/>
      <c r="N22" s="10"/>
      <c r="O22" s="10"/>
      <c r="P22" s="10"/>
    </row>
    <row r="23" spans="1:16" x14ac:dyDescent="0.25">
      <c r="A23" s="10"/>
      <c r="B23" s="10"/>
      <c r="C23" s="69"/>
      <c r="D23" s="69"/>
      <c r="E23" s="70"/>
      <c r="F23" s="10"/>
      <c r="G23" s="10"/>
      <c r="H23" s="10"/>
      <c r="I23" s="69"/>
      <c r="J23" s="69"/>
      <c r="K23" s="10"/>
      <c r="L23" s="10"/>
      <c r="M23" s="10"/>
      <c r="N23" s="10"/>
      <c r="O23" s="10"/>
      <c r="P23" s="10"/>
    </row>
    <row r="24" spans="1:16" x14ac:dyDescent="0.25">
      <c r="A24" s="10"/>
      <c r="B24" s="10"/>
      <c r="C24" s="69"/>
      <c r="D24" s="69"/>
      <c r="E24" s="70"/>
      <c r="F24" s="10"/>
      <c r="G24" s="10"/>
      <c r="H24" s="10"/>
      <c r="I24" s="69"/>
      <c r="J24" s="69"/>
      <c r="K24" s="10"/>
      <c r="L24" s="10"/>
      <c r="M24" s="10"/>
      <c r="N24" s="10"/>
      <c r="O24" s="10"/>
      <c r="P24" s="10"/>
    </row>
    <row r="25" spans="1:16" x14ac:dyDescent="0.25">
      <c r="A25" s="10"/>
      <c r="B25" s="10"/>
      <c r="C25" s="69"/>
      <c r="D25" s="69"/>
      <c r="E25" s="70"/>
      <c r="F25" s="10"/>
      <c r="G25" s="10"/>
      <c r="H25" s="10"/>
      <c r="I25" s="69"/>
      <c r="J25" s="69"/>
      <c r="K25" s="10"/>
      <c r="L25" s="10"/>
      <c r="M25" s="10"/>
      <c r="N25" s="10"/>
      <c r="O25" s="10"/>
      <c r="P25" s="10"/>
    </row>
    <row r="26" spans="1:16" x14ac:dyDescent="0.25">
      <c r="A26" s="10"/>
      <c r="B26" s="10"/>
      <c r="C26" s="69"/>
      <c r="D26" s="69"/>
      <c r="E26" s="70"/>
      <c r="F26" s="10"/>
      <c r="G26" s="10"/>
      <c r="H26" s="10"/>
      <c r="I26" s="69"/>
      <c r="J26" s="69"/>
      <c r="K26" s="10"/>
      <c r="L26" s="10"/>
      <c r="M26" s="10"/>
      <c r="N26" s="10"/>
      <c r="O26" s="10"/>
      <c r="P26" s="10"/>
    </row>
    <row r="27" spans="1:16" x14ac:dyDescent="0.25">
      <c r="A27" s="10"/>
      <c r="B27" s="10"/>
      <c r="C27" s="69"/>
      <c r="D27" s="69"/>
      <c r="E27" s="70"/>
      <c r="F27" s="10"/>
      <c r="G27" s="10"/>
      <c r="H27" s="10"/>
      <c r="I27" s="69"/>
      <c r="J27" s="69"/>
      <c r="K27" s="10"/>
      <c r="L27" s="10"/>
      <c r="M27" s="10"/>
      <c r="N27" s="10"/>
      <c r="O27" s="10"/>
      <c r="P27" s="10"/>
    </row>
    <row r="28" spans="1:16" x14ac:dyDescent="0.25">
      <c r="A28" s="10"/>
      <c r="B28" s="10"/>
      <c r="C28" s="69"/>
      <c r="D28" s="69"/>
      <c r="E28" s="70"/>
      <c r="F28" s="10"/>
      <c r="G28" s="10"/>
      <c r="H28" s="10"/>
      <c r="I28" s="69"/>
      <c r="J28" s="69"/>
      <c r="K28" s="10"/>
      <c r="L28" s="10"/>
      <c r="M28" s="10"/>
      <c r="N28" s="10"/>
      <c r="O28" s="10"/>
      <c r="P28" s="10"/>
    </row>
    <row r="29" spans="1:16" x14ac:dyDescent="0.25">
      <c r="A29" s="10"/>
      <c r="B29" s="10"/>
      <c r="C29" s="69"/>
      <c r="D29" s="69"/>
      <c r="E29" s="70"/>
      <c r="F29" s="10"/>
      <c r="G29" s="10"/>
      <c r="H29" s="10"/>
      <c r="I29" s="69"/>
      <c r="J29" s="69"/>
      <c r="K29" s="10"/>
      <c r="L29" s="10"/>
      <c r="M29" s="10"/>
      <c r="N29" s="10"/>
      <c r="O29" s="10"/>
      <c r="P29" s="10"/>
    </row>
    <row r="30" spans="1:16" x14ac:dyDescent="0.25">
      <c r="A30" s="10"/>
      <c r="B30" s="10"/>
      <c r="C30" s="69"/>
      <c r="D30" s="69"/>
      <c r="E30" s="70"/>
      <c r="F30" s="10"/>
      <c r="G30" s="10"/>
      <c r="H30" s="10"/>
      <c r="I30" s="69"/>
      <c r="J30" s="69"/>
      <c r="K30" s="10"/>
      <c r="L30" s="10"/>
      <c r="M30" s="10"/>
      <c r="N30" s="10"/>
      <c r="O30" s="10"/>
      <c r="P30" s="10"/>
    </row>
    <row r="31" spans="1:16" x14ac:dyDescent="0.25">
      <c r="A31" s="10"/>
      <c r="B31" s="10"/>
      <c r="C31" s="69"/>
      <c r="D31" s="69"/>
      <c r="E31" s="70"/>
      <c r="F31" s="10"/>
      <c r="G31" s="10"/>
      <c r="H31" s="10"/>
      <c r="I31" s="69"/>
      <c r="J31" s="69"/>
      <c r="K31" s="10"/>
      <c r="L31" s="10"/>
      <c r="M31" s="10"/>
      <c r="N31" s="10"/>
      <c r="O31" s="10"/>
      <c r="P31" s="10"/>
    </row>
    <row r="32" spans="1:16" x14ac:dyDescent="0.25">
      <c r="A32" s="10"/>
      <c r="B32" s="10"/>
      <c r="C32" s="69"/>
      <c r="D32" s="69"/>
      <c r="E32" s="70"/>
      <c r="F32" s="10"/>
      <c r="G32" s="10"/>
      <c r="H32" s="10"/>
      <c r="I32" s="69"/>
      <c r="J32" s="69"/>
      <c r="K32" s="10"/>
      <c r="L32" s="10"/>
      <c r="M32" s="10"/>
      <c r="N32" s="10"/>
      <c r="O32" s="10"/>
      <c r="P32" s="10"/>
    </row>
    <row r="33" spans="1:16" x14ac:dyDescent="0.25">
      <c r="A33" s="10"/>
      <c r="B33" s="10"/>
      <c r="C33" s="69"/>
      <c r="D33" s="69"/>
      <c r="E33" s="70"/>
      <c r="F33" s="10"/>
      <c r="G33" s="10"/>
      <c r="H33" s="10"/>
      <c r="I33" s="69"/>
      <c r="J33" s="69"/>
      <c r="K33" s="10"/>
      <c r="L33" s="10"/>
      <c r="M33" s="10"/>
      <c r="N33" s="10"/>
      <c r="O33" s="10"/>
      <c r="P33" s="10"/>
    </row>
    <row r="34" spans="1:16" x14ac:dyDescent="0.25">
      <c r="A34" s="10"/>
      <c r="B34" s="10"/>
      <c r="C34" s="10"/>
      <c r="D34" s="10"/>
      <c r="E34" s="10"/>
      <c r="F34" s="10"/>
      <c r="G34" s="10"/>
      <c r="H34" s="10"/>
      <c r="I34" s="10"/>
      <c r="J34" s="10"/>
      <c r="K34" s="10"/>
      <c r="L34" s="10"/>
      <c r="M34" s="10"/>
      <c r="N34" s="10"/>
      <c r="O34" s="10"/>
      <c r="P34" s="10"/>
    </row>
    <row r="35" spans="1:16" x14ac:dyDescent="0.25">
      <c r="A35" s="10"/>
      <c r="B35" s="10"/>
      <c r="C35" s="10"/>
      <c r="D35" s="10"/>
      <c r="E35" s="10"/>
      <c r="F35" s="10"/>
      <c r="G35" s="10"/>
      <c r="H35" s="10"/>
      <c r="I35" s="10"/>
      <c r="J35" s="10"/>
      <c r="K35" s="10"/>
      <c r="L35" s="10"/>
      <c r="M35" s="10"/>
      <c r="N35" s="10"/>
      <c r="O35" s="10"/>
      <c r="P35" s="1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9"/>
  <sheetViews>
    <sheetView zoomScale="70" zoomScaleNormal="70" workbookViewId="0">
      <selection activeCell="L22" sqref="L22"/>
    </sheetView>
  </sheetViews>
  <sheetFormatPr defaultRowHeight="15" x14ac:dyDescent="0.25"/>
  <cols>
    <col min="1" max="1" width="2.5703125" customWidth="1"/>
    <col min="2" max="2" width="27.5703125" customWidth="1"/>
    <col min="3" max="3" width="21" style="140" bestFit="1" customWidth="1"/>
    <col min="4" max="4" width="10.5703125" customWidth="1"/>
    <col min="5" max="5" width="12.140625" customWidth="1"/>
    <col min="6" max="6" width="19.42578125" customWidth="1"/>
    <col min="7" max="7" width="14.28515625" bestFit="1" customWidth="1"/>
    <col min="8" max="8" width="14.42578125" bestFit="1" customWidth="1"/>
    <col min="9" max="9" width="16.140625" bestFit="1" customWidth="1"/>
    <col min="10" max="10" width="15" customWidth="1"/>
    <col min="11" max="11" width="14.42578125" bestFit="1" customWidth="1"/>
    <col min="12" max="12" width="16.28515625" bestFit="1" customWidth="1"/>
    <col min="13" max="14" width="14.28515625" bestFit="1" customWidth="1"/>
    <col min="15" max="15" width="16.140625" bestFit="1" customWidth="1"/>
    <col min="16" max="16" width="15.5703125" customWidth="1"/>
    <col min="17" max="17" width="9.5703125" bestFit="1" customWidth="1"/>
    <col min="18" max="18" width="16.7109375" bestFit="1" customWidth="1"/>
    <col min="19" max="19" width="11.5703125" bestFit="1" customWidth="1"/>
    <col min="20" max="20" width="15.7109375" customWidth="1"/>
    <col min="21" max="21" width="14.5703125" customWidth="1"/>
    <col min="22" max="22" width="12" customWidth="1"/>
    <col min="23" max="23" width="13" customWidth="1"/>
  </cols>
  <sheetData>
    <row r="1" spans="2:10" x14ac:dyDescent="0.25">
      <c r="B1" t="s">
        <v>183</v>
      </c>
    </row>
    <row r="2" spans="2:10" s="140" customFormat="1" x14ac:dyDescent="0.25">
      <c r="B2" s="19" t="s">
        <v>185</v>
      </c>
      <c r="C2" s="19"/>
    </row>
    <row r="4" spans="2:10" x14ac:dyDescent="0.25">
      <c r="B4" s="154" t="s">
        <v>184</v>
      </c>
      <c r="C4" s="154"/>
      <c r="D4" s="154"/>
      <c r="E4" s="154"/>
      <c r="F4" s="154"/>
      <c r="G4" s="154"/>
      <c r="H4" s="154"/>
      <c r="I4" s="154"/>
      <c r="J4" s="154"/>
    </row>
    <row r="5" spans="2:10" x14ac:dyDescent="0.25">
      <c r="B5" s="153" t="s">
        <v>109</v>
      </c>
      <c r="C5" s="153"/>
      <c r="D5" s="153"/>
      <c r="E5" s="153"/>
      <c r="F5" s="153"/>
      <c r="G5" s="153"/>
      <c r="H5" s="153"/>
      <c r="I5" s="153"/>
      <c r="J5" s="153"/>
    </row>
    <row r="6" spans="2:10" x14ac:dyDescent="0.25">
      <c r="B6" s="153"/>
      <c r="C6" s="153"/>
      <c r="D6" s="153"/>
      <c r="E6" s="153"/>
      <c r="F6" s="153"/>
      <c r="G6" s="153"/>
      <c r="H6" s="153"/>
      <c r="I6" s="153"/>
      <c r="J6" s="153"/>
    </row>
    <row r="7" spans="2:10" x14ac:dyDescent="0.25">
      <c r="B7" s="153"/>
      <c r="C7" s="153"/>
      <c r="D7" s="153"/>
      <c r="E7" s="153"/>
      <c r="F7" s="153"/>
      <c r="G7" s="153"/>
      <c r="H7" s="153"/>
      <c r="I7" s="153"/>
      <c r="J7" s="153"/>
    </row>
    <row r="8" spans="2:10" x14ac:dyDescent="0.25">
      <c r="B8" s="153"/>
      <c r="C8" s="153"/>
      <c r="D8" s="153"/>
      <c r="E8" s="153"/>
      <c r="F8" s="153"/>
      <c r="G8" s="153"/>
      <c r="H8" s="153"/>
      <c r="I8" s="153"/>
      <c r="J8" s="153"/>
    </row>
    <row r="9" spans="2:10" x14ac:dyDescent="0.25">
      <c r="B9" s="153" t="s">
        <v>212</v>
      </c>
      <c r="C9" s="153"/>
      <c r="D9" s="153"/>
      <c r="E9" s="153"/>
      <c r="F9" s="153"/>
      <c r="G9" s="153"/>
      <c r="H9" s="153"/>
      <c r="I9" s="153"/>
      <c r="J9" s="153"/>
    </row>
    <row r="10" spans="2:10" x14ac:dyDescent="0.25">
      <c r="B10" s="153"/>
      <c r="C10" s="153"/>
      <c r="D10" s="153"/>
      <c r="E10" s="153"/>
      <c r="F10" s="153"/>
      <c r="G10" s="153"/>
      <c r="H10" s="153"/>
      <c r="I10" s="153"/>
      <c r="J10" s="153"/>
    </row>
    <row r="11" spans="2:10" x14ac:dyDescent="0.25">
      <c r="B11" s="153"/>
      <c r="C11" s="153"/>
      <c r="D11" s="153"/>
      <c r="E11" s="153"/>
      <c r="F11" s="153"/>
      <c r="G11" s="153"/>
      <c r="H11" s="153"/>
      <c r="I11" s="153"/>
      <c r="J11" s="153"/>
    </row>
    <row r="12" spans="2:10" x14ac:dyDescent="0.25">
      <c r="B12" s="153"/>
      <c r="C12" s="153"/>
      <c r="D12" s="153"/>
      <c r="E12" s="153"/>
      <c r="F12" s="153"/>
      <c r="G12" s="153"/>
      <c r="H12" s="153"/>
      <c r="I12" s="153"/>
      <c r="J12" s="153"/>
    </row>
    <row r="13" spans="2:10" x14ac:dyDescent="0.25">
      <c r="B13" s="153" t="s">
        <v>187</v>
      </c>
      <c r="C13" s="153"/>
      <c r="D13" s="153"/>
      <c r="E13" s="153"/>
      <c r="F13" s="153"/>
      <c r="G13" s="153"/>
      <c r="H13" s="153"/>
      <c r="I13" s="153"/>
      <c r="J13" s="153"/>
    </row>
    <row r="14" spans="2:10" s="140" customFormat="1" x14ac:dyDescent="0.25">
      <c r="B14" s="153"/>
      <c r="C14" s="153"/>
      <c r="D14" s="153"/>
      <c r="E14" s="153"/>
      <c r="F14" s="153"/>
      <c r="G14" s="153"/>
      <c r="H14" s="153"/>
      <c r="I14" s="153"/>
      <c r="J14" s="153"/>
    </row>
    <row r="15" spans="2:10" x14ac:dyDescent="0.25">
      <c r="B15" s="153" t="s">
        <v>177</v>
      </c>
      <c r="C15" s="153"/>
      <c r="D15" s="153"/>
      <c r="E15" s="153"/>
      <c r="F15" s="153"/>
      <c r="G15" s="153"/>
      <c r="H15" s="153"/>
      <c r="I15" s="153"/>
      <c r="J15" s="153"/>
    </row>
    <row r="16" spans="2:10" x14ac:dyDescent="0.25">
      <c r="B16" s="153"/>
      <c r="C16" s="153"/>
      <c r="D16" s="153"/>
      <c r="E16" s="153"/>
      <c r="F16" s="153"/>
      <c r="G16" s="153"/>
      <c r="H16" s="153"/>
      <c r="I16" s="153"/>
      <c r="J16" s="153"/>
    </row>
    <row r="17" spans="2:23" x14ac:dyDescent="0.25">
      <c r="B17" s="153"/>
      <c r="C17" s="153"/>
      <c r="D17" s="153"/>
      <c r="E17" s="153"/>
      <c r="F17" s="153"/>
      <c r="G17" s="153"/>
      <c r="H17" s="153"/>
      <c r="I17" s="153"/>
      <c r="J17" s="153"/>
    </row>
    <row r="18" spans="2:23" s="140" customFormat="1" x14ac:dyDescent="0.25">
      <c r="B18" s="153" t="s">
        <v>193</v>
      </c>
      <c r="C18" s="153"/>
      <c r="D18" s="153"/>
      <c r="E18" s="153"/>
      <c r="F18" s="153"/>
      <c r="G18" s="153"/>
      <c r="H18" s="153"/>
      <c r="I18" s="153"/>
      <c r="J18" s="153"/>
    </row>
    <row r="19" spans="2:23" x14ac:dyDescent="0.25">
      <c r="F19" s="50"/>
    </row>
    <row r="20" spans="2:23" x14ac:dyDescent="0.25">
      <c r="B20" s="7" t="s">
        <v>45</v>
      </c>
      <c r="C20" s="141"/>
      <c r="D20" s="7"/>
      <c r="E20" s="7"/>
      <c r="F20" s="7"/>
      <c r="G20" s="7"/>
      <c r="H20" s="7"/>
      <c r="I20" s="7"/>
      <c r="J20" s="7"/>
      <c r="K20" s="7"/>
      <c r="L20" s="7"/>
      <c r="M20" s="7"/>
      <c r="N20" s="7"/>
      <c r="O20" s="7"/>
      <c r="P20" s="7"/>
      <c r="Q20" s="7"/>
      <c r="R20" s="7"/>
      <c r="S20" s="7"/>
      <c r="T20" s="7"/>
      <c r="U20" s="7"/>
      <c r="V20" s="7"/>
      <c r="W20" s="7"/>
    </row>
    <row r="21" spans="2:23" s="10" customFormat="1" x14ac:dyDescent="0.25">
      <c r="G21" s="152" t="s">
        <v>190</v>
      </c>
      <c r="H21" s="152"/>
      <c r="I21" s="152"/>
      <c r="J21" s="152"/>
      <c r="K21" s="152"/>
      <c r="L21" s="152"/>
      <c r="M21" s="152" t="s">
        <v>191</v>
      </c>
      <c r="N21" s="152"/>
      <c r="O21" s="152"/>
      <c r="P21" s="152"/>
      <c r="Q21" s="152"/>
      <c r="R21" s="152"/>
      <c r="S21" s="152"/>
    </row>
    <row r="22" spans="2:23" s="78" customFormat="1" x14ac:dyDescent="0.25">
      <c r="D22" s="78" t="s">
        <v>1</v>
      </c>
      <c r="E22" s="78" t="s">
        <v>6</v>
      </c>
      <c r="F22" s="78" t="s">
        <v>5</v>
      </c>
      <c r="G22" s="78" t="s">
        <v>2</v>
      </c>
      <c r="H22" s="78" t="s">
        <v>8</v>
      </c>
      <c r="I22" s="78" t="s">
        <v>9</v>
      </c>
      <c r="J22" s="78" t="s">
        <v>93</v>
      </c>
      <c r="K22" s="78" t="s">
        <v>94</v>
      </c>
      <c r="L22" s="78" t="s">
        <v>95</v>
      </c>
      <c r="M22" s="78" t="s">
        <v>28</v>
      </c>
      <c r="N22" s="78" t="s">
        <v>97</v>
      </c>
      <c r="O22" s="78" t="s">
        <v>98</v>
      </c>
      <c r="P22" s="78" t="s">
        <v>99</v>
      </c>
      <c r="Q22" s="78" t="s">
        <v>100</v>
      </c>
      <c r="R22" s="78" t="s">
        <v>101</v>
      </c>
      <c r="S22" s="78" t="s">
        <v>102</v>
      </c>
      <c r="T22" s="78" t="s">
        <v>103</v>
      </c>
      <c r="U22" s="78" t="s">
        <v>104</v>
      </c>
    </row>
    <row r="23" spans="2:23" s="72" customFormat="1" x14ac:dyDescent="0.25">
      <c r="B23" s="74" t="s">
        <v>186</v>
      </c>
      <c r="C23" s="73" t="s">
        <v>202</v>
      </c>
      <c r="D23" s="73" t="s">
        <v>92</v>
      </c>
      <c r="E23" s="73" t="s">
        <v>92</v>
      </c>
      <c r="F23" s="73" t="s">
        <v>188</v>
      </c>
      <c r="G23" s="73" t="s">
        <v>92</v>
      </c>
      <c r="H23" s="73" t="s">
        <v>189</v>
      </c>
      <c r="I23" s="73" t="s">
        <v>164</v>
      </c>
      <c r="J23" s="73"/>
      <c r="K23" s="73"/>
      <c r="L23" s="73" t="s">
        <v>163</v>
      </c>
      <c r="M23" s="73" t="s">
        <v>96</v>
      </c>
      <c r="N23" s="73" t="s">
        <v>96</v>
      </c>
      <c r="O23" s="73" t="s">
        <v>164</v>
      </c>
      <c r="P23" s="73"/>
      <c r="Q23" s="73"/>
      <c r="R23" s="73" t="s">
        <v>163</v>
      </c>
      <c r="S23" s="73"/>
      <c r="T23" s="73"/>
    </row>
    <row r="24" spans="2:23" s="76" customFormat="1" x14ac:dyDescent="0.25">
      <c r="B24" s="75" t="s">
        <v>91</v>
      </c>
      <c r="C24" s="77" t="s">
        <v>202</v>
      </c>
      <c r="D24" s="77"/>
      <c r="E24" s="77" t="s">
        <v>105</v>
      </c>
      <c r="F24" s="77" t="s">
        <v>106</v>
      </c>
      <c r="G24" s="77" t="s">
        <v>107</v>
      </c>
      <c r="H24" s="77" t="s">
        <v>108</v>
      </c>
      <c r="I24" s="77" t="s">
        <v>164</v>
      </c>
      <c r="J24" s="77"/>
      <c r="K24" s="77"/>
      <c r="L24" s="77" t="s">
        <v>163</v>
      </c>
      <c r="M24" s="77" t="s">
        <v>107</v>
      </c>
      <c r="N24" s="77"/>
      <c r="O24" s="77" t="s">
        <v>164</v>
      </c>
      <c r="P24" s="77"/>
      <c r="Q24" s="77"/>
      <c r="R24" s="77" t="s">
        <v>163</v>
      </c>
      <c r="S24" s="77"/>
      <c r="T24" s="77"/>
    </row>
    <row r="25" spans="2:23" x14ac:dyDescent="0.25">
      <c r="G25" t="s">
        <v>7</v>
      </c>
      <c r="H25" t="s">
        <v>7</v>
      </c>
      <c r="J25" t="s">
        <v>7</v>
      </c>
      <c r="K25" t="s">
        <v>7</v>
      </c>
      <c r="L25" t="s">
        <v>7</v>
      </c>
      <c r="M25" t="s">
        <v>4</v>
      </c>
      <c r="N25" t="s">
        <v>4</v>
      </c>
      <c r="O25" t="s">
        <v>4</v>
      </c>
      <c r="P25" t="s">
        <v>4</v>
      </c>
      <c r="Q25" t="s">
        <v>4</v>
      </c>
      <c r="R25" t="s">
        <v>4</v>
      </c>
      <c r="S25" s="10"/>
    </row>
    <row r="26" spans="2:23" s="16" customFormat="1" ht="60" x14ac:dyDescent="0.25">
      <c r="B26" s="16" t="s">
        <v>46</v>
      </c>
      <c r="C26" s="139" t="s">
        <v>122</v>
      </c>
      <c r="D26" s="16" t="s">
        <v>30</v>
      </c>
      <c r="E26" s="16" t="s">
        <v>51</v>
      </c>
      <c r="F26" s="16" t="s">
        <v>90</v>
      </c>
      <c r="G26" s="16" t="s">
        <v>47</v>
      </c>
      <c r="H26" s="16" t="s">
        <v>49</v>
      </c>
      <c r="I26" s="16" t="s">
        <v>48</v>
      </c>
      <c r="J26" s="16" t="s">
        <v>52</v>
      </c>
      <c r="K26" s="16" t="s">
        <v>50</v>
      </c>
      <c r="L26" s="16" t="s">
        <v>53</v>
      </c>
      <c r="M26" s="16" t="s">
        <v>47</v>
      </c>
      <c r="N26" s="16" t="s">
        <v>49</v>
      </c>
      <c r="O26" s="16" t="s">
        <v>48</v>
      </c>
      <c r="P26" s="16" t="s">
        <v>54</v>
      </c>
      <c r="Q26" s="16" t="s">
        <v>31</v>
      </c>
      <c r="R26" s="16" t="s">
        <v>53</v>
      </c>
      <c r="S26" s="16" t="s">
        <v>53</v>
      </c>
      <c r="T26" s="16" t="s">
        <v>55</v>
      </c>
      <c r="U26" s="142" t="s">
        <v>89</v>
      </c>
    </row>
    <row r="27" spans="2:23" x14ac:dyDescent="0.25">
      <c r="B27" t="s">
        <v>38</v>
      </c>
      <c r="C27" s="140" t="s">
        <v>199</v>
      </c>
      <c r="D27">
        <v>2400</v>
      </c>
      <c r="E27">
        <v>48000</v>
      </c>
      <c r="F27" s="49">
        <f>AVERAGE(327, 327, 326, 329)</f>
        <v>327.25</v>
      </c>
      <c r="G27" s="1">
        <v>22100000</v>
      </c>
      <c r="H27" s="13">
        <f>AVERAGE(1300, 1400, 1100, 1000)*2400</f>
        <v>2880000</v>
      </c>
      <c r="I27" s="27">
        <v>1.1034817623962963</v>
      </c>
      <c r="J27" s="1">
        <f>H27*I27</f>
        <v>3178027.475701333</v>
      </c>
      <c r="K27" s="1">
        <f>G27+J27</f>
        <v>25278027.475701332</v>
      </c>
      <c r="L27" s="1">
        <f>K27*'Inflation Rates'!$C$9</f>
        <v>27281719.435897812</v>
      </c>
      <c r="M27">
        <v>0.62</v>
      </c>
      <c r="N27" s="11">
        <f>AVERAGE(0.15, 0.16, 0.12, 0.11)</f>
        <v>0.13500000000000001</v>
      </c>
      <c r="O27" s="59">
        <f>I27</f>
        <v>1.1034817623962963</v>
      </c>
      <c r="P27" s="11">
        <f>N27*O27</f>
        <v>0.1489700379235</v>
      </c>
      <c r="Q27" s="12">
        <f>M27+P27</f>
        <v>0.76897003792350005</v>
      </c>
      <c r="R27" s="2">
        <f>Q27*'Inflation Rates'!C9</f>
        <v>0.82992333359106674</v>
      </c>
      <c r="S27" s="1">
        <f>R27*E27*F27</f>
        <v>13036435.724048475</v>
      </c>
      <c r="T27" s="1">
        <f>L27+S27</f>
        <v>40318155.159946285</v>
      </c>
      <c r="U27" s="143">
        <f>T27/F27</f>
        <v>123202.91874697107</v>
      </c>
      <c r="V27" s="12"/>
    </row>
    <row r="28" spans="2:23" x14ac:dyDescent="0.25">
      <c r="B28" t="s">
        <v>39</v>
      </c>
      <c r="C28" s="140" t="s">
        <v>200</v>
      </c>
      <c r="D28">
        <v>2400</v>
      </c>
      <c r="E28">
        <v>48000</v>
      </c>
      <c r="F28" s="49">
        <f>AVERAGE(219, 218, 218, 218, 217, 216)</f>
        <v>217.66666666666666</v>
      </c>
      <c r="G28" s="1">
        <v>22100000</v>
      </c>
      <c r="H28" s="13">
        <f>AVERAGE(1300, 1300, 1400, 1100, 1000, 1000)*2400</f>
        <v>2840000</v>
      </c>
      <c r="I28" s="27">
        <v>1.1034817623962963</v>
      </c>
      <c r="J28" s="1">
        <f>H28*I28</f>
        <v>3133888.2052054815</v>
      </c>
      <c r="K28" s="1">
        <f>G28+J28</f>
        <v>25233888.205205481</v>
      </c>
      <c r="L28" s="1">
        <f>K28*'Inflation Rates'!$C$9</f>
        <v>27234081.415291555</v>
      </c>
      <c r="M28" s="39"/>
      <c r="N28" s="39"/>
      <c r="O28" s="39"/>
      <c r="P28" s="39"/>
      <c r="Q28" s="39"/>
      <c r="R28" s="39"/>
      <c r="S28" s="39"/>
      <c r="T28" s="37">
        <f>L28</f>
        <v>27234081.415291555</v>
      </c>
      <c r="U28" s="143">
        <f t="shared" ref="U28:U29" si="0">T28/F28</f>
        <v>125118.29134130884</v>
      </c>
      <c r="V28" s="12"/>
    </row>
    <row r="29" spans="2:23" x14ac:dyDescent="0.25">
      <c r="B29" s="10" t="s">
        <v>41</v>
      </c>
      <c r="C29" s="10" t="s">
        <v>201</v>
      </c>
      <c r="D29" s="39"/>
      <c r="E29">
        <v>50000</v>
      </c>
      <c r="F29" s="1">
        <f>AVERAGE(43.5, 47.5, 43.5, 43.1, 43.1)*2</f>
        <v>88.28</v>
      </c>
      <c r="G29" s="1">
        <f>7435000*2</f>
        <v>14870000</v>
      </c>
      <c r="H29" s="13">
        <f>12000*2*AVERAGE(54, 54, 67, 67)</f>
        <v>1452000</v>
      </c>
      <c r="I29" s="27">
        <v>1.1034817623962963</v>
      </c>
      <c r="J29" s="1">
        <f>H29*I29</f>
        <v>1602255.5189994222</v>
      </c>
      <c r="K29" s="1">
        <f>G29+J29</f>
        <v>16472255.518999422</v>
      </c>
      <c r="L29" s="1">
        <f>K29*'Inflation Rates'!C8</f>
        <v>19324111.612588648</v>
      </c>
      <c r="M29">
        <v>0.81</v>
      </c>
      <c r="N29" s="39"/>
      <c r="O29" s="39"/>
      <c r="P29" s="39"/>
      <c r="Q29">
        <f>M29</f>
        <v>0.81</v>
      </c>
      <c r="R29" s="2">
        <f>Q29*'Inflation Rates'!$C$8</f>
        <v>0.95023601280000003</v>
      </c>
      <c r="S29" s="1">
        <f>R29*E29*F29</f>
        <v>4194341.7604991999</v>
      </c>
      <c r="T29" s="37">
        <f>L29+S29</f>
        <v>23518453.373087846</v>
      </c>
      <c r="U29" s="143">
        <f t="shared" si="0"/>
        <v>266407.49176583422</v>
      </c>
      <c r="V29" s="12"/>
    </row>
    <row r="33" spans="2:23" x14ac:dyDescent="0.25">
      <c r="F33" s="50"/>
    </row>
    <row r="34" spans="2:23" x14ac:dyDescent="0.25">
      <c r="B34" s="7" t="s">
        <v>44</v>
      </c>
      <c r="C34" s="141"/>
      <c r="D34" s="7"/>
      <c r="E34" s="7"/>
      <c r="F34" s="7"/>
      <c r="G34" s="7"/>
      <c r="H34" s="7"/>
      <c r="I34" s="7"/>
      <c r="J34" s="7"/>
      <c r="K34" s="7"/>
      <c r="L34" s="7"/>
      <c r="M34" s="7"/>
      <c r="N34" s="7"/>
      <c r="O34" s="7"/>
      <c r="P34" s="7"/>
      <c r="Q34" s="7"/>
      <c r="R34" s="7"/>
      <c r="S34" s="7"/>
      <c r="T34" s="7"/>
      <c r="U34" s="7"/>
      <c r="V34" s="7"/>
      <c r="W34" s="7"/>
    </row>
    <row r="35" spans="2:23" s="10" customFormat="1" x14ac:dyDescent="0.25">
      <c r="G35" s="152" t="s">
        <v>190</v>
      </c>
      <c r="H35" s="152"/>
      <c r="I35" s="152"/>
      <c r="J35" s="152"/>
      <c r="K35" s="152"/>
      <c r="L35" s="152"/>
      <c r="M35" s="152" t="s">
        <v>191</v>
      </c>
      <c r="N35" s="152"/>
      <c r="O35" s="152"/>
      <c r="P35" s="152"/>
      <c r="Q35" s="152"/>
      <c r="R35" s="152"/>
      <c r="S35" s="152"/>
    </row>
    <row r="36" spans="2:23" s="78" customFormat="1" x14ac:dyDescent="0.25">
      <c r="D36" s="78" t="s">
        <v>1</v>
      </c>
      <c r="E36" s="78" t="s">
        <v>6</v>
      </c>
      <c r="F36" s="78" t="s">
        <v>5</v>
      </c>
      <c r="G36" s="78" t="s">
        <v>2</v>
      </c>
      <c r="H36" s="78" t="s">
        <v>8</v>
      </c>
      <c r="I36" s="78" t="s">
        <v>9</v>
      </c>
      <c r="J36" s="78" t="s">
        <v>93</v>
      </c>
      <c r="K36" s="78" t="s">
        <v>94</v>
      </c>
      <c r="L36" s="78" t="s">
        <v>95</v>
      </c>
      <c r="M36" s="78" t="s">
        <v>28</v>
      </c>
      <c r="N36" s="78" t="s">
        <v>97</v>
      </c>
      <c r="O36" s="78" t="s">
        <v>98</v>
      </c>
      <c r="P36" s="78" t="s">
        <v>99</v>
      </c>
      <c r="Q36" s="78" t="s">
        <v>100</v>
      </c>
      <c r="R36" s="78" t="s">
        <v>101</v>
      </c>
      <c r="S36" s="78" t="s">
        <v>102</v>
      </c>
      <c r="T36" s="78" t="s">
        <v>103</v>
      </c>
      <c r="U36" s="78" t="s">
        <v>104</v>
      </c>
      <c r="V36" s="78" t="s">
        <v>175</v>
      </c>
      <c r="W36" s="78" t="s">
        <v>176</v>
      </c>
    </row>
    <row r="37" spans="2:23" s="72" customFormat="1" x14ac:dyDescent="0.25">
      <c r="B37" s="74" t="s">
        <v>186</v>
      </c>
      <c r="C37" s="73" t="s">
        <v>202</v>
      </c>
      <c r="D37" s="73" t="s">
        <v>92</v>
      </c>
      <c r="E37" s="73" t="s">
        <v>92</v>
      </c>
      <c r="F37" s="73" t="s">
        <v>188</v>
      </c>
      <c r="G37" s="73" t="s">
        <v>92</v>
      </c>
      <c r="H37" s="73" t="s">
        <v>189</v>
      </c>
      <c r="I37" s="73" t="s">
        <v>164</v>
      </c>
      <c r="J37" s="73"/>
      <c r="K37" s="73"/>
      <c r="L37" s="73" t="s">
        <v>163</v>
      </c>
      <c r="M37" s="73" t="s">
        <v>96</v>
      </c>
      <c r="N37" s="73" t="s">
        <v>96</v>
      </c>
      <c r="O37" s="73" t="s">
        <v>164</v>
      </c>
      <c r="P37" s="73"/>
      <c r="Q37" s="73"/>
      <c r="R37" s="73" t="s">
        <v>163</v>
      </c>
      <c r="S37" s="73"/>
      <c r="T37" s="73"/>
      <c r="V37" s="73" t="s">
        <v>174</v>
      </c>
    </row>
    <row r="38" spans="2:23" s="76" customFormat="1" x14ac:dyDescent="0.25">
      <c r="B38" s="75" t="s">
        <v>91</v>
      </c>
      <c r="C38" s="77" t="s">
        <v>202</v>
      </c>
      <c r="D38" s="77"/>
      <c r="E38" s="77" t="s">
        <v>105</v>
      </c>
      <c r="F38" s="77" t="s">
        <v>106</v>
      </c>
      <c r="G38" s="77" t="s">
        <v>107</v>
      </c>
      <c r="H38" s="77" t="s">
        <v>108</v>
      </c>
      <c r="I38" s="77" t="s">
        <v>164</v>
      </c>
      <c r="J38" s="77"/>
      <c r="K38" s="77"/>
      <c r="L38" s="77" t="s">
        <v>163</v>
      </c>
      <c r="M38" s="77" t="s">
        <v>107</v>
      </c>
      <c r="N38" s="77"/>
      <c r="O38" s="77" t="s">
        <v>164</v>
      </c>
      <c r="P38" s="77"/>
      <c r="Q38" s="77"/>
      <c r="R38" s="77" t="s">
        <v>163</v>
      </c>
      <c r="S38" s="77"/>
      <c r="T38" s="77"/>
      <c r="V38" s="77" t="s">
        <v>174</v>
      </c>
    </row>
    <row r="39" spans="2:23" x14ac:dyDescent="0.25">
      <c r="G39" t="s">
        <v>7</v>
      </c>
      <c r="H39" t="s">
        <v>7</v>
      </c>
      <c r="J39" t="s">
        <v>7</v>
      </c>
      <c r="K39" t="s">
        <v>7</v>
      </c>
      <c r="L39" t="s">
        <v>7</v>
      </c>
      <c r="M39" t="s">
        <v>4</v>
      </c>
      <c r="N39" t="s">
        <v>4</v>
      </c>
      <c r="O39" t="s">
        <v>4</v>
      </c>
      <c r="P39" t="s">
        <v>4</v>
      </c>
      <c r="Q39" t="s">
        <v>4</v>
      </c>
      <c r="R39" t="s">
        <v>4</v>
      </c>
    </row>
    <row r="40" spans="2:23" s="16" customFormat="1" ht="60" x14ac:dyDescent="0.25">
      <c r="B40" s="139" t="s">
        <v>192</v>
      </c>
      <c r="C40" s="139" t="s">
        <v>122</v>
      </c>
      <c r="D40" s="16" t="s">
        <v>30</v>
      </c>
      <c r="E40" s="16" t="s">
        <v>51</v>
      </c>
      <c r="F40" s="139" t="s">
        <v>90</v>
      </c>
      <c r="G40" s="16" t="s">
        <v>47</v>
      </c>
      <c r="H40" s="16" t="s">
        <v>49</v>
      </c>
      <c r="I40" s="16" t="s">
        <v>48</v>
      </c>
      <c r="J40" s="16" t="s">
        <v>52</v>
      </c>
      <c r="K40" s="16" t="s">
        <v>50</v>
      </c>
      <c r="L40" s="16" t="s">
        <v>53</v>
      </c>
      <c r="M40" s="16" t="s">
        <v>47</v>
      </c>
      <c r="N40" s="16" t="s">
        <v>49</v>
      </c>
      <c r="O40" s="16" t="s">
        <v>48</v>
      </c>
      <c r="P40" s="16" t="s">
        <v>54</v>
      </c>
      <c r="Q40" s="16" t="s">
        <v>31</v>
      </c>
      <c r="R40" s="16" t="s">
        <v>53</v>
      </c>
      <c r="S40" s="16" t="s">
        <v>53</v>
      </c>
      <c r="T40" s="16" t="s">
        <v>55</v>
      </c>
      <c r="U40" s="16" t="s">
        <v>89</v>
      </c>
      <c r="V40" s="16" t="s">
        <v>59</v>
      </c>
      <c r="W40" s="142" t="s">
        <v>60</v>
      </c>
    </row>
    <row r="41" spans="2:23" x14ac:dyDescent="0.25">
      <c r="B41" t="s">
        <v>38</v>
      </c>
      <c r="C41" s="140" t="s">
        <v>199</v>
      </c>
      <c r="D41">
        <v>2400</v>
      </c>
      <c r="E41">
        <v>48000</v>
      </c>
      <c r="F41" s="49">
        <f>AVERAGE(327, 327, 326, 329)</f>
        <v>327.25</v>
      </c>
      <c r="G41" s="1">
        <v>22100000</v>
      </c>
      <c r="H41" s="13">
        <f>AVERAGE(1300, 1400, 1100, 1000)*2400</f>
        <v>2880000</v>
      </c>
      <c r="I41" s="27">
        <v>1.1034817623962963</v>
      </c>
      <c r="J41" s="1">
        <f>H41*I41</f>
        <v>3178027.475701333</v>
      </c>
      <c r="K41" s="1">
        <f>G41+J41</f>
        <v>25278027.475701332</v>
      </c>
      <c r="L41" s="1">
        <f>K41*'Inflation Rates'!$C$9</f>
        <v>27281719.435897812</v>
      </c>
      <c r="M41">
        <v>0.62</v>
      </c>
      <c r="N41" s="11">
        <f>AVERAGE(0.15, 0.16, 0.12, 0.11)</f>
        <v>0.13500000000000001</v>
      </c>
      <c r="O41" s="52">
        <f>I41</f>
        <v>1.1034817623962963</v>
      </c>
      <c r="P41" s="11">
        <f>N41*O41</f>
        <v>0.1489700379235</v>
      </c>
      <c r="Q41" s="12">
        <f>M41+P41</f>
        <v>0.76897003792350005</v>
      </c>
      <c r="R41" s="2">
        <f>Q41*'Inflation Rates'!$C$9</f>
        <v>0.82992333359106674</v>
      </c>
      <c r="S41" s="1">
        <f>R41*E41*F41</f>
        <v>13036435.724048475</v>
      </c>
      <c r="T41" s="1">
        <f>L41+S41</f>
        <v>40318155.159946285</v>
      </c>
      <c r="U41" s="37">
        <f>T41/F41</f>
        <v>123202.91874697107</v>
      </c>
      <c r="V41" s="37">
        <f>E41/VLOOKUP(B41, 'Step 3 - Convert Ext. Estimates'!$B$38:$I$44, 3, FALSE)</f>
        <v>11.146276616562345</v>
      </c>
      <c r="W41" s="144">
        <f>T41/V41/F41</f>
        <v>11053.280210532623</v>
      </c>
    </row>
    <row r="42" spans="2:23" x14ac:dyDescent="0.25">
      <c r="B42" t="s">
        <v>39</v>
      </c>
      <c r="C42" s="140" t="s">
        <v>200</v>
      </c>
      <c r="D42">
        <v>2400</v>
      </c>
      <c r="E42">
        <v>48000</v>
      </c>
      <c r="F42" s="49">
        <f>AVERAGE(219, 218, 218, 218, 217, 216)</f>
        <v>217.66666666666666</v>
      </c>
      <c r="G42" s="1">
        <v>22100000</v>
      </c>
      <c r="H42" s="13">
        <f>AVERAGE(1300, 1300, 1400, 1100, 1000, 1000)*2400</f>
        <v>2840000</v>
      </c>
      <c r="I42" s="27">
        <v>1.1034817623962963</v>
      </c>
      <c r="J42" s="1">
        <f>H42*I42</f>
        <v>3133888.2052054815</v>
      </c>
      <c r="K42" s="1">
        <f>G42+J42</f>
        <v>25233888.205205481</v>
      </c>
      <c r="L42" s="1">
        <f>K42*'Inflation Rates'!$C$9</f>
        <v>27234081.415291555</v>
      </c>
      <c r="M42" s="39"/>
      <c r="N42" s="39"/>
      <c r="O42" s="39"/>
      <c r="P42" s="39"/>
      <c r="Q42" s="39"/>
      <c r="R42" s="39"/>
      <c r="S42" s="39"/>
      <c r="T42" s="37">
        <f>L42</f>
        <v>27234081.415291555</v>
      </c>
      <c r="U42" s="37">
        <f t="shared" ref="U42:U43" si="1">T42/F42</f>
        <v>125118.29134130884</v>
      </c>
      <c r="V42" s="37">
        <f>D42/VLOOKUP(B42, 'Step 3 - Convert Ext. Estimates'!$B$38:$I$44, 3, FALSE)</f>
        <v>37.636594261906353</v>
      </c>
      <c r="W42" s="144">
        <f>T42/V42/F42</f>
        <v>3324.3786743995202</v>
      </c>
    </row>
    <row r="43" spans="2:23" x14ac:dyDescent="0.25">
      <c r="B43" s="10" t="s">
        <v>41</v>
      </c>
      <c r="C43" s="10" t="s">
        <v>201</v>
      </c>
      <c r="D43" s="39"/>
      <c r="E43">
        <v>50000</v>
      </c>
      <c r="F43" s="1">
        <f>AVERAGE(43.5, 47.5, 43.5, 43.1, 43.1)*2</f>
        <v>88.28</v>
      </c>
      <c r="G43" s="1">
        <f>7435000*2</f>
        <v>14870000</v>
      </c>
      <c r="H43" s="13">
        <f>12000*2*AVERAGE(54, 54, 67, 67)</f>
        <v>1452000</v>
      </c>
      <c r="I43" s="27">
        <v>1.1034817623962963</v>
      </c>
      <c r="J43" s="1">
        <f>H43*I43</f>
        <v>1602255.5189994222</v>
      </c>
      <c r="K43" s="1">
        <f>G43+J43</f>
        <v>16472255.518999422</v>
      </c>
      <c r="L43" s="1">
        <f>K43*'Inflation Rates'!$C$8</f>
        <v>19324111.612588648</v>
      </c>
      <c r="M43">
        <v>0.81</v>
      </c>
      <c r="N43" s="39"/>
      <c r="O43" s="39"/>
      <c r="P43" s="39"/>
      <c r="Q43">
        <f>M43</f>
        <v>0.81</v>
      </c>
      <c r="R43" s="2">
        <f>Q43*'Inflation Rates'!C8</f>
        <v>0.95023601280000003</v>
      </c>
      <c r="S43" s="1">
        <f>R43*E43*F43</f>
        <v>4194341.7604991999</v>
      </c>
      <c r="T43" s="37">
        <f>L43+S43</f>
        <v>23518453.373087846</v>
      </c>
      <c r="U43" s="37">
        <f t="shared" si="1"/>
        <v>266407.49176583422</v>
      </c>
      <c r="V43" s="37">
        <f>E43/VLOOKUP(B43, 'Step 3 - Convert Ext. Estimates'!$B$38:$I$44, 3, FALSE)</f>
        <v>72.847150626917639</v>
      </c>
      <c r="W43" s="144">
        <f>T43/V43/F43</f>
        <v>3657.0749778563663</v>
      </c>
    </row>
    <row r="46" spans="2:23" x14ac:dyDescent="0.25">
      <c r="U46" s="66"/>
      <c r="V46" s="66"/>
    </row>
    <row r="47" spans="2:23" x14ac:dyDescent="0.25">
      <c r="U47" s="13"/>
      <c r="V47" s="13"/>
      <c r="W47" s="37"/>
    </row>
    <row r="48" spans="2:23" x14ac:dyDescent="0.25">
      <c r="U48" s="13"/>
      <c r="V48" s="13"/>
      <c r="W48" s="37"/>
    </row>
    <row r="49" spans="21:23" x14ac:dyDescent="0.25">
      <c r="U49" s="13"/>
      <c r="V49" s="13"/>
      <c r="W49" s="37"/>
    </row>
  </sheetData>
  <mergeCells count="10">
    <mergeCell ref="G35:L35"/>
    <mergeCell ref="M35:S35"/>
    <mergeCell ref="B5:J8"/>
    <mergeCell ref="B4:J4"/>
    <mergeCell ref="B9:J12"/>
    <mergeCell ref="B15:J17"/>
    <mergeCell ref="G21:L21"/>
    <mergeCell ref="M21:S21"/>
    <mergeCell ref="B13:J14"/>
    <mergeCell ref="B18:J1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6"/>
  <sheetViews>
    <sheetView zoomScaleNormal="100" workbookViewId="0">
      <selection activeCell="B35" sqref="B35"/>
    </sheetView>
  </sheetViews>
  <sheetFormatPr defaultRowHeight="15" x14ac:dyDescent="0.25"/>
  <cols>
    <col min="1" max="1" width="2.85546875" customWidth="1"/>
    <col min="2" max="2" width="14.42578125" bestFit="1" customWidth="1"/>
    <col min="3" max="3" width="17" customWidth="1"/>
    <col min="4" max="4" width="14.42578125" bestFit="1" customWidth="1"/>
    <col min="5" max="5" width="14.42578125" customWidth="1"/>
    <col min="6" max="6" width="16.7109375" bestFit="1" customWidth="1"/>
    <col min="7" max="7" width="18.7109375" customWidth="1"/>
    <col min="8" max="8" width="13.28515625" bestFit="1" customWidth="1"/>
  </cols>
  <sheetData>
    <row r="1" spans="2:8" x14ac:dyDescent="0.25">
      <c r="B1" t="s">
        <v>114</v>
      </c>
    </row>
    <row r="2" spans="2:8" s="140" customFormat="1" x14ac:dyDescent="0.25">
      <c r="B2" s="19" t="s">
        <v>185</v>
      </c>
    </row>
    <row r="3" spans="2:8" s="140" customFormat="1" x14ac:dyDescent="0.25">
      <c r="B3" s="19"/>
    </row>
    <row r="4" spans="2:8" x14ac:dyDescent="0.25">
      <c r="B4" s="153" t="s">
        <v>196</v>
      </c>
      <c r="C4" s="153"/>
      <c r="D4" s="153"/>
      <c r="E4" s="153"/>
      <c r="F4" s="153"/>
      <c r="G4" s="153"/>
      <c r="H4" s="153"/>
    </row>
    <row r="5" spans="2:8" x14ac:dyDescent="0.25">
      <c r="B5" s="153"/>
      <c r="C5" s="153"/>
      <c r="D5" s="153"/>
      <c r="E5" s="153"/>
      <c r="F5" s="153"/>
      <c r="G5" s="153"/>
      <c r="H5" s="153"/>
    </row>
    <row r="6" spans="2:8" x14ac:dyDescent="0.25">
      <c r="B6" s="153" t="s">
        <v>119</v>
      </c>
      <c r="C6" s="153"/>
      <c r="D6" s="153"/>
      <c r="E6" s="153"/>
      <c r="F6" s="153"/>
      <c r="G6" s="153"/>
      <c r="H6" s="153"/>
    </row>
    <row r="7" spans="2:8" x14ac:dyDescent="0.25">
      <c r="B7" s="153"/>
      <c r="C7" s="153"/>
      <c r="D7" s="153"/>
      <c r="E7" s="153"/>
      <c r="F7" s="153"/>
      <c r="G7" s="153"/>
      <c r="H7" s="153"/>
    </row>
    <row r="8" spans="2:8" s="140" customFormat="1" ht="15" customHeight="1" x14ac:dyDescent="0.25">
      <c r="B8" s="153" t="s">
        <v>194</v>
      </c>
      <c r="C8" s="153"/>
      <c r="D8" s="153"/>
      <c r="E8" s="153"/>
      <c r="F8" s="153"/>
      <c r="G8" s="153"/>
      <c r="H8" s="153"/>
    </row>
    <row r="9" spans="2:8" ht="15" customHeight="1" x14ac:dyDescent="0.25">
      <c r="B9" s="139"/>
      <c r="C9" s="139"/>
      <c r="D9" s="139"/>
      <c r="E9" s="139"/>
      <c r="F9" s="139"/>
      <c r="G9" s="139"/>
      <c r="H9" s="139"/>
    </row>
    <row r="10" spans="2:8" s="82" customFormat="1" x14ac:dyDescent="0.25">
      <c r="B10" s="82" t="s">
        <v>110</v>
      </c>
      <c r="C10" s="83" t="s">
        <v>111</v>
      </c>
      <c r="D10" s="83" t="s">
        <v>166</v>
      </c>
      <c r="E10" s="83" t="s">
        <v>116</v>
      </c>
      <c r="F10" s="73" t="s">
        <v>165</v>
      </c>
    </row>
    <row r="11" spans="2:8" s="80" customFormat="1" x14ac:dyDescent="0.25">
      <c r="C11" s="80" t="s">
        <v>1</v>
      </c>
      <c r="D11" s="80" t="s">
        <v>6</v>
      </c>
      <c r="E11" s="80" t="s">
        <v>5</v>
      </c>
      <c r="F11" s="80" t="s">
        <v>117</v>
      </c>
      <c r="G11" s="85" t="s">
        <v>126</v>
      </c>
      <c r="H11" s="80" t="s">
        <v>118</v>
      </c>
    </row>
    <row r="12" spans="2:8" ht="30" x14ac:dyDescent="0.25">
      <c r="C12" s="148" t="s">
        <v>195</v>
      </c>
      <c r="D12" s="149" t="s">
        <v>13</v>
      </c>
      <c r="E12" s="149" t="s">
        <v>3</v>
      </c>
      <c r="F12" s="149" t="s">
        <v>3</v>
      </c>
      <c r="G12" s="149" t="s">
        <v>21</v>
      </c>
      <c r="H12" s="150" t="s">
        <v>32</v>
      </c>
    </row>
    <row r="13" spans="2:8" x14ac:dyDescent="0.25">
      <c r="C13" t="s">
        <v>0</v>
      </c>
      <c r="E13" t="s">
        <v>26</v>
      </c>
      <c r="F13" t="s">
        <v>17</v>
      </c>
      <c r="H13" s="35"/>
    </row>
    <row r="14" spans="2:8" x14ac:dyDescent="0.25">
      <c r="B14" t="s">
        <v>11</v>
      </c>
      <c r="C14" s="27">
        <f>79225/3818</f>
        <v>20.750392875851229</v>
      </c>
      <c r="D14" s="4">
        <f>C35</f>
        <v>0.33375000000000005</v>
      </c>
      <c r="E14" s="11">
        <v>2.66</v>
      </c>
      <c r="F14" s="36">
        <f>E14*'Inflation Rates'!C10</f>
        <v>2.8461999952505415</v>
      </c>
      <c r="G14" s="1">
        <f>(C14*'1b. EPA 2016'!D14*F14)*8760</f>
        <v>172670.0910192905</v>
      </c>
      <c r="H14" s="145">
        <f>G14/C14</f>
        <v>8321.2926161142459</v>
      </c>
    </row>
    <row r="17" spans="2:3" x14ac:dyDescent="0.25">
      <c r="B17" s="19" t="s">
        <v>115</v>
      </c>
    </row>
    <row r="18" spans="2:3" x14ac:dyDescent="0.25">
      <c r="B18" t="s">
        <v>71</v>
      </c>
      <c r="C18" t="s">
        <v>72</v>
      </c>
    </row>
    <row r="19" spans="2:3" x14ac:dyDescent="0.25">
      <c r="B19" t="s">
        <v>70</v>
      </c>
      <c r="C19" s="42">
        <v>0.23</v>
      </c>
    </row>
    <row r="20" spans="2:3" x14ac:dyDescent="0.25">
      <c r="B20" t="s">
        <v>73</v>
      </c>
      <c r="C20" s="42">
        <v>0.31</v>
      </c>
    </row>
    <row r="21" spans="2:3" x14ac:dyDescent="0.25">
      <c r="B21" t="s">
        <v>74</v>
      </c>
      <c r="C21" s="42">
        <v>0.16</v>
      </c>
    </row>
    <row r="22" spans="2:3" x14ac:dyDescent="0.25">
      <c r="B22" t="s">
        <v>75</v>
      </c>
      <c r="C22" s="42">
        <v>0.37</v>
      </c>
    </row>
    <row r="23" spans="2:3" x14ac:dyDescent="0.25">
      <c r="B23" t="s">
        <v>76</v>
      </c>
      <c r="C23" s="42">
        <v>0.28999999999999998</v>
      </c>
    </row>
    <row r="24" spans="2:3" x14ac:dyDescent="0.25">
      <c r="B24" t="s">
        <v>77</v>
      </c>
      <c r="C24" s="42">
        <v>0.3</v>
      </c>
    </row>
    <row r="25" spans="2:3" x14ac:dyDescent="0.25">
      <c r="B25" t="s">
        <v>78</v>
      </c>
      <c r="C25" s="42">
        <v>0.38</v>
      </c>
    </row>
    <row r="26" spans="2:3" x14ac:dyDescent="0.25">
      <c r="B26" t="s">
        <v>79</v>
      </c>
      <c r="C26" s="42">
        <v>0.45</v>
      </c>
    </row>
    <row r="27" spans="2:3" x14ac:dyDescent="0.25">
      <c r="B27" t="s">
        <v>80</v>
      </c>
      <c r="C27" s="42">
        <v>0.43</v>
      </c>
    </row>
    <row r="28" spans="2:3" x14ac:dyDescent="0.25">
      <c r="B28" t="s">
        <v>81</v>
      </c>
      <c r="C28" s="42">
        <v>0.27</v>
      </c>
    </row>
    <row r="29" spans="2:3" x14ac:dyDescent="0.25">
      <c r="B29" t="s">
        <v>82</v>
      </c>
      <c r="C29" s="42">
        <v>0.49</v>
      </c>
    </row>
    <row r="30" spans="2:3" x14ac:dyDescent="0.25">
      <c r="B30" t="s">
        <v>83</v>
      </c>
      <c r="C30" s="42">
        <v>0.43</v>
      </c>
    </row>
    <row r="31" spans="2:3" x14ac:dyDescent="0.25">
      <c r="B31" t="s">
        <v>84</v>
      </c>
      <c r="C31" s="42">
        <v>0.32</v>
      </c>
    </row>
    <row r="32" spans="2:3" x14ac:dyDescent="0.25">
      <c r="B32" t="s">
        <v>85</v>
      </c>
      <c r="C32" s="42">
        <v>0.24</v>
      </c>
    </row>
    <row r="33" spans="2:4" x14ac:dyDescent="0.25">
      <c r="B33" t="s">
        <v>86</v>
      </c>
      <c r="C33" s="42">
        <v>0.33</v>
      </c>
    </row>
    <row r="34" spans="2:4" x14ac:dyDescent="0.25">
      <c r="B34" s="24" t="s">
        <v>87</v>
      </c>
      <c r="C34" s="58">
        <v>0.34</v>
      </c>
    </row>
    <row r="35" spans="2:4" x14ac:dyDescent="0.25">
      <c r="B35" s="5" t="s">
        <v>88</v>
      </c>
      <c r="C35" s="42">
        <f>AVERAGE(C19:C34)</f>
        <v>0.33375000000000005</v>
      </c>
      <c r="D35" s="81" t="s">
        <v>6</v>
      </c>
    </row>
    <row r="36" spans="2:4" x14ac:dyDescent="0.25">
      <c r="B36" s="57"/>
    </row>
  </sheetData>
  <mergeCells count="3">
    <mergeCell ref="B4:H5"/>
    <mergeCell ref="B6:H7"/>
    <mergeCell ref="B8:H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1"/>
  <sheetViews>
    <sheetView workbookViewId="0">
      <selection activeCell="J15" sqref="J15"/>
    </sheetView>
  </sheetViews>
  <sheetFormatPr defaultRowHeight="15" x14ac:dyDescent="0.25"/>
  <cols>
    <col min="1" max="1" width="2.7109375" customWidth="1"/>
    <col min="2" max="2" width="27.5703125" bestFit="1" customWidth="1"/>
    <col min="3" max="3" width="11" bestFit="1" customWidth="1"/>
    <col min="4" max="4" width="21.42578125" customWidth="1"/>
    <col min="5" max="5" width="14.42578125" bestFit="1" customWidth="1"/>
    <col min="6" max="6" width="14.42578125" customWidth="1"/>
    <col min="7" max="7" width="16.7109375" bestFit="1" customWidth="1"/>
    <col min="8" max="8" width="15.5703125" bestFit="1" customWidth="1"/>
    <col min="9" max="9" width="20.7109375" bestFit="1" customWidth="1"/>
    <col min="10" max="10" width="17.5703125" bestFit="1" customWidth="1"/>
    <col min="11" max="11" width="13.28515625" bestFit="1" customWidth="1"/>
    <col min="12" max="12" width="15" bestFit="1" customWidth="1"/>
  </cols>
  <sheetData>
    <row r="1" spans="2:22" x14ac:dyDescent="0.25">
      <c r="B1" t="s">
        <v>123</v>
      </c>
    </row>
    <row r="2" spans="2:22" s="140" customFormat="1" x14ac:dyDescent="0.25">
      <c r="B2" s="19" t="s">
        <v>185</v>
      </c>
    </row>
    <row r="3" spans="2:22" s="82" customFormat="1" x14ac:dyDescent="0.25">
      <c r="B3"/>
      <c r="C3"/>
      <c r="D3"/>
      <c r="E3"/>
      <c r="F3"/>
      <c r="G3"/>
      <c r="H3"/>
    </row>
    <row r="4" spans="2:22" s="80" customFormat="1" x14ac:dyDescent="0.25">
      <c r="B4" s="153" t="s">
        <v>136</v>
      </c>
      <c r="C4" s="153"/>
      <c r="D4" s="153"/>
      <c r="E4" s="153"/>
      <c r="F4" s="153"/>
      <c r="G4" s="153"/>
      <c r="H4" s="153"/>
    </row>
    <row r="5" spans="2:22" s="80" customFormat="1" x14ac:dyDescent="0.25">
      <c r="B5" s="153"/>
      <c r="C5" s="153"/>
      <c r="D5" s="153"/>
      <c r="E5" s="153"/>
      <c r="F5" s="153"/>
      <c r="G5" s="153"/>
      <c r="H5" s="153"/>
    </row>
    <row r="6" spans="2:22" x14ac:dyDescent="0.25">
      <c r="B6" s="153"/>
      <c r="C6" s="153"/>
      <c r="D6" s="153"/>
      <c r="E6" s="153"/>
      <c r="F6" s="153"/>
      <c r="G6" s="153"/>
      <c r="H6" s="153"/>
      <c r="O6" s="16"/>
      <c r="P6" s="16"/>
      <c r="Q6" s="16"/>
      <c r="R6" s="16"/>
      <c r="S6" s="16"/>
      <c r="T6" s="16"/>
      <c r="U6" s="16"/>
      <c r="V6" s="16"/>
    </row>
    <row r="7" spans="2:22" x14ac:dyDescent="0.25">
      <c r="B7" s="153" t="s">
        <v>119</v>
      </c>
      <c r="C7" s="153"/>
      <c r="D7" s="153"/>
      <c r="E7" s="153"/>
      <c r="F7" s="153"/>
      <c r="G7" s="153"/>
      <c r="H7" s="153"/>
      <c r="O7" s="16"/>
      <c r="P7" s="16"/>
      <c r="Q7" s="16"/>
      <c r="R7" s="16"/>
      <c r="S7" s="16"/>
      <c r="T7" s="16"/>
      <c r="U7" s="16"/>
      <c r="V7" s="16"/>
    </row>
    <row r="8" spans="2:22" x14ac:dyDescent="0.25">
      <c r="B8" s="153" t="s">
        <v>203</v>
      </c>
      <c r="C8" s="153"/>
      <c r="D8" s="153"/>
      <c r="E8" s="153"/>
      <c r="F8" s="153"/>
      <c r="G8" s="153"/>
      <c r="H8" s="153"/>
    </row>
    <row r="9" spans="2:22" x14ac:dyDescent="0.25">
      <c r="B9" s="153"/>
      <c r="C9" s="153"/>
      <c r="D9" s="153"/>
      <c r="E9" s="153"/>
      <c r="F9" s="153"/>
      <c r="G9" s="153"/>
      <c r="H9" s="153"/>
    </row>
    <row r="10" spans="2:22" ht="15" customHeight="1" x14ac:dyDescent="0.25">
      <c r="B10" s="153" t="s">
        <v>204</v>
      </c>
      <c r="C10" s="153"/>
      <c r="D10" s="153"/>
      <c r="E10" s="153"/>
      <c r="F10" s="153"/>
      <c r="G10" s="153"/>
      <c r="H10" s="153"/>
    </row>
    <row r="11" spans="2:22" s="140" customFormat="1" ht="15" customHeight="1" x14ac:dyDescent="0.25">
      <c r="B11" s="139"/>
      <c r="C11" s="139"/>
      <c r="D11" s="139"/>
      <c r="E11" s="139"/>
      <c r="F11" s="139"/>
      <c r="G11" s="139"/>
      <c r="H11" s="139"/>
    </row>
    <row r="12" spans="2:22" x14ac:dyDescent="0.25">
      <c r="B12" s="82" t="s">
        <v>110</v>
      </c>
      <c r="C12" s="73" t="s">
        <v>163</v>
      </c>
      <c r="D12" s="83" t="s">
        <v>197</v>
      </c>
      <c r="E12" s="82"/>
      <c r="F12" s="83" t="s">
        <v>197</v>
      </c>
      <c r="G12" s="73" t="s">
        <v>165</v>
      </c>
      <c r="H12" s="83" t="s">
        <v>166</v>
      </c>
      <c r="I12" s="82"/>
      <c r="L12" s="83" t="s">
        <v>164</v>
      </c>
    </row>
    <row r="13" spans="2:22" x14ac:dyDescent="0.25">
      <c r="B13" s="80"/>
      <c r="D13" s="80" t="s">
        <v>1</v>
      </c>
      <c r="E13" s="80" t="s">
        <v>6</v>
      </c>
      <c r="F13" s="80" t="s">
        <v>5</v>
      </c>
      <c r="G13" s="80" t="s">
        <v>117</v>
      </c>
      <c r="H13" s="80" t="s">
        <v>8</v>
      </c>
      <c r="I13" s="80" t="s">
        <v>124</v>
      </c>
      <c r="J13" s="80" t="s">
        <v>125</v>
      </c>
      <c r="K13" s="80" t="s">
        <v>127</v>
      </c>
      <c r="L13" s="80" t="s">
        <v>128</v>
      </c>
    </row>
    <row r="14" spans="2:22" x14ac:dyDescent="0.25">
      <c r="D14" s="18"/>
    </row>
    <row r="15" spans="2:22" x14ac:dyDescent="0.25">
      <c r="B15" t="s">
        <v>10</v>
      </c>
      <c r="C15" t="s">
        <v>122</v>
      </c>
      <c r="D15" t="s">
        <v>15</v>
      </c>
      <c r="E15" t="s">
        <v>13</v>
      </c>
      <c r="F15" t="s">
        <v>3</v>
      </c>
      <c r="G15" t="s">
        <v>3</v>
      </c>
      <c r="H15" t="s">
        <v>18</v>
      </c>
      <c r="I15" t="s">
        <v>19</v>
      </c>
      <c r="J15" t="s">
        <v>21</v>
      </c>
      <c r="K15" t="s">
        <v>22</v>
      </c>
      <c r="L15" s="35" t="s">
        <v>23</v>
      </c>
    </row>
    <row r="16" spans="2:22" x14ac:dyDescent="0.25">
      <c r="D16" t="s">
        <v>0</v>
      </c>
      <c r="F16" t="s">
        <v>64</v>
      </c>
      <c r="G16" t="s">
        <v>20</v>
      </c>
      <c r="H16" t="s">
        <v>20</v>
      </c>
      <c r="I16" t="s">
        <v>20</v>
      </c>
      <c r="L16" s="35"/>
    </row>
    <row r="17" spans="2:13" x14ac:dyDescent="0.25">
      <c r="L17" s="35"/>
    </row>
    <row r="18" spans="2:13" x14ac:dyDescent="0.25">
      <c r="B18" t="s">
        <v>39</v>
      </c>
      <c r="C18" t="s">
        <v>120</v>
      </c>
      <c r="D18">
        <v>222</v>
      </c>
      <c r="E18" s="4">
        <v>0.1</v>
      </c>
      <c r="F18">
        <v>2.2799999999999998</v>
      </c>
      <c r="G18" s="11">
        <f>F18*'Inflation Rates'!$C$11</f>
        <v>2.3794155232323226</v>
      </c>
      <c r="H18">
        <f>VLOOKUP(B18, 'VO Estimates'!$B$9:$C$12,2, FALSE)</f>
        <v>0.97</v>
      </c>
      <c r="I18" s="11">
        <f t="shared" ref="I18:I22" si="0">G18-H18</f>
        <v>1.4094155232323227</v>
      </c>
      <c r="J18" s="9">
        <f t="shared" ref="J18:J22" si="1">(I18*D18*E18)*8760</f>
        <v>274091.8556340363</v>
      </c>
      <c r="K18" s="37">
        <f>J18/D18</f>
        <v>1234.6479983515148</v>
      </c>
      <c r="L18" s="143">
        <f>AVERAGE(K18:K19)</f>
        <v>1234.6479983515148</v>
      </c>
      <c r="M18" s="3"/>
    </row>
    <row r="19" spans="2:13" x14ac:dyDescent="0.25">
      <c r="B19" t="s">
        <v>39</v>
      </c>
      <c r="C19" t="s">
        <v>120</v>
      </c>
      <c r="D19">
        <v>443</v>
      </c>
      <c r="E19" s="4">
        <v>0.1</v>
      </c>
      <c r="F19">
        <v>2.2799999999999998</v>
      </c>
      <c r="G19" s="11">
        <f>F19*'Inflation Rates'!$C$11</f>
        <v>2.3794155232323226</v>
      </c>
      <c r="H19">
        <f>VLOOKUP(B19, 'VO Estimates'!$B$9:$C$12,2, FALSE)</f>
        <v>0.97</v>
      </c>
      <c r="I19" s="11">
        <f t="shared" si="0"/>
        <v>1.4094155232323227</v>
      </c>
      <c r="J19" s="9">
        <f t="shared" si="1"/>
        <v>546949.06326972111</v>
      </c>
      <c r="K19" s="37">
        <f t="shared" ref="K19:K22" si="2">J19/D19</f>
        <v>1234.6479983515148</v>
      </c>
      <c r="L19" s="35"/>
      <c r="M19" s="3"/>
    </row>
    <row r="20" spans="2:13" x14ac:dyDescent="0.25">
      <c r="B20" s="10" t="s">
        <v>41</v>
      </c>
      <c r="C20" t="s">
        <v>16</v>
      </c>
      <c r="D20">
        <v>282</v>
      </c>
      <c r="E20" s="4">
        <v>0.1</v>
      </c>
      <c r="F20">
        <v>2.2799999999999998</v>
      </c>
      <c r="G20" s="11">
        <f>F20*'Inflation Rates'!$C$11</f>
        <v>2.3794155232323226</v>
      </c>
      <c r="H20">
        <f>VLOOKUP(B20, 'VO Estimates'!$B$9:$C$12,2, FALSE)</f>
        <v>2.15</v>
      </c>
      <c r="I20" s="11">
        <f t="shared" si="0"/>
        <v>0.22941552323232273</v>
      </c>
      <c r="J20" s="9">
        <f t="shared" si="1"/>
        <v>56672.975535127145</v>
      </c>
      <c r="K20" s="37">
        <f t="shared" si="2"/>
        <v>200.96799835151469</v>
      </c>
      <c r="L20" s="143">
        <f>AVERAGE(K20:K20)</f>
        <v>200.96799835151469</v>
      </c>
      <c r="M20" s="3"/>
    </row>
    <row r="21" spans="2:13" x14ac:dyDescent="0.25">
      <c r="B21" t="s">
        <v>38</v>
      </c>
      <c r="C21" t="s">
        <v>121</v>
      </c>
      <c r="D21">
        <v>729</v>
      </c>
      <c r="E21" s="4">
        <v>0.5</v>
      </c>
      <c r="F21">
        <v>2.21</v>
      </c>
      <c r="G21" s="11">
        <f>F21*'Inflation Rates'!$C$11</f>
        <v>2.3063632922558921</v>
      </c>
      <c r="H21">
        <f>VLOOKUP(B21, 'VO Estimates'!$B$9:$C$12,2, FALSE)</f>
        <v>0.59</v>
      </c>
      <c r="I21" s="11">
        <f t="shared" si="0"/>
        <v>1.7163632922558922</v>
      </c>
      <c r="J21" s="9">
        <f t="shared" si="1"/>
        <v>5480382.3194389082</v>
      </c>
      <c r="K21" s="37">
        <f t="shared" si="2"/>
        <v>7517.671220080807</v>
      </c>
      <c r="L21" s="143">
        <f>AVERAGE(K21:K22)</f>
        <v>6626.3296418383834</v>
      </c>
      <c r="M21" s="3"/>
    </row>
    <row r="22" spans="2:13" x14ac:dyDescent="0.25">
      <c r="B22" t="s">
        <v>38</v>
      </c>
      <c r="C22" t="s">
        <v>121</v>
      </c>
      <c r="D22">
        <v>710</v>
      </c>
      <c r="E22" s="4">
        <v>0.5</v>
      </c>
      <c r="F22">
        <v>1.82</v>
      </c>
      <c r="G22" s="11">
        <f>F22*'Inflation Rates'!$C$11</f>
        <v>1.8993580053872052</v>
      </c>
      <c r="H22">
        <f>VLOOKUP(B22, 'VO Estimates'!$B$9:$C$12,2, FALSE)</f>
        <v>0.59</v>
      </c>
      <c r="I22" s="11">
        <f t="shared" si="0"/>
        <v>1.3093580053872054</v>
      </c>
      <c r="J22" s="9">
        <f t="shared" si="1"/>
        <v>4071841.5251531312</v>
      </c>
      <c r="K22" s="37">
        <f t="shared" si="2"/>
        <v>5734.9880635959598</v>
      </c>
      <c r="M22" s="3"/>
    </row>
    <row r="23" spans="2:13" x14ac:dyDescent="0.25">
      <c r="E23" s="4"/>
      <c r="I23" s="11"/>
      <c r="J23" s="9"/>
      <c r="K23" s="37"/>
      <c r="M23" s="3"/>
    </row>
    <row r="26" spans="2:13" x14ac:dyDescent="0.25">
      <c r="D26" s="22"/>
      <c r="E26" s="22"/>
    </row>
    <row r="27" spans="2:13" x14ac:dyDescent="0.25">
      <c r="D27" s="22"/>
      <c r="E27" s="22"/>
    </row>
    <row r="28" spans="2:13" x14ac:dyDescent="0.25">
      <c r="D28" s="84"/>
      <c r="E28" s="22"/>
    </row>
    <row r="29" spans="2:13" x14ac:dyDescent="0.25">
      <c r="D29" s="84"/>
      <c r="E29" s="22"/>
    </row>
    <row r="30" spans="2:13" x14ac:dyDescent="0.25">
      <c r="D30" s="22"/>
      <c r="E30" s="22"/>
    </row>
    <row r="31" spans="2:13" x14ac:dyDescent="0.25">
      <c r="D31" s="22"/>
      <c r="E31" s="22"/>
    </row>
  </sheetData>
  <mergeCells count="4">
    <mergeCell ref="B4:H6"/>
    <mergeCell ref="B7:H7"/>
    <mergeCell ref="B8:H9"/>
    <mergeCell ref="B10:H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election activeCell="B1" sqref="B1"/>
    </sheetView>
  </sheetViews>
  <sheetFormatPr defaultRowHeight="15" x14ac:dyDescent="0.25"/>
  <cols>
    <col min="1" max="1" width="3.140625" style="140" customWidth="1"/>
    <col min="2" max="2" width="20.140625" bestFit="1" customWidth="1"/>
    <col min="3" max="3" width="38" customWidth="1"/>
    <col min="4" max="4" width="16.5703125" bestFit="1" customWidth="1"/>
    <col min="5" max="5" width="14.42578125" bestFit="1" customWidth="1"/>
    <col min="6" max="6" width="13.5703125" bestFit="1" customWidth="1"/>
    <col min="7" max="7" width="16.7109375" bestFit="1" customWidth="1"/>
    <col min="8" max="8" width="20.7109375" bestFit="1" customWidth="1"/>
    <col min="9" max="10" width="17.5703125" bestFit="1" customWidth="1"/>
    <col min="11" max="11" width="14" bestFit="1" customWidth="1"/>
    <col min="12" max="12" width="10.5703125" bestFit="1" customWidth="1"/>
    <col min="13" max="13" width="13.28515625" bestFit="1" customWidth="1"/>
    <col min="15" max="15" width="15" bestFit="1" customWidth="1"/>
  </cols>
  <sheetData>
    <row r="1" spans="2:15" x14ac:dyDescent="0.25">
      <c r="B1" t="s">
        <v>129</v>
      </c>
    </row>
    <row r="2" spans="2:15" s="140" customFormat="1" x14ac:dyDescent="0.25">
      <c r="B2" s="19" t="s">
        <v>185</v>
      </c>
    </row>
    <row r="3" spans="2:15" x14ac:dyDescent="0.25">
      <c r="H3" s="82"/>
      <c r="I3" s="82"/>
      <c r="J3" s="82"/>
      <c r="K3" s="82"/>
    </row>
    <row r="4" spans="2:15" ht="15" customHeight="1" x14ac:dyDescent="0.25">
      <c r="B4" s="153" t="s">
        <v>205</v>
      </c>
      <c r="C4" s="153"/>
      <c r="D4" s="153"/>
      <c r="E4" s="153"/>
      <c r="F4" s="153"/>
      <c r="G4" s="153"/>
      <c r="H4" s="139"/>
    </row>
    <row r="5" spans="2:15" s="140" customFormat="1" x14ac:dyDescent="0.25">
      <c r="B5" s="153"/>
      <c r="C5" s="153"/>
      <c r="D5" s="153"/>
      <c r="E5" s="153"/>
      <c r="F5" s="153"/>
      <c r="G5" s="153"/>
      <c r="H5" s="139"/>
    </row>
    <row r="6" spans="2:15" ht="15" customHeight="1" x14ac:dyDescent="0.25">
      <c r="B6" s="153" t="s">
        <v>206</v>
      </c>
      <c r="C6" s="153"/>
      <c r="D6" s="153"/>
      <c r="E6" s="153"/>
      <c r="F6" s="153"/>
      <c r="G6" s="153"/>
      <c r="H6" s="139"/>
    </row>
    <row r="7" spans="2:15" ht="15" customHeight="1" x14ac:dyDescent="0.25">
      <c r="B7" s="16"/>
      <c r="C7" s="16"/>
      <c r="D7" s="16"/>
      <c r="F7" s="16"/>
      <c r="G7" s="16"/>
    </row>
    <row r="8" spans="2:15" ht="15" customHeight="1" x14ac:dyDescent="0.25">
      <c r="B8" s="72" t="s">
        <v>110</v>
      </c>
      <c r="C8" s="72" t="s">
        <v>165</v>
      </c>
      <c r="D8" s="73" t="s">
        <v>130</v>
      </c>
      <c r="E8" s="73" t="s">
        <v>130</v>
      </c>
      <c r="F8" s="73" t="s">
        <v>166</v>
      </c>
      <c r="G8" s="73"/>
      <c r="H8" s="72"/>
      <c r="I8" s="72"/>
      <c r="J8" s="10"/>
      <c r="K8" s="10"/>
      <c r="L8" s="10"/>
      <c r="M8" s="10"/>
    </row>
    <row r="9" spans="2:15" x14ac:dyDescent="0.25">
      <c r="B9" s="78"/>
      <c r="C9" s="10"/>
      <c r="D9" s="78" t="s">
        <v>1</v>
      </c>
      <c r="E9" s="78" t="s">
        <v>6</v>
      </c>
      <c r="F9" s="78" t="s">
        <v>182</v>
      </c>
      <c r="G9" s="78"/>
      <c r="H9" s="78"/>
      <c r="J9" s="78"/>
      <c r="K9" s="78"/>
      <c r="L9" s="78"/>
      <c r="M9" s="10"/>
    </row>
    <row r="10" spans="2:15" x14ac:dyDescent="0.25">
      <c r="B10" s="10" t="s">
        <v>10</v>
      </c>
      <c r="C10" s="10" t="s">
        <v>122</v>
      </c>
      <c r="D10" s="10" t="s">
        <v>25</v>
      </c>
      <c r="E10" s="10" t="s">
        <v>181</v>
      </c>
      <c r="F10" s="146" t="s">
        <v>32</v>
      </c>
      <c r="H10" s="10"/>
      <c r="J10" s="10"/>
      <c r="K10" s="10"/>
    </row>
    <row r="11" spans="2:15" x14ac:dyDescent="0.25">
      <c r="B11" s="10"/>
      <c r="C11" s="10"/>
      <c r="D11" s="10" t="s">
        <v>0</v>
      </c>
      <c r="E11" s="10"/>
      <c r="F11" s="146"/>
      <c r="H11" s="10"/>
      <c r="J11" s="10"/>
      <c r="K11" s="10"/>
    </row>
    <row r="12" spans="2:15" x14ac:dyDescent="0.25">
      <c r="B12" s="10" t="s">
        <v>39</v>
      </c>
      <c r="C12" s="10" t="s">
        <v>34</v>
      </c>
      <c r="D12" s="10">
        <v>233.1</v>
      </c>
      <c r="E12" s="13">
        <v>1440000</v>
      </c>
      <c r="F12" s="147">
        <f>E12/D12</f>
        <v>6177.6061776061779</v>
      </c>
      <c r="H12" s="10"/>
      <c r="J12" s="10"/>
      <c r="K12" s="10"/>
      <c r="O12" s="37"/>
    </row>
    <row r="13" spans="2:15" x14ac:dyDescent="0.25">
      <c r="B13" s="10" t="s">
        <v>41</v>
      </c>
      <c r="C13" s="10" t="s">
        <v>198</v>
      </c>
      <c r="D13" s="10">
        <v>142</v>
      </c>
      <c r="E13" s="13">
        <f>473700+58800</f>
        <v>532500</v>
      </c>
      <c r="F13" s="147">
        <f>E13/D13</f>
        <v>3750</v>
      </c>
      <c r="H13" s="43"/>
      <c r="J13" s="10"/>
      <c r="K13" s="10"/>
      <c r="O13" s="37"/>
    </row>
    <row r="14" spans="2:15" x14ac:dyDescent="0.25">
      <c r="B14" s="10"/>
      <c r="C14" s="10"/>
      <c r="D14" s="10"/>
      <c r="E14" s="34"/>
      <c r="F14" s="33"/>
      <c r="G14" s="10"/>
      <c r="I14" s="1"/>
      <c r="L14" s="37"/>
      <c r="M14" s="1"/>
      <c r="O14" s="37"/>
    </row>
    <row r="15" spans="2:15" x14ac:dyDescent="0.25">
      <c r="C15" s="10"/>
      <c r="D15" s="10"/>
      <c r="E15" s="34"/>
      <c r="F15" s="33"/>
      <c r="G15" s="10"/>
      <c r="I15" s="1"/>
      <c r="L15" s="37"/>
      <c r="M15" s="1"/>
      <c r="O15" s="37"/>
    </row>
    <row r="16" spans="2:15" x14ac:dyDescent="0.25">
      <c r="C16" s="10"/>
      <c r="D16" s="10"/>
      <c r="E16" s="34"/>
      <c r="F16" s="33"/>
      <c r="G16" s="10"/>
      <c r="I16" s="1"/>
      <c r="L16" s="37"/>
      <c r="M16" s="1"/>
      <c r="O16" s="37"/>
    </row>
    <row r="17" spans="3:15" x14ac:dyDescent="0.25">
      <c r="C17" s="10"/>
      <c r="D17" s="10"/>
      <c r="E17" s="34"/>
      <c r="F17" s="33"/>
      <c r="G17" s="10"/>
      <c r="I17" s="1"/>
      <c r="L17" s="37"/>
      <c r="M17" s="1"/>
      <c r="O17" s="37"/>
    </row>
    <row r="18" spans="3:15" x14ac:dyDescent="0.25">
      <c r="D18" s="10"/>
      <c r="E18" s="34"/>
      <c r="F18" s="33"/>
      <c r="G18" s="10"/>
      <c r="H18" s="43"/>
      <c r="I18" s="44"/>
      <c r="J18" s="10"/>
      <c r="K18" s="10"/>
      <c r="L18" s="44"/>
      <c r="M18" s="45"/>
      <c r="O18" s="37"/>
    </row>
  </sheetData>
  <mergeCells count="2">
    <mergeCell ref="B4:G5"/>
    <mergeCell ref="B6:G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H11" sqref="H11"/>
    </sheetView>
  </sheetViews>
  <sheetFormatPr defaultRowHeight="15" x14ac:dyDescent="0.25"/>
  <cols>
    <col min="1" max="1" width="2.7109375" style="140" customWidth="1"/>
    <col min="2" max="2" width="27.5703125" bestFit="1" customWidth="1"/>
    <col min="3" max="3" width="38" customWidth="1"/>
    <col min="4" max="4" width="16.5703125" bestFit="1" customWidth="1"/>
    <col min="5" max="5" width="14.42578125" bestFit="1" customWidth="1"/>
    <col min="6" max="6" width="20.7109375" bestFit="1" customWidth="1"/>
    <col min="7" max="7" width="16.7109375" bestFit="1" customWidth="1"/>
    <col min="8" max="8" width="17.5703125" bestFit="1" customWidth="1"/>
    <col min="9" max="9" width="13.28515625" bestFit="1" customWidth="1"/>
    <col min="11" max="11" width="15" bestFit="1" customWidth="1"/>
  </cols>
  <sheetData>
    <row r="1" spans="2:11" x14ac:dyDescent="0.25">
      <c r="B1" t="s">
        <v>207</v>
      </c>
    </row>
    <row r="2" spans="2:11" s="140" customFormat="1" x14ac:dyDescent="0.25">
      <c r="B2" s="19" t="s">
        <v>185</v>
      </c>
    </row>
    <row r="3" spans="2:11" x14ac:dyDescent="0.25">
      <c r="G3" s="82"/>
      <c r="H3" s="82"/>
    </row>
    <row r="4" spans="2:11" x14ac:dyDescent="0.25">
      <c r="B4" s="153" t="s">
        <v>167</v>
      </c>
      <c r="C4" s="153"/>
      <c r="D4" s="153"/>
      <c r="E4" s="153"/>
      <c r="F4" s="153"/>
    </row>
    <row r="5" spans="2:11" x14ac:dyDescent="0.25">
      <c r="B5" s="153"/>
      <c r="C5" s="153"/>
      <c r="D5" s="153"/>
      <c r="E5" s="153"/>
      <c r="F5" s="153"/>
    </row>
    <row r="6" spans="2:11" ht="15" customHeight="1" x14ac:dyDescent="0.25">
      <c r="B6" s="153" t="s">
        <v>206</v>
      </c>
      <c r="C6" s="153"/>
      <c r="D6" s="153"/>
      <c r="E6" s="153"/>
      <c r="F6" s="153"/>
      <c r="G6" s="139"/>
    </row>
    <row r="7" spans="2:11" s="140" customFormat="1" x14ac:dyDescent="0.25">
      <c r="B7" s="139"/>
      <c r="C7" s="139"/>
      <c r="D7" s="139"/>
      <c r="E7" s="139"/>
      <c r="F7" s="139"/>
      <c r="G7" s="139"/>
    </row>
    <row r="8" spans="2:11" x14ac:dyDescent="0.25">
      <c r="B8" s="82" t="s">
        <v>110</v>
      </c>
      <c r="C8" s="73" t="s">
        <v>165</v>
      </c>
      <c r="D8" s="83" t="s">
        <v>131</v>
      </c>
      <c r="E8" s="83" t="s">
        <v>131</v>
      </c>
      <c r="F8" s="83" t="s">
        <v>132</v>
      </c>
      <c r="G8" s="73" t="s">
        <v>166</v>
      </c>
    </row>
    <row r="9" spans="2:11" x14ac:dyDescent="0.25">
      <c r="C9" s="80"/>
      <c r="D9" s="80" t="s">
        <v>1</v>
      </c>
      <c r="E9" s="80" t="s">
        <v>6</v>
      </c>
      <c r="F9" s="80" t="s">
        <v>5</v>
      </c>
      <c r="G9" s="80" t="s">
        <v>117</v>
      </c>
      <c r="H9" s="80" t="s">
        <v>125</v>
      </c>
      <c r="I9" s="80" t="s">
        <v>127</v>
      </c>
    </row>
    <row r="10" spans="2:11" x14ac:dyDescent="0.25">
      <c r="D10" s="18"/>
    </row>
    <row r="11" spans="2:11" x14ac:dyDescent="0.25">
      <c r="B11" t="s">
        <v>10</v>
      </c>
      <c r="C11" t="s">
        <v>122</v>
      </c>
      <c r="D11" t="s">
        <v>25</v>
      </c>
      <c r="E11" t="s">
        <v>13</v>
      </c>
      <c r="F11" t="s">
        <v>19</v>
      </c>
      <c r="G11" t="s">
        <v>3</v>
      </c>
      <c r="H11" t="s">
        <v>21</v>
      </c>
      <c r="I11" s="35" t="s">
        <v>32</v>
      </c>
    </row>
    <row r="12" spans="2:11" x14ac:dyDescent="0.25">
      <c r="D12" t="s">
        <v>0</v>
      </c>
      <c r="F12" t="s">
        <v>33</v>
      </c>
      <c r="G12" t="s">
        <v>20</v>
      </c>
      <c r="I12" s="35"/>
    </row>
    <row r="13" spans="2:11" x14ac:dyDescent="0.25">
      <c r="B13" t="s">
        <v>38</v>
      </c>
      <c r="C13" s="10" t="s">
        <v>35</v>
      </c>
      <c r="D13" s="10">
        <v>348</v>
      </c>
      <c r="E13" s="34">
        <v>0.85</v>
      </c>
      <c r="F13" s="38">
        <v>0.5</v>
      </c>
      <c r="G13" s="38">
        <f>F13*'Inflation Rates'!$C$12</f>
        <v>0.51090082714511942</v>
      </c>
      <c r="H13" s="44">
        <f>(G13*D13*E13)*8760</f>
        <v>1323850.3105050507</v>
      </c>
      <c r="I13" s="145">
        <f>H13/D13</f>
        <v>3804.1675589225597</v>
      </c>
      <c r="K13" s="37"/>
    </row>
    <row r="14" spans="2:11" x14ac:dyDescent="0.25">
      <c r="B14" t="s">
        <v>39</v>
      </c>
      <c r="C14" t="s">
        <v>36</v>
      </c>
      <c r="D14" s="10">
        <v>237</v>
      </c>
      <c r="E14" s="34">
        <v>0.04</v>
      </c>
      <c r="F14" s="10">
        <v>5.87</v>
      </c>
      <c r="G14" s="38">
        <f>F14*'Inflation Rates'!$C$12</f>
        <v>5.9979757106837024</v>
      </c>
      <c r="H14" s="44">
        <f>(G14*D14*E14)*8760</f>
        <v>498100.69329858595</v>
      </c>
      <c r="I14" s="145">
        <f>H14/D14</f>
        <v>2101.6906890235696</v>
      </c>
      <c r="K14" s="37"/>
    </row>
    <row r="15" spans="2:11" x14ac:dyDescent="0.25">
      <c r="D15" s="11"/>
    </row>
    <row r="18" spans="4:4" x14ac:dyDescent="0.25">
      <c r="D18" s="35"/>
    </row>
    <row r="19" spans="4:4" x14ac:dyDescent="0.25">
      <c r="D19" s="46"/>
    </row>
    <row r="20" spans="4:4" x14ac:dyDescent="0.25">
      <c r="D20" s="47"/>
    </row>
    <row r="21" spans="4:4" x14ac:dyDescent="0.25">
      <c r="D21" s="47"/>
    </row>
    <row r="22" spans="4:4" x14ac:dyDescent="0.25">
      <c r="D22" s="47"/>
    </row>
    <row r="23" spans="4:4" x14ac:dyDescent="0.25">
      <c r="D23" s="32"/>
    </row>
    <row r="25" spans="4:4" x14ac:dyDescent="0.25">
      <c r="D25" s="35"/>
    </row>
    <row r="26" spans="4:4" x14ac:dyDescent="0.25">
      <c r="D26" s="22"/>
    </row>
    <row r="27" spans="4:4" x14ac:dyDescent="0.25">
      <c r="D27" s="86"/>
    </row>
    <row r="28" spans="4:4" x14ac:dyDescent="0.25">
      <c r="D28" s="87"/>
    </row>
    <row r="29" spans="4:4" x14ac:dyDescent="0.25">
      <c r="D29" s="22"/>
    </row>
    <row r="30" spans="4:4" x14ac:dyDescent="0.25">
      <c r="D30" s="22"/>
    </row>
    <row r="31" spans="4:4" x14ac:dyDescent="0.25">
      <c r="D31" s="22"/>
    </row>
    <row r="32" spans="4:4" x14ac:dyDescent="0.25">
      <c r="D32" s="22"/>
    </row>
    <row r="33" spans="3:6" x14ac:dyDescent="0.25">
      <c r="D33" s="22"/>
    </row>
    <row r="34" spans="3:6" x14ac:dyDescent="0.25">
      <c r="D34" s="16"/>
      <c r="E34" s="16"/>
      <c r="F34" s="16"/>
    </row>
    <row r="35" spans="3:6" x14ac:dyDescent="0.25">
      <c r="C35" s="10"/>
    </row>
  </sheetData>
  <mergeCells count="2">
    <mergeCell ref="B4:F5"/>
    <mergeCell ref="B6:F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H13" sqref="H13"/>
    </sheetView>
  </sheetViews>
  <sheetFormatPr defaultRowHeight="15" x14ac:dyDescent="0.25"/>
  <cols>
    <col min="1" max="1" width="2.85546875" style="140" customWidth="1"/>
    <col min="2" max="2" width="27.5703125" bestFit="1" customWidth="1"/>
    <col min="3" max="3" width="16.5703125" bestFit="1" customWidth="1"/>
    <col min="4" max="4" width="16.85546875" bestFit="1" customWidth="1"/>
    <col min="5" max="5" width="13.5703125" bestFit="1" customWidth="1"/>
    <col min="6" max="6" width="15.5703125" bestFit="1" customWidth="1"/>
    <col min="7" max="7" width="20.7109375" bestFit="1" customWidth="1"/>
    <col min="8" max="8" width="17.5703125" bestFit="1" customWidth="1"/>
    <col min="9" max="9" width="13.28515625" bestFit="1" customWidth="1"/>
    <col min="11" max="11" width="15" bestFit="1" customWidth="1"/>
  </cols>
  <sheetData>
    <row r="1" spans="2:11" x14ac:dyDescent="0.25">
      <c r="B1" t="s">
        <v>178</v>
      </c>
    </row>
    <row r="2" spans="2:11" s="140" customFormat="1" x14ac:dyDescent="0.25">
      <c r="B2" s="19" t="s">
        <v>185</v>
      </c>
    </row>
    <row r="3" spans="2:11" x14ac:dyDescent="0.25">
      <c r="F3" s="82"/>
      <c r="G3" s="82"/>
      <c r="H3" s="82"/>
    </row>
    <row r="4" spans="2:11" x14ac:dyDescent="0.25">
      <c r="B4" s="153" t="s">
        <v>136</v>
      </c>
      <c r="C4" s="153"/>
      <c r="D4" s="153"/>
      <c r="E4" s="153"/>
      <c r="F4" s="153"/>
      <c r="G4" s="153"/>
      <c r="H4" s="153"/>
      <c r="I4" s="153"/>
    </row>
    <row r="5" spans="2:11" x14ac:dyDescent="0.25">
      <c r="B5" s="153"/>
      <c r="C5" s="153"/>
      <c r="D5" s="153"/>
      <c r="E5" s="153"/>
      <c r="F5" s="153"/>
      <c r="G5" s="153"/>
      <c r="H5" s="153"/>
      <c r="I5" s="153"/>
    </row>
    <row r="6" spans="2:11" x14ac:dyDescent="0.25">
      <c r="B6" s="153" t="s">
        <v>209</v>
      </c>
      <c r="C6" s="153"/>
      <c r="D6" s="153"/>
      <c r="E6" s="153"/>
      <c r="F6" s="153"/>
      <c r="G6" s="153"/>
      <c r="H6" s="153"/>
      <c r="I6" s="153"/>
    </row>
    <row r="7" spans="2:11" x14ac:dyDescent="0.25">
      <c r="B7" s="153"/>
      <c r="C7" s="153"/>
      <c r="D7" s="153"/>
      <c r="E7" s="153"/>
      <c r="F7" s="153"/>
      <c r="G7" s="153"/>
      <c r="H7" s="153"/>
      <c r="I7" s="153"/>
    </row>
    <row r="8" spans="2:11" x14ac:dyDescent="0.25">
      <c r="B8" s="153"/>
      <c r="C8" s="153"/>
      <c r="D8" s="153"/>
      <c r="E8" s="153"/>
      <c r="F8" s="153"/>
      <c r="G8" s="153"/>
      <c r="H8" s="153"/>
      <c r="I8" s="153"/>
    </row>
    <row r="9" spans="2:11" x14ac:dyDescent="0.25">
      <c r="B9" s="16"/>
      <c r="C9" s="16"/>
      <c r="D9" s="16"/>
      <c r="E9" s="16"/>
    </row>
    <row r="10" spans="2:11" x14ac:dyDescent="0.25">
      <c r="B10" s="82" t="s">
        <v>110</v>
      </c>
      <c r="C10" s="83" t="s">
        <v>208</v>
      </c>
      <c r="D10" s="83" t="s">
        <v>165</v>
      </c>
      <c r="E10" s="83" t="s">
        <v>208</v>
      </c>
      <c r="F10" s="83" t="s">
        <v>166</v>
      </c>
      <c r="G10" s="82"/>
    </row>
    <row r="11" spans="2:11" x14ac:dyDescent="0.25">
      <c r="B11" s="80"/>
      <c r="C11" s="80" t="s">
        <v>1</v>
      </c>
      <c r="D11" s="80" t="s">
        <v>6</v>
      </c>
      <c r="E11" s="80" t="s">
        <v>5</v>
      </c>
      <c r="F11" s="80" t="s">
        <v>2</v>
      </c>
      <c r="G11" s="80" t="s">
        <v>133</v>
      </c>
      <c r="H11" s="80" t="s">
        <v>135</v>
      </c>
      <c r="I11" s="80" t="s">
        <v>134</v>
      </c>
    </row>
    <row r="13" spans="2:11" x14ac:dyDescent="0.25">
      <c r="C13" t="s">
        <v>25</v>
      </c>
      <c r="D13" t="s">
        <v>13</v>
      </c>
      <c r="E13" t="s">
        <v>3</v>
      </c>
      <c r="F13" t="s">
        <v>18</v>
      </c>
      <c r="G13" t="s">
        <v>19</v>
      </c>
      <c r="H13" t="s">
        <v>21</v>
      </c>
      <c r="I13" s="35" t="s">
        <v>32</v>
      </c>
    </row>
    <row r="14" spans="2:11" x14ac:dyDescent="0.25">
      <c r="C14" t="s">
        <v>0</v>
      </c>
      <c r="E14" t="s">
        <v>20</v>
      </c>
      <c r="F14" t="s">
        <v>20</v>
      </c>
      <c r="G14" t="s">
        <v>20</v>
      </c>
      <c r="I14" s="35"/>
    </row>
    <row r="15" spans="2:11" x14ac:dyDescent="0.25">
      <c r="B15" s="10" t="s">
        <v>38</v>
      </c>
      <c r="C15" s="10">
        <v>418</v>
      </c>
      <c r="D15" s="34">
        <v>0.34091620300896286</v>
      </c>
      <c r="E15" s="33">
        <v>2.54</v>
      </c>
      <c r="F15">
        <f>VLOOKUP(B15, 'VO Estimates'!$B$9:$C$12, 2, FALSE)</f>
        <v>0.59</v>
      </c>
      <c r="G15" s="12">
        <f>E15-F15</f>
        <v>1.9500000000000002</v>
      </c>
      <c r="H15" s="9">
        <f>(G15*C15*D15)*8760</f>
        <v>2434235.7823560252</v>
      </c>
      <c r="I15" s="143">
        <f>H15/C15</f>
        <v>5823.5305797991032</v>
      </c>
      <c r="K15" s="37"/>
    </row>
    <row r="16" spans="2:11" x14ac:dyDescent="0.25">
      <c r="B16" s="10" t="s">
        <v>39</v>
      </c>
      <c r="C16" s="10">
        <v>237</v>
      </c>
      <c r="D16" s="34">
        <v>0.13554606387627566</v>
      </c>
      <c r="E16" s="33">
        <v>4.4800000000000004</v>
      </c>
      <c r="F16">
        <f>VLOOKUP(B16, 'VO Estimates'!$B$9:$C$12, 2, FALSE)</f>
        <v>0.97</v>
      </c>
      <c r="G16" s="12">
        <f t="shared" ref="G16:G18" si="0">E16-F16</f>
        <v>3.5100000000000007</v>
      </c>
      <c r="H16" s="9">
        <f>(G16*C16*D16)*8760</f>
        <v>987748.72841319523</v>
      </c>
      <c r="I16" s="143">
        <f>H16/C16</f>
        <v>4167.7161536421736</v>
      </c>
      <c r="K16" s="37"/>
    </row>
    <row r="17" spans="2:11" x14ac:dyDescent="0.25">
      <c r="B17" t="s">
        <v>41</v>
      </c>
      <c r="C17" s="10">
        <v>105</v>
      </c>
      <c r="D17" s="34">
        <v>5.7956282431650206E-2</v>
      </c>
      <c r="E17" s="33">
        <v>4.68</v>
      </c>
      <c r="F17">
        <f>VLOOKUP(B17, 'VO Estimates'!$B$9:$C$12, 2, FALSE)</f>
        <v>2.15</v>
      </c>
      <c r="G17" s="12">
        <f t="shared" si="0"/>
        <v>2.5299999999999998</v>
      </c>
      <c r="H17" s="9">
        <f>(G17*C17*D17)*8760</f>
        <v>134869.71710899859</v>
      </c>
      <c r="I17" s="143">
        <f>H17/C17</f>
        <v>1284.473496276177</v>
      </c>
      <c r="K17" s="37"/>
    </row>
    <row r="18" spans="2:11" x14ac:dyDescent="0.25">
      <c r="B18" s="10" t="s">
        <v>11</v>
      </c>
      <c r="C18" s="10">
        <v>100</v>
      </c>
      <c r="D18" s="34">
        <v>0.33026023554262851</v>
      </c>
      <c r="E18" s="27">
        <v>1.39</v>
      </c>
      <c r="F18">
        <f>VLOOKUP(B18, 'VO Estimates'!$B$9:$C$12, 2, FALSE)</f>
        <v>0</v>
      </c>
      <c r="G18" s="12">
        <f t="shared" si="0"/>
        <v>1.39</v>
      </c>
      <c r="H18" s="44">
        <f>(G18*C18*D18)*8760</f>
        <v>402138.07320612617</v>
      </c>
      <c r="I18" s="143">
        <f>H18/C18</f>
        <v>4021.3807320612618</v>
      </c>
    </row>
    <row r="19" spans="2:11" x14ac:dyDescent="0.25">
      <c r="D19" s="10"/>
    </row>
    <row r="20" spans="2:11" x14ac:dyDescent="0.25">
      <c r="D20" s="10"/>
    </row>
  </sheetData>
  <mergeCells count="2">
    <mergeCell ref="B4:I5"/>
    <mergeCell ref="B6:I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36"/>
  <sheetViews>
    <sheetView workbookViewId="0">
      <selection activeCell="D11" sqref="D11"/>
    </sheetView>
  </sheetViews>
  <sheetFormatPr defaultRowHeight="15" x14ac:dyDescent="0.25"/>
  <cols>
    <col min="1" max="1" width="1.28515625" customWidth="1"/>
    <col min="2" max="2" width="27.42578125" customWidth="1"/>
    <col min="3" max="3" width="10.7109375" bestFit="1" customWidth="1"/>
    <col min="4" max="4" width="19.7109375" bestFit="1" customWidth="1"/>
    <col min="5" max="5" width="20.140625" bestFit="1" customWidth="1"/>
    <col min="6" max="6" width="21.28515625" bestFit="1" customWidth="1"/>
    <col min="7" max="7" width="9.28515625" customWidth="1"/>
    <col min="8" max="8" width="12.140625" customWidth="1"/>
    <col min="9" max="9" width="17" customWidth="1"/>
    <col min="10" max="10" width="14" bestFit="1" customWidth="1"/>
    <col min="11" max="11" width="13.7109375" bestFit="1" customWidth="1"/>
    <col min="16" max="16" width="9.7109375" customWidth="1"/>
  </cols>
  <sheetData>
    <row r="1" spans="1:17" x14ac:dyDescent="0.25">
      <c r="B1" s="26" t="s">
        <v>149</v>
      </c>
      <c r="C1" s="26"/>
      <c r="D1" s="26"/>
      <c r="E1" s="26"/>
      <c r="F1" s="26"/>
      <c r="G1" s="26"/>
      <c r="H1" s="26"/>
      <c r="I1" s="26"/>
      <c r="J1" s="26"/>
      <c r="K1" s="26"/>
      <c r="L1" s="10"/>
      <c r="M1" s="10"/>
      <c r="N1" s="10"/>
      <c r="O1" s="10"/>
      <c r="P1" s="10"/>
      <c r="Q1" s="10"/>
    </row>
    <row r="2" spans="1:17" x14ac:dyDescent="0.25">
      <c r="B2" s="10"/>
      <c r="C2" s="10"/>
      <c r="D2" s="69"/>
      <c r="E2" s="69"/>
      <c r="F2" s="70"/>
      <c r="G2" s="10"/>
      <c r="H2" s="10"/>
      <c r="I2" s="10"/>
      <c r="J2" s="69"/>
      <c r="K2" s="69"/>
      <c r="L2" s="10"/>
      <c r="M2" s="10"/>
      <c r="N2" s="10"/>
      <c r="O2" s="10"/>
      <c r="P2" s="10"/>
      <c r="Q2" s="10"/>
    </row>
    <row r="3" spans="1:17" x14ac:dyDescent="0.25">
      <c r="B3" s="10" t="s">
        <v>150</v>
      </c>
      <c r="C3" s="10"/>
      <c r="D3" s="10"/>
      <c r="E3" s="10"/>
      <c r="F3" s="10"/>
      <c r="G3" s="10"/>
      <c r="H3" s="10"/>
      <c r="I3" s="10"/>
      <c r="J3" s="10"/>
      <c r="K3" s="10"/>
      <c r="L3" s="10"/>
      <c r="M3" s="10"/>
      <c r="N3" s="10"/>
      <c r="O3" s="10"/>
      <c r="P3" s="10"/>
      <c r="Q3" s="10"/>
    </row>
    <row r="4" spans="1:17" x14ac:dyDescent="0.25">
      <c r="B4" s="5"/>
      <c r="C4" s="5"/>
      <c r="D4" s="10"/>
      <c r="E4" s="10"/>
      <c r="F4" s="10"/>
      <c r="G4" s="10"/>
      <c r="H4" s="10"/>
      <c r="I4" s="10"/>
      <c r="J4" s="10"/>
      <c r="K4" s="10"/>
      <c r="L4" s="10"/>
      <c r="M4" s="10"/>
      <c r="N4" s="10"/>
      <c r="O4" s="10"/>
      <c r="P4" s="10"/>
      <c r="Q4" s="10"/>
    </row>
    <row r="5" spans="1:17" x14ac:dyDescent="0.25">
      <c r="A5" s="22"/>
      <c r="B5" s="124" t="s">
        <v>153</v>
      </c>
      <c r="C5" s="22"/>
      <c r="D5" s="132"/>
      <c r="E5" s="132"/>
      <c r="F5" s="70"/>
      <c r="G5" s="10"/>
      <c r="H5" s="10"/>
      <c r="I5" s="10"/>
      <c r="J5" s="69"/>
      <c r="K5" s="69"/>
      <c r="L5" s="10"/>
      <c r="M5" s="10"/>
      <c r="N5" s="10"/>
      <c r="O5" s="10"/>
      <c r="P5" s="71"/>
      <c r="Q5" s="10"/>
    </row>
    <row r="6" spans="1:17" x14ac:dyDescent="0.25">
      <c r="B6" s="28" t="s">
        <v>38</v>
      </c>
      <c r="C6" s="21" t="s">
        <v>152</v>
      </c>
      <c r="D6" s="113"/>
      <c r="E6" s="113"/>
      <c r="F6" s="70"/>
      <c r="G6" s="10"/>
      <c r="H6" s="10"/>
      <c r="I6" s="10"/>
      <c r="J6" s="69"/>
      <c r="K6" s="69"/>
      <c r="L6" s="10"/>
      <c r="M6" s="10"/>
      <c r="N6" s="10"/>
      <c r="O6" s="10"/>
      <c r="P6" s="10"/>
      <c r="Q6" s="10"/>
    </row>
    <row r="7" spans="1:17" x14ac:dyDescent="0.25">
      <c r="B7" s="91" t="s">
        <v>39</v>
      </c>
      <c r="C7" s="23" t="s">
        <v>151</v>
      </c>
      <c r="D7" s="113"/>
      <c r="E7" s="113"/>
      <c r="F7" s="70"/>
      <c r="G7" s="10"/>
      <c r="H7" s="10"/>
      <c r="I7" s="10"/>
      <c r="J7" s="69"/>
      <c r="K7" s="69"/>
      <c r="L7" s="10"/>
      <c r="M7" s="10"/>
      <c r="N7" s="10"/>
      <c r="O7" s="10"/>
      <c r="P7" s="10"/>
      <c r="Q7" s="10"/>
    </row>
    <row r="8" spans="1:17" x14ac:dyDescent="0.25">
      <c r="B8" s="91" t="s">
        <v>41</v>
      </c>
      <c r="C8" s="23" t="s">
        <v>152</v>
      </c>
      <c r="D8" s="113"/>
      <c r="E8" s="113"/>
      <c r="F8" s="70"/>
      <c r="G8" s="10"/>
      <c r="H8" s="10"/>
      <c r="I8" s="10"/>
      <c r="J8" s="69"/>
      <c r="K8" s="69"/>
      <c r="L8" s="10"/>
      <c r="M8" s="10"/>
      <c r="N8" s="10"/>
      <c r="O8" s="10"/>
      <c r="P8" s="10"/>
      <c r="Q8" s="10"/>
    </row>
    <row r="9" spans="1:17" x14ac:dyDescent="0.25">
      <c r="B9" s="29" t="s">
        <v>11</v>
      </c>
      <c r="C9" s="25" t="s">
        <v>152</v>
      </c>
      <c r="D9" s="113"/>
      <c r="E9" s="113"/>
      <c r="F9" s="70"/>
      <c r="G9" s="10"/>
      <c r="H9" s="10"/>
      <c r="I9" s="10"/>
      <c r="J9" s="69"/>
      <c r="K9" s="69"/>
      <c r="L9" s="10"/>
      <c r="M9" s="10"/>
      <c r="N9" s="10"/>
      <c r="O9" s="10"/>
      <c r="P9" s="10"/>
      <c r="Q9" s="10"/>
    </row>
    <row r="10" spans="1:17" x14ac:dyDescent="0.25">
      <c r="B10" s="10"/>
      <c r="C10" s="10"/>
      <c r="D10" s="69"/>
      <c r="E10" s="69"/>
      <c r="F10" s="70"/>
      <c r="G10" s="10"/>
      <c r="H10" s="10"/>
      <c r="I10" s="10"/>
      <c r="J10" s="69"/>
      <c r="K10" s="69"/>
      <c r="L10" s="10"/>
      <c r="M10" s="10"/>
      <c r="N10" s="10"/>
      <c r="O10" s="10"/>
      <c r="P10" s="10"/>
      <c r="Q10" s="10"/>
    </row>
    <row r="11" spans="1:17" x14ac:dyDescent="0.25">
      <c r="B11" s="10"/>
      <c r="C11" s="10"/>
      <c r="D11" s="69"/>
      <c r="E11" s="69"/>
      <c r="F11" s="70"/>
      <c r="G11" s="10"/>
      <c r="H11" s="10"/>
      <c r="I11" s="10"/>
      <c r="J11" s="69"/>
      <c r="K11" s="69"/>
      <c r="L11" s="10"/>
      <c r="M11" s="10"/>
      <c r="N11" s="10"/>
      <c r="O11" s="10"/>
      <c r="P11" s="10"/>
      <c r="Q11" s="10"/>
    </row>
    <row r="12" spans="1:17" x14ac:dyDescent="0.25">
      <c r="B12" s="10"/>
      <c r="C12" s="10"/>
      <c r="D12" s="69"/>
      <c r="E12" s="69"/>
      <c r="F12" s="70"/>
      <c r="G12" s="10"/>
      <c r="H12" s="10"/>
      <c r="I12" s="10"/>
      <c r="J12" s="69"/>
      <c r="K12" s="69"/>
      <c r="L12" s="10"/>
      <c r="M12" s="10"/>
      <c r="N12" s="10"/>
      <c r="O12" s="10"/>
      <c r="P12" s="10"/>
      <c r="Q12" s="10"/>
    </row>
    <row r="13" spans="1:17" x14ac:dyDescent="0.25">
      <c r="B13" s="10"/>
      <c r="C13" s="10"/>
      <c r="D13" s="69"/>
      <c r="E13" s="69"/>
      <c r="F13" s="70"/>
      <c r="G13" s="10"/>
      <c r="H13" s="10"/>
      <c r="I13" s="10"/>
      <c r="J13" s="69"/>
      <c r="K13" s="69"/>
      <c r="L13" s="10"/>
      <c r="M13" s="10"/>
      <c r="N13" s="10"/>
      <c r="O13" s="10"/>
      <c r="P13" s="10"/>
      <c r="Q13" s="10"/>
    </row>
    <row r="14" spans="1:17" x14ac:dyDescent="0.25">
      <c r="B14" s="10"/>
      <c r="C14" s="10"/>
      <c r="D14" s="69"/>
      <c r="E14" s="69"/>
      <c r="F14" s="10"/>
      <c r="G14" s="10"/>
      <c r="H14" s="10"/>
      <c r="I14" s="10"/>
      <c r="J14" s="10"/>
      <c r="K14" s="10"/>
      <c r="L14" s="10"/>
      <c r="M14" s="10"/>
      <c r="N14" s="10"/>
      <c r="O14" s="10"/>
      <c r="P14" s="10"/>
      <c r="Q14" s="10"/>
    </row>
    <row r="15" spans="1:17" x14ac:dyDescent="0.25">
      <c r="B15" s="10"/>
      <c r="C15" s="10"/>
      <c r="D15" s="69"/>
      <c r="E15" s="69"/>
      <c r="F15" s="70"/>
      <c r="G15" s="10"/>
      <c r="H15" s="10"/>
      <c r="I15" s="10"/>
      <c r="J15" s="69"/>
      <c r="K15" s="69"/>
      <c r="L15" s="10"/>
      <c r="M15" s="10"/>
      <c r="N15" s="10"/>
      <c r="O15" s="10"/>
      <c r="P15" s="10"/>
      <c r="Q15" s="10"/>
    </row>
    <row r="16" spans="1:17" x14ac:dyDescent="0.25">
      <c r="B16" s="10"/>
      <c r="C16" s="10"/>
      <c r="D16" s="69"/>
      <c r="E16" s="69"/>
      <c r="F16" s="70"/>
      <c r="G16" s="10"/>
      <c r="H16" s="10"/>
      <c r="I16" s="10"/>
      <c r="J16" s="69"/>
      <c r="K16" s="69"/>
      <c r="L16" s="10"/>
      <c r="M16" s="10"/>
      <c r="N16" s="10"/>
      <c r="O16" s="10"/>
      <c r="P16" s="10"/>
      <c r="Q16" s="10"/>
    </row>
    <row r="17" spans="2:17" x14ac:dyDescent="0.25">
      <c r="B17" s="10"/>
      <c r="C17" s="10"/>
      <c r="D17" s="69"/>
      <c r="E17" s="69"/>
      <c r="F17" s="70"/>
      <c r="G17" s="10"/>
      <c r="H17" s="10"/>
      <c r="I17" s="10"/>
      <c r="J17" s="69"/>
      <c r="K17" s="69"/>
      <c r="L17" s="10"/>
      <c r="M17" s="10"/>
      <c r="N17" s="10"/>
      <c r="O17" s="10"/>
      <c r="P17" s="10"/>
      <c r="Q17" s="10"/>
    </row>
    <row r="18" spans="2:17" x14ac:dyDescent="0.25">
      <c r="B18" s="10"/>
      <c r="C18" s="10"/>
      <c r="D18" s="69"/>
      <c r="E18" s="69"/>
      <c r="F18" s="70"/>
      <c r="G18" s="10"/>
      <c r="H18" s="10"/>
      <c r="I18" s="10"/>
      <c r="J18" s="69"/>
      <c r="K18" s="69"/>
      <c r="L18" s="10"/>
      <c r="M18" s="10"/>
      <c r="N18" s="10"/>
      <c r="O18" s="10"/>
      <c r="P18" s="10"/>
      <c r="Q18" s="10"/>
    </row>
    <row r="19" spans="2:17" x14ac:dyDescent="0.25">
      <c r="B19" s="10"/>
      <c r="C19" s="10"/>
      <c r="D19" s="69"/>
      <c r="E19" s="69"/>
      <c r="F19" s="70"/>
      <c r="G19" s="10"/>
      <c r="H19" s="10"/>
      <c r="I19" s="10"/>
      <c r="J19" s="69"/>
      <c r="K19" s="69"/>
      <c r="L19" s="10"/>
      <c r="M19" s="10"/>
      <c r="N19" s="10"/>
      <c r="O19" s="10"/>
      <c r="P19" s="10"/>
      <c r="Q19" s="10"/>
    </row>
    <row r="20" spans="2:17" x14ac:dyDescent="0.25">
      <c r="B20" s="10"/>
      <c r="C20" s="10"/>
      <c r="D20" s="69"/>
      <c r="E20" s="69"/>
      <c r="F20" s="70"/>
      <c r="G20" s="10"/>
      <c r="H20" s="10"/>
      <c r="I20" s="10"/>
      <c r="J20" s="69"/>
      <c r="K20" s="69"/>
      <c r="L20" s="10"/>
      <c r="M20" s="10"/>
      <c r="N20" s="10"/>
      <c r="O20" s="10"/>
      <c r="P20" s="10"/>
      <c r="Q20" s="10"/>
    </row>
    <row r="21" spans="2:17" x14ac:dyDescent="0.25">
      <c r="B21" s="10"/>
      <c r="C21" s="10"/>
      <c r="D21" s="69"/>
      <c r="E21" s="69"/>
      <c r="F21" s="70"/>
      <c r="G21" s="10"/>
      <c r="H21" s="10"/>
      <c r="I21" s="10"/>
      <c r="J21" s="69"/>
      <c r="K21" s="69"/>
      <c r="L21" s="10"/>
      <c r="M21" s="10"/>
      <c r="N21" s="10"/>
      <c r="O21" s="10"/>
      <c r="P21" s="10"/>
      <c r="Q21" s="10"/>
    </row>
    <row r="22" spans="2:17" x14ac:dyDescent="0.25">
      <c r="B22" s="10"/>
      <c r="C22" s="10"/>
      <c r="D22" s="69"/>
      <c r="E22" s="69"/>
      <c r="F22" s="70"/>
      <c r="G22" s="10"/>
      <c r="H22" s="10"/>
      <c r="I22" s="10"/>
      <c r="J22" s="69"/>
      <c r="K22" s="69"/>
      <c r="L22" s="10"/>
      <c r="M22" s="10"/>
      <c r="N22" s="10"/>
      <c r="O22" s="10"/>
      <c r="P22" s="10"/>
      <c r="Q22" s="10"/>
    </row>
    <row r="23" spans="2:17" x14ac:dyDescent="0.25">
      <c r="B23" s="10"/>
      <c r="C23" s="10"/>
      <c r="D23" s="69"/>
      <c r="E23" s="69"/>
      <c r="F23" s="10"/>
      <c r="G23" s="10"/>
      <c r="H23" s="10"/>
      <c r="I23" s="10"/>
      <c r="J23" s="10"/>
      <c r="K23" s="10"/>
      <c r="L23" s="10"/>
      <c r="M23" s="10"/>
      <c r="N23" s="10"/>
      <c r="O23" s="10"/>
      <c r="P23" s="10"/>
      <c r="Q23" s="10"/>
    </row>
    <row r="24" spans="2:17" x14ac:dyDescent="0.25">
      <c r="B24" s="10"/>
      <c r="C24" s="10"/>
      <c r="D24" s="69"/>
      <c r="E24" s="69"/>
      <c r="F24" s="70"/>
      <c r="G24" s="10"/>
      <c r="H24" s="10"/>
      <c r="I24" s="10"/>
      <c r="J24" s="69"/>
      <c r="K24" s="69"/>
      <c r="L24" s="10"/>
      <c r="M24" s="10"/>
      <c r="N24" s="10"/>
      <c r="O24" s="10"/>
      <c r="P24" s="10"/>
      <c r="Q24" s="10"/>
    </row>
    <row r="25" spans="2:17" x14ac:dyDescent="0.25">
      <c r="B25" s="10"/>
      <c r="C25" s="10"/>
      <c r="D25" s="69"/>
      <c r="E25" s="69"/>
      <c r="F25" s="70"/>
      <c r="G25" s="10"/>
      <c r="H25" s="10"/>
      <c r="I25" s="10"/>
      <c r="J25" s="69"/>
      <c r="K25" s="69"/>
      <c r="L25" s="10"/>
      <c r="M25" s="10"/>
      <c r="N25" s="10"/>
      <c r="O25" s="10"/>
      <c r="P25" s="10"/>
      <c r="Q25" s="10"/>
    </row>
    <row r="26" spans="2:17" x14ac:dyDescent="0.25">
      <c r="B26" s="10"/>
      <c r="C26" s="10"/>
      <c r="D26" s="69"/>
      <c r="E26" s="69"/>
      <c r="F26" s="70"/>
      <c r="G26" s="10"/>
      <c r="H26" s="10"/>
      <c r="I26" s="10"/>
      <c r="J26" s="69"/>
      <c r="K26" s="69"/>
      <c r="L26" s="10"/>
      <c r="M26" s="10"/>
      <c r="N26" s="10"/>
      <c r="O26" s="10"/>
      <c r="P26" s="10"/>
      <c r="Q26" s="10"/>
    </row>
    <row r="27" spans="2:17" x14ac:dyDescent="0.25">
      <c r="B27" s="10"/>
      <c r="C27" s="10"/>
      <c r="D27" s="69"/>
      <c r="E27" s="69"/>
      <c r="F27" s="70"/>
      <c r="G27" s="10"/>
      <c r="H27" s="10"/>
      <c r="I27" s="10"/>
      <c r="J27" s="69"/>
      <c r="K27" s="69"/>
      <c r="L27" s="10"/>
      <c r="M27" s="10"/>
      <c r="N27" s="10"/>
      <c r="O27" s="10"/>
      <c r="P27" s="10"/>
      <c r="Q27" s="10"/>
    </row>
    <row r="28" spans="2:17" x14ac:dyDescent="0.25">
      <c r="B28" s="10"/>
      <c r="C28" s="10"/>
      <c r="D28" s="69"/>
      <c r="E28" s="69"/>
      <c r="F28" s="70"/>
      <c r="G28" s="10"/>
      <c r="H28" s="10"/>
      <c r="I28" s="10"/>
      <c r="J28" s="69"/>
      <c r="K28" s="69"/>
      <c r="L28" s="10"/>
      <c r="M28" s="10"/>
      <c r="N28" s="10"/>
      <c r="O28" s="10"/>
      <c r="P28" s="10"/>
      <c r="Q28" s="10"/>
    </row>
    <row r="29" spans="2:17" x14ac:dyDescent="0.25">
      <c r="B29" s="10"/>
      <c r="C29" s="10"/>
      <c r="D29" s="69"/>
      <c r="E29" s="69"/>
      <c r="F29" s="70"/>
      <c r="G29" s="10"/>
      <c r="H29" s="10"/>
      <c r="I29" s="10"/>
      <c r="J29" s="69"/>
      <c r="K29" s="69"/>
      <c r="L29" s="10"/>
      <c r="M29" s="10"/>
      <c r="N29" s="10"/>
      <c r="O29" s="10"/>
      <c r="P29" s="10"/>
      <c r="Q29" s="10"/>
    </row>
    <row r="30" spans="2:17" x14ac:dyDescent="0.25">
      <c r="B30" s="10"/>
      <c r="C30" s="10"/>
      <c r="D30" s="69"/>
      <c r="E30" s="69"/>
      <c r="F30" s="70"/>
      <c r="G30" s="10"/>
      <c r="H30" s="10"/>
      <c r="I30" s="10"/>
      <c r="J30" s="69"/>
      <c r="K30" s="69"/>
      <c r="L30" s="10"/>
      <c r="M30" s="10"/>
      <c r="N30" s="10"/>
      <c r="O30" s="10"/>
      <c r="P30" s="10"/>
      <c r="Q30" s="10"/>
    </row>
    <row r="31" spans="2:17" x14ac:dyDescent="0.25">
      <c r="B31" s="10"/>
      <c r="C31" s="10"/>
      <c r="D31" s="69"/>
      <c r="E31" s="69"/>
      <c r="F31" s="70"/>
      <c r="G31" s="10"/>
      <c r="H31" s="10"/>
      <c r="I31" s="10"/>
      <c r="J31" s="69"/>
      <c r="K31" s="69"/>
      <c r="L31" s="10"/>
      <c r="M31" s="10"/>
      <c r="N31" s="10"/>
      <c r="O31" s="10"/>
      <c r="P31" s="10"/>
      <c r="Q31" s="10"/>
    </row>
    <row r="32" spans="2:17" x14ac:dyDescent="0.25">
      <c r="B32" s="10"/>
      <c r="C32" s="10"/>
      <c r="D32" s="69"/>
      <c r="E32" s="69"/>
      <c r="F32" s="70"/>
      <c r="G32" s="10"/>
      <c r="H32" s="10"/>
      <c r="I32" s="10"/>
      <c r="J32" s="69"/>
      <c r="K32" s="69"/>
      <c r="L32" s="10"/>
      <c r="M32" s="10"/>
      <c r="N32" s="10"/>
      <c r="O32" s="10"/>
      <c r="P32" s="10"/>
      <c r="Q32" s="10"/>
    </row>
    <row r="33" spans="2:17" x14ac:dyDescent="0.25">
      <c r="B33" s="10"/>
      <c r="C33" s="10"/>
      <c r="D33" s="69"/>
      <c r="E33" s="69"/>
      <c r="F33" s="70"/>
      <c r="G33" s="10"/>
      <c r="H33" s="10"/>
      <c r="I33" s="10"/>
      <c r="J33" s="69"/>
      <c r="K33" s="69"/>
      <c r="L33" s="10"/>
      <c r="M33" s="10"/>
      <c r="N33" s="10"/>
      <c r="O33" s="10"/>
      <c r="P33" s="10"/>
      <c r="Q33" s="10"/>
    </row>
    <row r="34" spans="2:17" x14ac:dyDescent="0.25">
      <c r="B34" s="10"/>
      <c r="C34" s="10"/>
      <c r="D34" s="69"/>
      <c r="E34" s="69"/>
      <c r="F34" s="70"/>
      <c r="G34" s="10"/>
      <c r="H34" s="10"/>
      <c r="I34" s="10"/>
      <c r="J34" s="69"/>
      <c r="K34" s="69"/>
      <c r="L34" s="10"/>
      <c r="M34" s="10"/>
      <c r="N34" s="10"/>
      <c r="O34" s="10"/>
      <c r="P34" s="10"/>
      <c r="Q34" s="10"/>
    </row>
    <row r="35" spans="2:17" x14ac:dyDescent="0.25">
      <c r="B35" s="10"/>
      <c r="C35" s="10"/>
      <c r="D35" s="10"/>
      <c r="E35" s="10"/>
      <c r="F35" s="10"/>
      <c r="G35" s="10"/>
      <c r="H35" s="10"/>
      <c r="I35" s="10"/>
      <c r="J35" s="10"/>
      <c r="K35" s="10"/>
      <c r="L35" s="10"/>
      <c r="M35" s="10"/>
      <c r="N35" s="10"/>
      <c r="O35" s="10"/>
      <c r="P35" s="10"/>
      <c r="Q35" s="10"/>
    </row>
    <row r="36" spans="2:17" x14ac:dyDescent="0.25">
      <c r="B36" s="10"/>
      <c r="C36" s="10"/>
      <c r="D36" s="10"/>
      <c r="E36" s="10"/>
      <c r="F36" s="10"/>
      <c r="G36" s="10"/>
      <c r="H36" s="10"/>
      <c r="I36" s="10"/>
      <c r="J36" s="10"/>
      <c r="K36" s="10"/>
      <c r="L36" s="10"/>
      <c r="M36" s="10"/>
      <c r="N36" s="10"/>
      <c r="O36" s="10"/>
      <c r="P36" s="10"/>
      <c r="Q36"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Document" ma:contentTypeID="0x0101003C4558D17C5424438ED9E058A452A00D" ma:contentTypeVersion="1" ma:contentTypeDescription="Create a new document." ma:contentTypeScope="" ma:versionID="58968a46a1bad65155eeaa79ec003be2">
  <xsd:schema xmlns:xsd="http://www.w3.org/2001/XMLSchema" xmlns:xs="http://www.w3.org/2001/XMLSchema" xmlns:p="http://schemas.microsoft.com/office/2006/metadata/properties" xmlns:ns2="2613f182-e424-487f-ac7f-33bed2fc986a" targetNamespace="http://schemas.microsoft.com/office/2006/metadata/properties" ma:root="true" ma:fieldsID="6c900d0cb3a38c97dc51f7485df35394" ns2:_="">
    <xsd:import namespace="2613f182-e424-487f-ac7f-33bed2fc986a"/>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61331F-31A0-475F-96AB-6CB34505F032}">
  <ds:schemaRefs>
    <ds:schemaRef ds:uri="http://schemas.microsoft.com/sharepoint/v3"/>
    <ds:schemaRef ds:uri="http://purl.org/dc/terms/"/>
    <ds:schemaRef ds:uri="2e64aaae-efe8-4b36-9ab4-486f04499e09"/>
    <ds:schemaRef ds:uri="3fa2ecdb-d3bf-400c-82ba-7ade98a09f0b"/>
    <ds:schemaRef ds:uri="http://schemas.microsoft.com/office/2006/documentManagement/types"/>
    <ds:schemaRef ds:uri="http://schemas.microsoft.com/office/infopath/2007/PartnerControls"/>
    <ds:schemaRef ds:uri="84cb9037-b751-4bb5-ae1d-71cbccfa8edf"/>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D06BDDA-071B-4EC5-8335-360C36E2B285}"/>
</file>

<file path=customXml/itemProps3.xml><?xml version="1.0" encoding="utf-8"?>
<ds:datastoreItem xmlns:ds="http://schemas.openxmlformats.org/officeDocument/2006/customXml" ds:itemID="{2217A353-5FEB-4262-B1CA-40A53A8F4C41}"/>
</file>

<file path=customXml/itemProps4.xml><?xml version="1.0" encoding="utf-8"?>
<ds:datastoreItem xmlns:ds="http://schemas.openxmlformats.org/officeDocument/2006/customXml" ds:itemID="{62DA328E-6738-4937-B272-2520098A9A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Overview</vt:lpstr>
      <vt:lpstr>Step 1 - Gather Data</vt:lpstr>
      <vt:lpstr>1a. NYISO</vt:lpstr>
      <vt:lpstr>1b. EPA 2016</vt:lpstr>
      <vt:lpstr>1c. APS 2017</vt:lpstr>
      <vt:lpstr>1d. PAC 2019</vt:lpstr>
      <vt:lpstr>1e. PSE 2018</vt:lpstr>
      <vt:lpstr>1f. EIA 2020</vt:lpstr>
      <vt:lpstr>Step 2 - Determine Adder Type</vt:lpstr>
      <vt:lpstr>Step 3 - Convert Ext. Estimates</vt:lpstr>
      <vt:lpstr>Step 4 Cross-validate</vt:lpstr>
      <vt:lpstr>Appendices---------&gt;</vt:lpstr>
      <vt:lpstr>Inflation Rates</vt:lpstr>
      <vt:lpstr>VO Estimates</vt:lpstr>
      <vt:lpstr>'Step 4 Cross-validate'!Print_Area</vt:lpstr>
    </vt:vector>
  </TitlesOfParts>
  <Company>California ISO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Head, Kevin</dc:creator>
  <cp:lastModifiedBy>Head, Kevin</cp:lastModifiedBy>
  <cp:lastPrinted>2019-12-06T23:05:19Z</cp:lastPrinted>
  <dcterms:created xsi:type="dcterms:W3CDTF">2019-10-08T22:38:58Z</dcterms:created>
  <dcterms:modified xsi:type="dcterms:W3CDTF">2020-05-05T17:27:52Z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0x0101003C4558D17C5424438ED9E058A452A00D</vt:lpwstr>
  </property>
  <property fmtid="{D5CDD505-2E9C-101B-9397-08002B2CF9AE}" pid="3" name="_dlc_DocIdItemGuid">
    <vt:lpwstr>9250fa3e-1489-42f8-a5d8-7623f8130686</vt:lpwstr>
  </property>
  <property fmtid="{D5CDD505-2E9C-101B-9397-08002B2CF9AE}" pid="4" name="AutoClassRecordSeries">
    <vt:lpwstr/>
  </property>
  <property fmtid="{D5CDD505-2E9C-101B-9397-08002B2CF9AE}" pid="5" name="AutoClassDocumentType">
    <vt:lpwstr/>
  </property>
  <property fmtid="{D5CDD505-2E9C-101B-9397-08002B2CF9AE}" pid="6" name="AutoClassTopic">
    <vt:lpwstr/>
  </property>
</Properties>
</file>