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aciemconsulting-my.sharepoint.com/personal/cbreidenich_aciem_us/Documents/OneDrive/Work Files/2024/"/>
    </mc:Choice>
  </mc:AlternateContent>
  <xr:revisionPtr revIDLastSave="1" documentId="8_{D47C6271-46C2-4723-8548-57A7ED5D3867}" xr6:coauthVersionLast="47" xr6:coauthVersionMax="47" xr10:uidLastSave="{A1C8F925-92DD-433F-937F-3C61711DE65F}"/>
  <bookViews>
    <workbookView xWindow="-120" yWindow="-120" windowWidth="29040" windowHeight="15840" activeTab="1" xr2:uid="{9C1C116F-023E-4430-8460-4A191348CB19}"/>
  </bookViews>
  <sheets>
    <sheet name="Explanation" sheetId="2" r:id="rId1"/>
    <sheet name="Illustration" sheetId="1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4" i="11" l="1"/>
  <c r="P24" i="11"/>
  <c r="D14" i="11" s="1"/>
  <c r="O24" i="11"/>
  <c r="M24" i="11"/>
  <c r="L26" i="11"/>
  <c r="M26" i="11" s="1"/>
  <c r="N25" i="11"/>
  <c r="L25" i="11"/>
  <c r="P25" i="11" s="1"/>
  <c r="AK24" i="11"/>
  <c r="BE24" i="11"/>
  <c r="BD24" i="11"/>
  <c r="AR14" i="11" s="1"/>
  <c r="BY24" i="11"/>
  <c r="BW24" i="11"/>
  <c r="BU24" i="11"/>
  <c r="BC24" i="11"/>
  <c r="BA24" i="11"/>
  <c r="BX24" i="11"/>
  <c r="BV25" i="11"/>
  <c r="BT25" i="11"/>
  <c r="BT26" i="11" s="1"/>
  <c r="BU26" i="11" s="1"/>
  <c r="BB25" i="11"/>
  <c r="AZ25" i="11"/>
  <c r="X14" i="11"/>
  <c r="AF25" i="11"/>
  <c r="AH25" i="11"/>
  <c r="AI24" i="11"/>
  <c r="AG24" i="11"/>
  <c r="AJ24" i="11"/>
  <c r="N26" i="11" l="1"/>
  <c r="O26" i="11" s="1"/>
  <c r="L27" i="11"/>
  <c r="BD25" i="11"/>
  <c r="AZ26" i="11"/>
  <c r="AZ27" i="11" s="1"/>
  <c r="BV26" i="11"/>
  <c r="BW26" i="11" s="1"/>
  <c r="BX25" i="11"/>
  <c r="BT27" i="11"/>
  <c r="BB26" i="11"/>
  <c r="BC26" i="11" s="1"/>
  <c r="AJ25" i="11"/>
  <c r="AF26" i="11"/>
  <c r="AF27" i="11" s="1"/>
  <c r="AH26" i="11"/>
  <c r="AH27" i="11" s="1"/>
  <c r="N27" i="11" l="1"/>
  <c r="O27" i="11" s="1"/>
  <c r="BA26" i="11"/>
  <c r="BB27" i="11"/>
  <c r="BD27" i="11" s="1"/>
  <c r="BV27" i="11"/>
  <c r="BX27" i="11" s="1"/>
  <c r="P27" i="11" l="1"/>
  <c r="AP21" i="11" l="1"/>
  <c r="AL22" i="11"/>
  <c r="AH22" i="11"/>
  <c r="AF22" i="11"/>
  <c r="AD22" i="11"/>
  <c r="AB22" i="11"/>
  <c r="Z22" i="11"/>
  <c r="Z23" i="11" s="1"/>
  <c r="Z27" i="11" s="1"/>
  <c r="AJ21" i="11"/>
  <c r="AJ20" i="11"/>
  <c r="AA13" i="11"/>
  <c r="AC13" i="11"/>
  <c r="AE13" i="11"/>
  <c r="AG13" i="11"/>
  <c r="AI13" i="11"/>
  <c r="AJ13" i="11"/>
  <c r="AM13" i="11"/>
  <c r="W14" i="11"/>
  <c r="Y14" i="11"/>
  <c r="AA14" i="11"/>
  <c r="AC14" i="11"/>
  <c r="AE14" i="11"/>
  <c r="AG14" i="11"/>
  <c r="AI14" i="11"/>
  <c r="AJ14" i="11"/>
  <c r="AM14" i="11"/>
  <c r="W15" i="11"/>
  <c r="X15" i="11"/>
  <c r="Y15" i="11" s="1"/>
  <c r="AA15" i="11"/>
  <c r="AC15" i="11"/>
  <c r="AE15" i="11"/>
  <c r="AG15" i="11"/>
  <c r="AI15" i="11"/>
  <c r="AJ15" i="11"/>
  <c r="W16" i="11"/>
  <c r="X16" i="11"/>
  <c r="Y16" i="11" s="1"/>
  <c r="AA16" i="11"/>
  <c r="AC16" i="11"/>
  <c r="AE16" i="11"/>
  <c r="AG16" i="11"/>
  <c r="AI16" i="11"/>
  <c r="AJ16" i="11"/>
  <c r="AM16" i="11"/>
  <c r="Z17" i="11"/>
  <c r="AB17" i="11"/>
  <c r="AD17" i="11"/>
  <c r="AF17" i="11"/>
  <c r="AH17" i="11"/>
  <c r="AL17" i="11"/>
  <c r="V19" i="11"/>
  <c r="V22" i="11" s="1"/>
  <c r="AJ19" i="11"/>
  <c r="X20" i="11"/>
  <c r="X27" i="11" s="1"/>
  <c r="R22" i="11"/>
  <c r="H22" i="11"/>
  <c r="J22" i="11"/>
  <c r="L22" i="11"/>
  <c r="N22" i="11"/>
  <c r="F22" i="11"/>
  <c r="AK15" i="11" l="1"/>
  <c r="AJ22" i="11"/>
  <c r="AD23" i="11"/>
  <c r="AD27" i="11" s="1"/>
  <c r="AD28" i="11" s="1"/>
  <c r="AK14" i="11"/>
  <c r="AB23" i="11"/>
  <c r="AB27" i="11" s="1"/>
  <c r="AB28" i="11" s="1"/>
  <c r="AC17" i="11"/>
  <c r="AC18" i="11" s="1"/>
  <c r="AK13" i="11"/>
  <c r="AA17" i="11"/>
  <c r="AA18" i="11" s="1"/>
  <c r="AA27" i="11" s="1"/>
  <c r="AA28" i="11" s="1"/>
  <c r="AE17" i="11"/>
  <c r="AE18" i="11" s="1"/>
  <c r="AF23" i="11"/>
  <c r="AJ17" i="11"/>
  <c r="AM17" i="11"/>
  <c r="AM18" i="11" s="1"/>
  <c r="AG17" i="11"/>
  <c r="AG18" i="11" s="1"/>
  <c r="AK16" i="11"/>
  <c r="AI17" i="11"/>
  <c r="AI18" i="11" s="1"/>
  <c r="AL23" i="11"/>
  <c r="AL27" i="11" s="1"/>
  <c r="AL28" i="11" s="1"/>
  <c r="Z28" i="11"/>
  <c r="AH23" i="11"/>
  <c r="AI26" i="11" s="1"/>
  <c r="V13" i="11"/>
  <c r="V28" i="11"/>
  <c r="BZ21" i="11"/>
  <c r="BR21" i="11"/>
  <c r="BP21" i="11"/>
  <c r="AZ21" i="11"/>
  <c r="BD21" i="11" s="1"/>
  <c r="AT21" i="11"/>
  <c r="BN21" i="11" s="1"/>
  <c r="P21" i="11"/>
  <c r="P20" i="11"/>
  <c r="D20" i="11"/>
  <c r="AR21" i="11" s="1"/>
  <c r="BV21" i="11"/>
  <c r="BN20" i="11"/>
  <c r="BT20" i="11"/>
  <c r="BF22" i="11"/>
  <c r="BB22" i="11"/>
  <c r="AX22" i="11"/>
  <c r="AV22" i="11"/>
  <c r="C34" i="11"/>
  <c r="AQ34" i="11"/>
  <c r="BJ20" i="11"/>
  <c r="BK34" i="11" s="1"/>
  <c r="AC27" i="11" l="1"/>
  <c r="AC28" i="11" s="1"/>
  <c r="AK17" i="11"/>
  <c r="AK18" i="11" s="1"/>
  <c r="BX21" i="11"/>
  <c r="AJ23" i="11"/>
  <c r="W13" i="11"/>
  <c r="W17" i="11" s="1"/>
  <c r="X13" i="11"/>
  <c r="V17" i="11"/>
  <c r="AT22" i="11"/>
  <c r="BT21" i="11"/>
  <c r="AZ22" i="11"/>
  <c r="BL21" i="11"/>
  <c r="BJ21" i="11"/>
  <c r="W34" i="11"/>
  <c r="BC31" i="11"/>
  <c r="BA31" i="11"/>
  <c r="AY31" i="11"/>
  <c r="AW31" i="11"/>
  <c r="AI31" i="11"/>
  <c r="AG31" i="11"/>
  <c r="AE31" i="11"/>
  <c r="AC31" i="11"/>
  <c r="O31" i="11"/>
  <c r="M31" i="11"/>
  <c r="K31" i="11"/>
  <c r="I31" i="11"/>
  <c r="BM28" i="11"/>
  <c r="BZ20" i="11"/>
  <c r="BV20" i="11"/>
  <c r="BR20" i="11"/>
  <c r="BP20" i="11"/>
  <c r="AU20" i="11"/>
  <c r="BZ19" i="11"/>
  <c r="BV19" i="11"/>
  <c r="BT19" i="11"/>
  <c r="BT22" i="11" s="1"/>
  <c r="BR19" i="11"/>
  <c r="BP19" i="11"/>
  <c r="BN19" i="11"/>
  <c r="BN22" i="11" s="1"/>
  <c r="BD19" i="11"/>
  <c r="AP19" i="11"/>
  <c r="AP22" i="11" s="1"/>
  <c r="P19" i="11"/>
  <c r="B19" i="11"/>
  <c r="B22" i="11" s="1"/>
  <c r="BF17" i="11"/>
  <c r="BB17" i="11"/>
  <c r="AZ17" i="11"/>
  <c r="AX17" i="11"/>
  <c r="AV17" i="11"/>
  <c r="AT17" i="11"/>
  <c r="R17" i="11"/>
  <c r="N17" i="11"/>
  <c r="L17" i="11"/>
  <c r="J17" i="11"/>
  <c r="H17" i="11"/>
  <c r="F17" i="11"/>
  <c r="BZ16" i="11"/>
  <c r="CA16" i="11" s="1"/>
  <c r="BV16" i="11"/>
  <c r="BW16" i="11" s="1"/>
  <c r="BT16" i="11"/>
  <c r="BU16" i="11" s="1"/>
  <c r="BR16" i="11"/>
  <c r="BS16" i="11" s="1"/>
  <c r="BP16" i="11"/>
  <c r="BQ16" i="11" s="1"/>
  <c r="BN16" i="11"/>
  <c r="BO16" i="11" s="1"/>
  <c r="BJ16" i="11"/>
  <c r="BG16" i="11"/>
  <c r="BD16" i="11"/>
  <c r="BC16" i="11"/>
  <c r="BA16" i="11"/>
  <c r="AY16" i="11"/>
  <c r="AW16" i="11"/>
  <c r="AU16" i="11"/>
  <c r="AR16" i="11"/>
  <c r="AS16" i="11" s="1"/>
  <c r="AQ16" i="11"/>
  <c r="S16" i="11"/>
  <c r="P16" i="11"/>
  <c r="O16" i="11"/>
  <c r="M16" i="11"/>
  <c r="K16" i="11"/>
  <c r="I16" i="11"/>
  <c r="G16" i="11"/>
  <c r="D16" i="11"/>
  <c r="E16" i="11" s="1"/>
  <c r="C16" i="11"/>
  <c r="BZ15" i="11"/>
  <c r="CA15" i="11" s="1"/>
  <c r="BV15" i="11"/>
  <c r="BW15" i="11" s="1"/>
  <c r="BT15" i="11"/>
  <c r="BR15" i="11"/>
  <c r="BS15" i="11" s="1"/>
  <c r="BP15" i="11"/>
  <c r="BQ15" i="11" s="1"/>
  <c r="BN15" i="11"/>
  <c r="BO15" i="11" s="1"/>
  <c r="BJ15" i="11"/>
  <c r="BK15" i="11" s="1"/>
  <c r="BD15" i="11"/>
  <c r="BC15" i="11"/>
  <c r="BA15" i="11"/>
  <c r="AY15" i="11"/>
  <c r="AW15" i="11"/>
  <c r="AU15" i="11"/>
  <c r="AR15" i="11"/>
  <c r="AS15" i="11" s="1"/>
  <c r="AQ15" i="11"/>
  <c r="P15" i="11"/>
  <c r="O15" i="11"/>
  <c r="M15" i="11"/>
  <c r="K15" i="11"/>
  <c r="I15" i="11"/>
  <c r="G15" i="11"/>
  <c r="D15" i="11"/>
  <c r="E15" i="11" s="1"/>
  <c r="C15" i="11"/>
  <c r="BZ14" i="11"/>
  <c r="CA14" i="11" s="1"/>
  <c r="BV14" i="11"/>
  <c r="BT14" i="11"/>
  <c r="BR14" i="11"/>
  <c r="BP14" i="11"/>
  <c r="BQ14" i="11" s="1"/>
  <c r="BN14" i="11"/>
  <c r="BO14" i="11" s="1"/>
  <c r="BJ14" i="11"/>
  <c r="BG14" i="11"/>
  <c r="BD14" i="11"/>
  <c r="BC14" i="11"/>
  <c r="BA14" i="11"/>
  <c r="AY14" i="11"/>
  <c r="AW14" i="11"/>
  <c r="AU14" i="11"/>
  <c r="AS14" i="11"/>
  <c r="AQ14" i="11"/>
  <c r="S14" i="11"/>
  <c r="P14" i="11"/>
  <c r="O14" i="11"/>
  <c r="M14" i="11"/>
  <c r="K14" i="11"/>
  <c r="I14" i="11"/>
  <c r="G14" i="11"/>
  <c r="E14" i="11"/>
  <c r="C14" i="11"/>
  <c r="BZ13" i="11"/>
  <c r="CA13" i="11" s="1"/>
  <c r="BV13" i="11"/>
  <c r="BW13" i="11" s="1"/>
  <c r="BT13" i="11"/>
  <c r="BU13" i="11" s="1"/>
  <c r="BR13" i="11"/>
  <c r="BS13" i="11" s="1"/>
  <c r="BP13" i="11"/>
  <c r="BN13" i="11"/>
  <c r="BO13" i="11" s="1"/>
  <c r="BG13" i="11"/>
  <c r="BD13" i="11"/>
  <c r="BC13" i="11"/>
  <c r="BA13" i="11"/>
  <c r="AY13" i="11"/>
  <c r="AW13" i="11"/>
  <c r="AU13" i="11"/>
  <c r="S13" i="11"/>
  <c r="P13" i="11"/>
  <c r="O13" i="11"/>
  <c r="M13" i="11"/>
  <c r="K13" i="11"/>
  <c r="I13" i="11"/>
  <c r="G13" i="11"/>
  <c r="BK14" i="11" l="1"/>
  <c r="BL14" i="11"/>
  <c r="BM14" i="11" s="1"/>
  <c r="AG26" i="11"/>
  <c r="B13" i="11"/>
  <c r="B17" i="11" s="1"/>
  <c r="B28" i="11"/>
  <c r="AH28" i="11"/>
  <c r="AJ27" i="11"/>
  <c r="AJ28" i="11" s="1"/>
  <c r="AF28" i="11"/>
  <c r="W28" i="11"/>
  <c r="W18" i="11"/>
  <c r="X17" i="11"/>
  <c r="Y13" i="11"/>
  <c r="Y17" i="11" s="1"/>
  <c r="BS31" i="11"/>
  <c r="Q13" i="11"/>
  <c r="W35" i="11"/>
  <c r="BL20" i="11"/>
  <c r="BL22" i="11" s="1"/>
  <c r="BW31" i="11"/>
  <c r="BY16" i="11"/>
  <c r="AY17" i="11"/>
  <c r="AY18" i="11" s="1"/>
  <c r="AT23" i="11"/>
  <c r="AT27" i="11" s="1"/>
  <c r="AT32" i="11" s="1"/>
  <c r="BY13" i="11"/>
  <c r="BE14" i="11"/>
  <c r="AU17" i="11"/>
  <c r="AU18" i="11" s="1"/>
  <c r="BP17" i="11"/>
  <c r="G17" i="11"/>
  <c r="G18" i="11" s="1"/>
  <c r="BJ19" i="11"/>
  <c r="S17" i="11"/>
  <c r="S18" i="11" s="1"/>
  <c r="BS14" i="11"/>
  <c r="BS17" i="11" s="1"/>
  <c r="I17" i="11"/>
  <c r="I18" i="11" s="1"/>
  <c r="BE15" i="11"/>
  <c r="Z32" i="11"/>
  <c r="BB23" i="11"/>
  <c r="BE13" i="11"/>
  <c r="O17" i="11"/>
  <c r="O18" i="11" s="1"/>
  <c r="BG17" i="11"/>
  <c r="BG18" i="11" s="1"/>
  <c r="BE16" i="11"/>
  <c r="P22" i="11"/>
  <c r="AW17" i="11"/>
  <c r="AW18" i="11" s="1"/>
  <c r="BN17" i="11"/>
  <c r="BW14" i="11"/>
  <c r="BW17" i="11" s="1"/>
  <c r="K17" i="11"/>
  <c r="K18" i="11" s="1"/>
  <c r="BX16" i="11"/>
  <c r="BV17" i="11"/>
  <c r="AV23" i="11"/>
  <c r="AV27" i="11" s="1"/>
  <c r="AV32" i="11" s="1"/>
  <c r="Q15" i="11"/>
  <c r="BP22" i="11"/>
  <c r="F23" i="11"/>
  <c r="F27" i="11" s="1"/>
  <c r="F28" i="11" s="1"/>
  <c r="AD32" i="11"/>
  <c r="M17" i="11"/>
  <c r="M18" i="11" s="1"/>
  <c r="BX14" i="11"/>
  <c r="BX15" i="11"/>
  <c r="BL15" i="11"/>
  <c r="BM15" i="11" s="1"/>
  <c r="BR22" i="11"/>
  <c r="H23" i="11"/>
  <c r="H27" i="11" s="1"/>
  <c r="H28" i="11" s="1"/>
  <c r="BD17" i="11"/>
  <c r="BL16" i="11"/>
  <c r="BM16" i="11" s="1"/>
  <c r="BX19" i="11"/>
  <c r="J23" i="11"/>
  <c r="J27" i="11" s="1"/>
  <c r="J32" i="11" s="1"/>
  <c r="L23" i="11"/>
  <c r="P17" i="11"/>
  <c r="Q16" i="11"/>
  <c r="BZ22" i="11"/>
  <c r="CA17" i="11"/>
  <c r="BU31" i="11"/>
  <c r="BT17" i="11"/>
  <c r="BU14" i="11"/>
  <c r="BK16" i="11"/>
  <c r="BA17" i="11"/>
  <c r="BV22" i="11"/>
  <c r="BO17" i="11"/>
  <c r="BX13" i="11"/>
  <c r="N23" i="11"/>
  <c r="BR17" i="11"/>
  <c r="BU15" i="11"/>
  <c r="BY15" i="11" s="1"/>
  <c r="BC17" i="11"/>
  <c r="BD20" i="11"/>
  <c r="BX20" i="11" s="1"/>
  <c r="BF23" i="11"/>
  <c r="BF27" i="11" s="1"/>
  <c r="BF28" i="11" s="1"/>
  <c r="BQ13" i="11"/>
  <c r="BQ17" i="11" s="1"/>
  <c r="Q14" i="11"/>
  <c r="D27" i="11"/>
  <c r="BZ17" i="11"/>
  <c r="AP13" i="11"/>
  <c r="R23" i="11"/>
  <c r="R27" i="11" s="1"/>
  <c r="R28" i="11" s="1"/>
  <c r="AX23" i="11"/>
  <c r="AX27" i="11" s="1"/>
  <c r="AX28" i="11" s="1"/>
  <c r="C13" i="11" l="1"/>
  <c r="C17" i="11" s="1"/>
  <c r="D13" i="11"/>
  <c r="Y18" i="11"/>
  <c r="C35" i="11"/>
  <c r="AB32" i="11"/>
  <c r="AC37" i="11" s="1"/>
  <c r="BP23" i="11"/>
  <c r="BP27" i="11" s="1"/>
  <c r="BP28" i="11" s="1"/>
  <c r="F32" i="11"/>
  <c r="AT28" i="11"/>
  <c r="J28" i="11"/>
  <c r="H32" i="11"/>
  <c r="I37" i="11" s="1"/>
  <c r="I27" i="11"/>
  <c r="I28" i="11" s="1"/>
  <c r="BN23" i="11"/>
  <c r="BN27" i="11" s="1"/>
  <c r="BN32" i="11" s="1"/>
  <c r="BZ23" i="11"/>
  <c r="BZ27" i="11" s="1"/>
  <c r="BZ28" i="11" s="1"/>
  <c r="BW18" i="11"/>
  <c r="BV23" i="11"/>
  <c r="AR27" i="11"/>
  <c r="AQ35" i="11" s="1"/>
  <c r="BE17" i="11"/>
  <c r="BE18" i="11" s="1"/>
  <c r="BR23" i="11"/>
  <c r="BR27" i="11" s="1"/>
  <c r="BR28" i="11" s="1"/>
  <c r="BY14" i="11"/>
  <c r="BY17" i="11" s="1"/>
  <c r="AV28" i="11"/>
  <c r="BX17" i="11"/>
  <c r="Q17" i="11"/>
  <c r="Q18" i="11" s="1"/>
  <c r="G27" i="11"/>
  <c r="G28" i="11" s="1"/>
  <c r="BJ22" i="11"/>
  <c r="BS18" i="11"/>
  <c r="BD22" i="11"/>
  <c r="AZ23" i="11"/>
  <c r="AA32" i="11"/>
  <c r="AA37" i="11"/>
  <c r="AU37" i="11"/>
  <c r="AU32" i="11"/>
  <c r="AW32" i="11"/>
  <c r="AW37" i="11"/>
  <c r="P23" i="11"/>
  <c r="BT23" i="11"/>
  <c r="BX22" i="11"/>
  <c r="CA18" i="11"/>
  <c r="K32" i="11"/>
  <c r="K37" i="11"/>
  <c r="C28" i="11"/>
  <c r="C18" i="11"/>
  <c r="BC18" i="11"/>
  <c r="BQ18" i="11"/>
  <c r="BU17" i="11"/>
  <c r="E13" i="11"/>
  <c r="E17" i="11" s="1"/>
  <c r="D17" i="11"/>
  <c r="AE32" i="11"/>
  <c r="BO18" i="11"/>
  <c r="BA18" i="11"/>
  <c r="AE37" i="11"/>
  <c r="BJ13" i="11"/>
  <c r="AR13" i="11"/>
  <c r="AQ13" i="11"/>
  <c r="AQ17" i="11" s="1"/>
  <c r="AP17" i="11"/>
  <c r="R32" i="11"/>
  <c r="S32" i="11" s="1"/>
  <c r="AX32" i="11"/>
  <c r="AL32" i="11"/>
  <c r="AM32" i="11" s="1"/>
  <c r="BF32" i="11"/>
  <c r="BG32" i="11" s="1"/>
  <c r="BG27" i="11"/>
  <c r="BG28" i="11" s="1"/>
  <c r="BL27" i="11" l="1"/>
  <c r="BK35" i="11" s="1"/>
  <c r="BQ27" i="11"/>
  <c r="BQ28" i="11" s="1"/>
  <c r="BP32" i="11"/>
  <c r="AC32" i="11"/>
  <c r="I32" i="11"/>
  <c r="BO27" i="11"/>
  <c r="BO28" i="11" s="1"/>
  <c r="BR32" i="11"/>
  <c r="BS32" i="11" s="1"/>
  <c r="G32" i="11"/>
  <c r="BZ32" i="11"/>
  <c r="CA32" i="11" s="1"/>
  <c r="G37" i="11"/>
  <c r="BN28" i="11"/>
  <c r="BJ17" i="11"/>
  <c r="AP28" i="11"/>
  <c r="L32" i="11"/>
  <c r="BY18" i="11"/>
  <c r="BX23" i="11"/>
  <c r="BQ32" i="11"/>
  <c r="BQ37" i="11"/>
  <c r="AY32" i="11"/>
  <c r="AY37" i="11"/>
  <c r="BO32" i="11"/>
  <c r="BO37" i="11"/>
  <c r="AQ18" i="11"/>
  <c r="AQ28" i="11"/>
  <c r="E18" i="11"/>
  <c r="BK13" i="11"/>
  <c r="BK17" i="11" s="1"/>
  <c r="BL13" i="11"/>
  <c r="N28" i="11"/>
  <c r="BD23" i="11"/>
  <c r="AS13" i="11"/>
  <c r="AS17" i="11" s="1"/>
  <c r="AR17" i="11"/>
  <c r="BU18" i="11"/>
  <c r="L28" i="11" l="1"/>
  <c r="P32" i="11"/>
  <c r="Q32" i="11" s="1"/>
  <c r="BS37" i="11"/>
  <c r="AH32" i="11"/>
  <c r="AI32" i="11" s="1"/>
  <c r="BJ28" i="11"/>
  <c r="BM13" i="11"/>
  <c r="BM17" i="11" s="1"/>
  <c r="BL17" i="11"/>
  <c r="BK18" i="11"/>
  <c r="BK28" i="11"/>
  <c r="AS18" i="11"/>
  <c r="AF32" i="11"/>
  <c r="N32" i="11"/>
  <c r="C33" i="11" s="1"/>
  <c r="M32" i="11"/>
  <c r="M37" i="11"/>
  <c r="P28" i="11" l="1"/>
  <c r="AI37" i="11"/>
  <c r="W33" i="11"/>
  <c r="AZ32" i="11"/>
  <c r="AZ28" i="11"/>
  <c r="AG37" i="11"/>
  <c r="AG32" i="11"/>
  <c r="X33" i="11" s="1"/>
  <c r="BB28" i="11"/>
  <c r="BB32" i="11"/>
  <c r="BM18" i="11"/>
  <c r="O32" i="11"/>
  <c r="D33" i="11" s="1"/>
  <c r="O37" i="11"/>
  <c r="C37" i="11" s="1"/>
  <c r="AJ32" i="11"/>
  <c r="AK32" i="11" s="1"/>
  <c r="W36" i="11" l="1"/>
  <c r="Y20" i="11" s="1"/>
  <c r="C36" i="11"/>
  <c r="C38" i="11"/>
  <c r="W37" i="11"/>
  <c r="W38" i="11" s="1"/>
  <c r="AQ33" i="11"/>
  <c r="BA37" i="11"/>
  <c r="BA32" i="11"/>
  <c r="BD32" i="11"/>
  <c r="BE32" i="11" s="1"/>
  <c r="BD28" i="11"/>
  <c r="BC37" i="11"/>
  <c r="BC32" i="11"/>
  <c r="BV32" i="11"/>
  <c r="BV28" i="11"/>
  <c r="BT32" i="11"/>
  <c r="BT28" i="11"/>
  <c r="E20" i="11" l="1"/>
  <c r="E28" i="11" s="1"/>
  <c r="M27" i="11"/>
  <c r="Q27" i="11" s="1"/>
  <c r="E27" i="11"/>
  <c r="BK33" i="11"/>
  <c r="M28" i="11"/>
  <c r="D35" i="11"/>
  <c r="AM27" i="11"/>
  <c r="AM28" i="11" s="1"/>
  <c r="AE27" i="11"/>
  <c r="AE28" i="11" s="1"/>
  <c r="AI27" i="11"/>
  <c r="AI28" i="11" s="1"/>
  <c r="AG27" i="11"/>
  <c r="Y27" i="11"/>
  <c r="AS21" i="11" s="1"/>
  <c r="X35" i="11"/>
  <c r="AR33" i="11"/>
  <c r="AQ37" i="11"/>
  <c r="AS27" i="11"/>
  <c r="BW37" i="11"/>
  <c r="BW32" i="11"/>
  <c r="K27" i="11"/>
  <c r="K28" i="11" s="1"/>
  <c r="S27" i="11"/>
  <c r="S28" i="11" s="1"/>
  <c r="O28" i="11"/>
  <c r="BX32" i="11"/>
  <c r="BY32" i="11" s="1"/>
  <c r="BX28" i="11"/>
  <c r="BU32" i="11"/>
  <c r="BU37" i="11"/>
  <c r="BK37" i="11" l="1"/>
  <c r="BM27" i="11"/>
  <c r="AQ36" i="11"/>
  <c r="AQ38" i="11"/>
  <c r="G39" i="11"/>
  <c r="BM21" i="11"/>
  <c r="AK27" i="11"/>
  <c r="AK28" i="11" s="1"/>
  <c r="AG28" i="11"/>
  <c r="AA39" i="11" s="1"/>
  <c r="BL33" i="11"/>
  <c r="Q28" i="11"/>
  <c r="AS20" i="11" l="1"/>
  <c r="BA27" i="11"/>
  <c r="BC27" i="11"/>
  <c r="BA28" i="11"/>
  <c r="BK38" i="11"/>
  <c r="BK36" i="11"/>
  <c r="AW27" i="11"/>
  <c r="AW28" i="11" s="1"/>
  <c r="BM33" i="11"/>
  <c r="AU27" i="11"/>
  <c r="AU28" i="11" s="1"/>
  <c r="AR35" i="11"/>
  <c r="AY27" i="11"/>
  <c r="AY28" i="11" s="1"/>
  <c r="BC28" i="11"/>
  <c r="BW27" i="11" l="1"/>
  <c r="BW28" i="11" s="1"/>
  <c r="BU27" i="11"/>
  <c r="BE27" i="11"/>
  <c r="AU39" i="11"/>
  <c r="BE28" i="11"/>
  <c r="BS27" i="11"/>
  <c r="BS28" i="11" s="1"/>
  <c r="CA27" i="11"/>
  <c r="CA28" i="11" s="1"/>
  <c r="BY27" i="11" l="1"/>
  <c r="BU28" i="11"/>
  <c r="BY28" i="11"/>
  <c r="BO39" i="11"/>
</calcChain>
</file>

<file path=xl/sharedStrings.xml><?xml version="1.0" encoding="utf-8"?>
<sst xmlns="http://schemas.openxmlformats.org/spreadsheetml/2006/main" count="711" uniqueCount="85">
  <si>
    <t>Interval 1</t>
  </si>
  <si>
    <t>EF</t>
  </si>
  <si>
    <t>Assigned Energy</t>
  </si>
  <si>
    <t>MW</t>
  </si>
  <si>
    <t xml:space="preserve"> GHG</t>
  </si>
  <si>
    <t xml:space="preserve"> MW</t>
  </si>
  <si>
    <t>GHG</t>
  </si>
  <si>
    <t>Gas</t>
  </si>
  <si>
    <t>Hydro</t>
  </si>
  <si>
    <t>RE</t>
  </si>
  <si>
    <t>Coal</t>
  </si>
  <si>
    <t>Emissions added to market</t>
  </si>
  <si>
    <t>--</t>
  </si>
  <si>
    <t>Interval 2</t>
  </si>
  <si>
    <t>LSE5</t>
  </si>
  <si>
    <t xml:space="preserve">LSE 1 </t>
  </si>
  <si>
    <t xml:space="preserve">LSE 2 </t>
  </si>
  <si>
    <t xml:space="preserve">LSE3 </t>
  </si>
  <si>
    <t>LSE4</t>
  </si>
  <si>
    <t>GHG Pricing Zone</t>
  </si>
  <si>
    <t>Total assigned emissions (test)</t>
  </si>
  <si>
    <t>Interval 3</t>
  </si>
  <si>
    <t>`</t>
  </si>
  <si>
    <t/>
  </si>
  <si>
    <t>Resource Type</t>
  </si>
  <si>
    <t>Net Dedicated Energy</t>
  </si>
  <si>
    <t xml:space="preserve"> Intra GHG Pricing Zone Adjustment</t>
  </si>
  <si>
    <t>* For resource types other than gas, any changes in the MW of dedicated energy should also be reflected in the total dispatched MW. This ensures that the model will reflect any undedicated MW as market energy.</t>
  </si>
  <si>
    <t>* For gas resources, it is only necessary to change the MW of dedicated energy to LSEs or the non-GHG zone. The model will change the total dispatched MW to ensure that dispatched generation equals load, and will adjust market energy accordingly.</t>
  </si>
  <si>
    <t xml:space="preserve">Portfolio </t>
  </si>
  <si>
    <t>Residual Market Supply Emission Factor Calculation</t>
  </si>
  <si>
    <t>LSE Elected approach to contributing excess energy to the market</t>
  </si>
  <si>
    <t>Portfolio</t>
  </si>
  <si>
    <t>Footprint</t>
  </si>
  <si>
    <t>Dispatched Energy</t>
  </si>
  <si>
    <t xml:space="preserve">    Gas</t>
  </si>
  <si>
    <t xml:space="preserve">    Hydro</t>
  </si>
  <si>
    <t xml:space="preserve">    RE</t>
  </si>
  <si>
    <t xml:space="preserve">    Coal</t>
  </si>
  <si>
    <t>Total Dispatched/Dedicated Energy</t>
  </si>
  <si>
    <t xml:space="preserve">      Average EF</t>
  </si>
  <si>
    <t>Residual Market Supply</t>
  </si>
  <si>
    <t>Total Load</t>
  </si>
  <si>
    <t xml:space="preserve">      Retail Load</t>
  </si>
  <si>
    <t xml:space="preserve">  Null power in residual market</t>
  </si>
  <si>
    <t>Gas 1st</t>
  </si>
  <si>
    <t xml:space="preserve">Excess dedicated energy </t>
  </si>
  <si>
    <t>Total Energy &amp; Emissions</t>
  </si>
  <si>
    <t>NA</t>
  </si>
  <si>
    <t xml:space="preserve">Energy claimed under clean energy programs </t>
  </si>
  <si>
    <t>Intervals 1-3</t>
  </si>
  <si>
    <t xml:space="preserve">Net Market Energy </t>
  </si>
  <si>
    <t>Adjusted EF (null power excluded)</t>
  </si>
  <si>
    <t xml:space="preserve">  Residual EF</t>
  </si>
  <si>
    <t xml:space="preserve"> Charging MW</t>
  </si>
  <si>
    <t xml:space="preserve"> Market charging MW</t>
  </si>
  <si>
    <t>Excess dedicated energy</t>
  </si>
  <si>
    <t xml:space="preserve">     Storage Charging</t>
  </si>
  <si>
    <t xml:space="preserve">     Storage Discharging</t>
  </si>
  <si>
    <t>Storage round trip efficiency</t>
  </si>
  <si>
    <t xml:space="preserve">Total </t>
  </si>
  <si>
    <t xml:space="preserve">  When market storage resources are discharged, emissions associated with charging those resources in previous interval are added to the emissions in the numerator of the residual EF calculation.and  the MW of  discharged energy is added to the MW in the denominator. Discharge of dedicated storage reduces an  LSE's load in that interval. (See interval 3)</t>
  </si>
  <si>
    <t xml:space="preserve"> When calculating a rolled up residual EF across time, two adjustments need to be made to the denominator to achieve the correct emission factor for assigning emissions to LSEs:  the emissions associated with charging market storage must be added to the numberator and volume of discharged market storage must be deducted from the denominator. (This is a combination of the approaches for charging and discharging. ) (See combined intervals 1-3)</t>
  </si>
  <si>
    <t xml:space="preserve">This spreadsheet illustrates WPTF's proposed framework for comprehensive accounting of energy and emissions within the market footprint. </t>
  </si>
  <si>
    <t xml:space="preserve">    Setup: There are five LSEs with GHG Reduction or Clean Energy targets, two of which are located in a GHG Pricing Zone.</t>
  </si>
  <si>
    <t xml:space="preserve">    MW of various resources types, including energy storage,  are included and can be dedicated to specific LSEs or to the non-GHG zone. For LSEs, these dedicated MW are intended to represent owned or contracted energy. For the Non-GHG zone, dedicated MW represent owned resources only.</t>
  </si>
  <si>
    <t xml:space="preserve">    Additionally, there is a Market Energy category that represents MW of energy that is not dedictated to specific LSEs, e.g. IPP owned resources, or energy that may be contracted to LSEs in the non-GHG zone.</t>
  </si>
  <si>
    <t>Dispatch and load scenarios are created for three intervals, plus a roll-up across the three intervals.</t>
  </si>
  <si>
    <r>
      <t xml:space="preserve">For intervals 1-3, the user can create different  scenarios by modifying the load for each LSE,  total generation by resource type, charging and discharging of storage,  and dediction to specific LSEs vor each resource types. User-entered values are shown in </t>
    </r>
    <r>
      <rPr>
        <sz val="11"/>
        <color theme="4" tint="-0.249977111117893"/>
        <rFont val="Calibri"/>
        <family val="2"/>
        <scheme val="minor"/>
      </rPr>
      <t>blue</t>
    </r>
    <r>
      <rPr>
        <sz val="11"/>
        <color theme="1"/>
        <rFont val="Calibri"/>
        <family val="2"/>
        <scheme val="minor"/>
      </rPr>
      <t>.</t>
    </r>
  </si>
  <si>
    <t xml:space="preserve">Within each interval, the spreadsheet calculates an average emission factor for total generation (ignoring storage) and for market energy (i.e. energy from  resource not designated for  particular LSEs). It also calculate an average emission factor for each LSE based on that entity's dedicated energy . A positive value indicates that dedicated generation exceeds load. A negative value indicates dedicated generation is less than load. </t>
  </si>
  <si>
    <t xml:space="preserve">   For each LSE, the model then compares the enity's total dedicated generation to its total load. If dedicated energy is less than load, market energy is attributed to the entity for the difference and emissions assigned using the residual emission factor. If dedicated energy exceeds the entity's load, energy and emissions are deducted from the entity and added to the market residual using the entity's elected contribution method. (Portfolio or gas resources)</t>
  </si>
  <si>
    <t xml:space="preserve">  The calculation starts with total emissions associated with energy that is not dedicated to specific LSEs or the non-GHG Zone.   To this is added emissions associated with dedicated energy in excess of an indivual LSE or the Non-GHG Area's load. This number is the numerator of the emission rate.The denominator is derived by taking the total energy that is not dedicated to specific LSEs or the non-GHG area, and adding dedicated energy in excess of an LSE or non-GHG Area's load. </t>
  </si>
  <si>
    <t>The  residual market emission factor for each interval is calculated as follows. To this is added emissions associated with dedicated energy in excess of an indivual LSE or the Non-GHG Area's load. This number is the numerator of the emission rate.</t>
  </si>
  <si>
    <t xml:space="preserve"> Energy storage alters the residual emission factor as discussed below. </t>
  </si>
  <si>
    <t xml:space="preserve">Null power is separately tracked and accounted. This is excess energy that is dedicated to an LSE which is intended to be claimed under a RPS or clean energy program). The spreadsheet totals the null power for each hour and calculates a separate null power adjusted residual emission factor, which removes the null power MW from the denominator.   </t>
  </si>
  <si>
    <t xml:space="preserve">The rollup of intervals 1-3 shows how accurate accounting can be maintained across time. </t>
  </si>
  <si>
    <t xml:space="preserve">   A test cell check that assigned emissions in each interval matches the actual dispatched emissions in that interval. </t>
  </si>
  <si>
    <t xml:space="preserve">   When storage resources are charged, this adds to footprint load and to the load of any LSE with dedicated storage, necessitating additional dispatch of generating resources. To ensure accurate emission accounting, the total volume of charged energy for dedicated storage resources must be added to that LSEs load.  Emissions associated with charging market storage are calculated using the residual EF for that hour but not assigned to indivudal LSEs. Rather the emissions associated with charging, and the MW of discharging are factored into the residual emission factor in a later interval when the market storage resources are discharged. (See intervals 1 and 2)</t>
  </si>
  <si>
    <t xml:space="preserve">  Surplus Attribution</t>
  </si>
  <si>
    <t xml:space="preserve">  Intra GHG Pricing Zone Adjustment</t>
  </si>
  <si>
    <t xml:space="preserve">  Subtotal</t>
  </si>
  <si>
    <t xml:space="preserve">   For the 2 LSEs within the GHG pricing zone, if one LSE has an excess of dedicated energy and the other has a deficit, this excess will be applied toward the deficit first. This is indicated by the Intra GHG Pricing Zone Adjustment, and reflects the fact that resources within a GHG Pricing Zone will serve load within that area first. Additionally, the model includes the possibility that  non contracted surplus energy (here assumed to come from hydro) attributed to the GHG pricing states would also assigned to LSEs in the state on some prorata basis.  (Interval 2)</t>
  </si>
  <si>
    <t xml:space="preserve">Energy storage is addressed by correctly accounting for the MW associated with charging and discharging, and timeshifting of emissions associated with charging. </t>
  </si>
  <si>
    <t>Non GHG Area</t>
  </si>
  <si>
    <t xml:space="preserve">    There is also a Non-GHG area that represents and aggregation of LSEs without any kind of GHG reduction or Clean Energy targets.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</si>
</sst>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000"/>
    <numFmt numFmtId="166" formatCode="0.000"/>
  </numFmts>
  <fonts count="10" x14ac:knownFonts="1">
    <font>
      <sz val="11"/>
      <color theme="1"/>
      <name val="Calibri"/>
      <family val="2"/>
      <scheme val="minor"/>
    </font>
    <font>
      <b/>
      <sz val="11"/>
      <color theme="1"/>
      <name val="Calibri"/>
      <family val="2"/>
      <scheme val="minor"/>
    </font>
    <font>
      <sz val="11"/>
      <color rgb="FFC00000"/>
      <name val="Calibri"/>
      <family val="2"/>
      <scheme val="minor"/>
    </font>
    <font>
      <b/>
      <i/>
      <sz val="11"/>
      <color theme="1"/>
      <name val="Calibri"/>
      <family val="2"/>
      <scheme val="minor"/>
    </font>
    <font>
      <b/>
      <sz val="14"/>
      <color theme="1"/>
      <name val="Calibri"/>
      <family val="2"/>
      <scheme val="minor"/>
    </font>
    <font>
      <sz val="11"/>
      <color rgb="FF0070C0"/>
      <name val="Calibri"/>
      <family val="2"/>
      <scheme val="minor"/>
    </font>
    <font>
      <sz val="11"/>
      <color theme="1"/>
      <name val="Calibri"/>
      <family val="2"/>
      <scheme val="minor"/>
    </font>
    <font>
      <sz val="11"/>
      <color theme="4" tint="-0.249977111117893"/>
      <name val="Calibri"/>
      <family val="2"/>
      <scheme val="minor"/>
    </font>
    <font>
      <sz val="11"/>
      <color theme="4"/>
      <name val="Calibri"/>
      <family val="2"/>
      <scheme val="minor"/>
    </font>
    <font>
      <sz val="1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194">
    <xf numFmtId="0" fontId="0" fillId="0" borderId="0" xfId="0"/>
    <xf numFmtId="1" fontId="0" fillId="0" borderId="3" xfId="0" applyNumberFormat="1" applyBorder="1"/>
    <xf numFmtId="2" fontId="0" fillId="0" borderId="4" xfId="0" applyNumberFormat="1" applyBorder="1"/>
    <xf numFmtId="1" fontId="0" fillId="0" borderId="4" xfId="0" applyNumberFormat="1" applyBorder="1"/>
    <xf numFmtId="2" fontId="0" fillId="0" borderId="4" xfId="0" quotePrefix="1" applyNumberFormat="1" applyBorder="1" applyAlignment="1">
      <alignment horizontal="center"/>
    </xf>
    <xf numFmtId="0" fontId="0" fillId="0" borderId="8" xfId="0" applyBorder="1"/>
    <xf numFmtId="0" fontId="0" fillId="0" borderId="9" xfId="0" applyBorder="1"/>
    <xf numFmtId="0" fontId="0" fillId="0" borderId="11" xfId="0" applyBorder="1"/>
    <xf numFmtId="0" fontId="0" fillId="0" borderId="12" xfId="0" applyBorder="1"/>
    <xf numFmtId="2" fontId="0" fillId="0" borderId="0" xfId="0" applyNumberFormat="1"/>
    <xf numFmtId="0" fontId="1" fillId="0" borderId="0" xfId="0" applyFont="1" applyAlignment="1">
      <alignment horizontal="center"/>
    </xf>
    <xf numFmtId="1" fontId="0" fillId="0" borderId="0" xfId="0" applyNumberFormat="1"/>
    <xf numFmtId="1" fontId="0" fillId="0" borderId="9" xfId="0" applyNumberFormat="1" applyBorder="1"/>
    <xf numFmtId="2" fontId="0" fillId="0" borderId="3" xfId="0" quotePrefix="1" applyNumberFormat="1" applyBorder="1" applyAlignment="1">
      <alignment horizontal="center"/>
    </xf>
    <xf numFmtId="2" fontId="0" fillId="0" borderId="4" xfId="0" applyNumberFormat="1" applyBorder="1" applyAlignment="1">
      <alignment horizontal="right"/>
    </xf>
    <xf numFmtId="0" fontId="1" fillId="0" borderId="0" xfId="0" applyFont="1" applyAlignment="1">
      <alignment horizontal="center" wrapText="1"/>
    </xf>
    <xf numFmtId="164" fontId="0" fillId="0" borderId="0" xfId="0" applyNumberFormat="1"/>
    <xf numFmtId="0" fontId="5" fillId="0" borderId="0" xfId="0" applyFont="1"/>
    <xf numFmtId="1" fontId="0" fillId="2" borderId="3" xfId="0" applyNumberFormat="1" applyFill="1" applyBorder="1"/>
    <xf numFmtId="1" fontId="0" fillId="2" borderId="4" xfId="0" applyNumberFormat="1" applyFill="1" applyBorder="1"/>
    <xf numFmtId="2" fontId="0" fillId="2" borderId="3" xfId="0" quotePrefix="1" applyNumberFormat="1" applyFill="1" applyBorder="1" applyAlignment="1">
      <alignment horizontal="center"/>
    </xf>
    <xf numFmtId="2" fontId="0" fillId="2" borderId="4" xfId="0" applyNumberFormat="1" applyFill="1" applyBorder="1"/>
    <xf numFmtId="2" fontId="0" fillId="0" borderId="9" xfId="0" applyNumberFormat="1" applyBorder="1"/>
    <xf numFmtId="1" fontId="0" fillId="2" borderId="3" xfId="0" quotePrefix="1" applyNumberFormat="1" applyFill="1" applyBorder="1" applyAlignment="1">
      <alignment horizontal="right"/>
    </xf>
    <xf numFmtId="0" fontId="0" fillId="0" borderId="0" xfId="0" quotePrefix="1"/>
    <xf numFmtId="0" fontId="2" fillId="0" borderId="0" xfId="0" applyFont="1"/>
    <xf numFmtId="2" fontId="0" fillId="2" borderId="4" xfId="0" quotePrefix="1" applyNumberFormat="1" applyFill="1" applyBorder="1" applyAlignment="1">
      <alignment horizontal="center"/>
    </xf>
    <xf numFmtId="1" fontId="0" fillId="0" borderId="3" xfId="0" quotePrefix="1" applyNumberFormat="1" applyBorder="1" applyAlignment="1">
      <alignment horizontal="right"/>
    </xf>
    <xf numFmtId="2" fontId="0" fillId="0" borderId="9" xfId="0" quotePrefix="1" applyNumberFormat="1" applyBorder="1" applyAlignment="1">
      <alignment horizontal="center"/>
    </xf>
    <xf numFmtId="1" fontId="0" fillId="2" borderId="3" xfId="0" quotePrefix="1" applyNumberFormat="1" applyFill="1" applyBorder="1" applyAlignment="1">
      <alignment horizontal="center"/>
    </xf>
    <xf numFmtId="1" fontId="0" fillId="2" borderId="4" xfId="0" quotePrefix="1" applyNumberFormat="1" applyFill="1" applyBorder="1" applyAlignment="1">
      <alignment horizontal="center"/>
    </xf>
    <xf numFmtId="0" fontId="0" fillId="0" borderId="0" xfId="0" applyAlignment="1">
      <alignment horizontal="left" vertical="top" wrapText="1"/>
    </xf>
    <xf numFmtId="1" fontId="0" fillId="0" borderId="4" xfId="0" quotePrefix="1" applyNumberFormat="1" applyBorder="1" applyAlignment="1">
      <alignment horizontal="center"/>
    </xf>
    <xf numFmtId="0" fontId="7" fillId="0" borderId="0" xfId="0" applyFont="1"/>
    <xf numFmtId="1" fontId="7" fillId="0" borderId="3" xfId="0" applyNumberFormat="1" applyFont="1" applyBorder="1"/>
    <xf numFmtId="2" fontId="7" fillId="0" borderId="3" xfId="0" applyNumberFormat="1" applyFont="1" applyBorder="1"/>
    <xf numFmtId="0" fontId="0" fillId="0" borderId="0" xfId="0" applyAlignment="1">
      <alignment horizontal="center"/>
    </xf>
    <xf numFmtId="0" fontId="0" fillId="0" borderId="8" xfId="0" applyBorder="1" applyAlignment="1">
      <alignment horizontal="center"/>
    </xf>
    <xf numFmtId="1" fontId="8" fillId="0" borderId="3" xfId="0" applyNumberFormat="1" applyFont="1" applyBorder="1"/>
    <xf numFmtId="0" fontId="0" fillId="0" borderId="20" xfId="0" applyBorder="1"/>
    <xf numFmtId="0" fontId="0" fillId="0" borderId="21" xfId="0" applyBorder="1"/>
    <xf numFmtId="0" fontId="1" fillId="0" borderId="21" xfId="0" applyFont="1" applyBorder="1" applyAlignment="1">
      <alignment horizontal="center"/>
    </xf>
    <xf numFmtId="0" fontId="0" fillId="0" borderId="10" xfId="0" applyBorder="1" applyAlignment="1">
      <alignment horizontal="right"/>
    </xf>
    <xf numFmtId="1" fontId="2" fillId="0" borderId="4" xfId="0" applyNumberFormat="1" applyFont="1" applyBorder="1"/>
    <xf numFmtId="0" fontId="0" fillId="0" borderId="8" xfId="0" applyBorder="1" applyAlignment="1">
      <alignment horizontal="left"/>
    </xf>
    <xf numFmtId="1" fontId="0" fillId="0" borderId="11" xfId="0" applyNumberFormat="1" applyBorder="1"/>
    <xf numFmtId="1" fontId="0" fillId="0" borderId="0" xfId="0" quotePrefix="1" applyNumberFormat="1" applyAlignment="1">
      <alignment horizontal="right"/>
    </xf>
    <xf numFmtId="2" fontId="0" fillId="0" borderId="0" xfId="0" quotePrefix="1" applyNumberFormat="1" applyAlignment="1">
      <alignment horizontal="center"/>
    </xf>
    <xf numFmtId="0" fontId="0" fillId="0" borderId="8" xfId="0" applyBorder="1" applyAlignment="1">
      <alignment wrapText="1"/>
    </xf>
    <xf numFmtId="0" fontId="0" fillId="0" borderId="0" xfId="0" applyAlignment="1">
      <alignment wrapText="1"/>
    </xf>
    <xf numFmtId="2" fontId="0" fillId="0" borderId="0" xfId="0" quotePrefix="1" applyNumberFormat="1" applyAlignment="1">
      <alignment horizontal="right"/>
    </xf>
    <xf numFmtId="1" fontId="0" fillId="0" borderId="0" xfId="0" quotePrefix="1" applyNumberFormat="1" applyAlignment="1">
      <alignment horizontal="right" indent="1"/>
    </xf>
    <xf numFmtId="1" fontId="0" fillId="0" borderId="0" xfId="0" applyNumberFormat="1" applyAlignment="1">
      <alignment wrapText="1"/>
    </xf>
    <xf numFmtId="165" fontId="0" fillId="0" borderId="0" xfId="0" applyNumberFormat="1"/>
    <xf numFmtId="2" fontId="2" fillId="0" borderId="0" xfId="0" applyNumberFormat="1" applyFont="1"/>
    <xf numFmtId="44" fontId="0" fillId="0" borderId="0" xfId="1" applyFont="1" applyBorder="1"/>
    <xf numFmtId="0" fontId="0" fillId="0" borderId="11" xfId="0" applyBorder="1" applyAlignment="1">
      <alignment horizontal="right"/>
    </xf>
    <xf numFmtId="1" fontId="2" fillId="0" borderId="11" xfId="0" applyNumberFormat="1" applyFont="1" applyBorder="1"/>
    <xf numFmtId="2" fontId="1" fillId="0" borderId="0" xfId="0" applyNumberFormat="1" applyFont="1"/>
    <xf numFmtId="1" fontId="8" fillId="0" borderId="0" xfId="0" applyNumberFormat="1" applyFont="1"/>
    <xf numFmtId="0" fontId="0" fillId="0" borderId="3" xfId="0" applyBorder="1" applyAlignment="1">
      <alignment horizontal="center"/>
    </xf>
    <xf numFmtId="0" fontId="0" fillId="0" borderId="4" xfId="0" applyBorder="1" applyAlignment="1">
      <alignment horizontal="center"/>
    </xf>
    <xf numFmtId="2" fontId="0" fillId="0" borderId="1" xfId="0" quotePrefix="1" applyNumberFormat="1" applyBorder="1" applyAlignment="1">
      <alignment horizontal="center"/>
    </xf>
    <xf numFmtId="2" fontId="0" fillId="0" borderId="2" xfId="0" quotePrefix="1" applyNumberFormat="1" applyBorder="1" applyAlignment="1">
      <alignment horizontal="center"/>
    </xf>
    <xf numFmtId="0" fontId="1" fillId="0" borderId="8" xfId="0" applyFont="1" applyBorder="1" applyAlignment="1">
      <alignment horizontal="center"/>
    </xf>
    <xf numFmtId="1" fontId="0" fillId="0" borderId="3" xfId="0" quotePrefix="1" applyNumberFormat="1" applyBorder="1" applyAlignment="1">
      <alignment horizontal="center"/>
    </xf>
    <xf numFmtId="0" fontId="0" fillId="0" borderId="9" xfId="0" applyBorder="1" applyAlignment="1">
      <alignment horizontal="center"/>
    </xf>
    <xf numFmtId="0" fontId="1" fillId="3" borderId="5" xfId="0" applyFont="1" applyFill="1" applyBorder="1" applyAlignment="1">
      <alignment horizontal="center"/>
    </xf>
    <xf numFmtId="2" fontId="0" fillId="0" borderId="22" xfId="0" quotePrefix="1" applyNumberFormat="1" applyBorder="1" applyAlignment="1">
      <alignment horizontal="center"/>
    </xf>
    <xf numFmtId="2" fontId="0" fillId="0" borderId="6" xfId="0" quotePrefix="1" applyNumberFormat="1" applyBorder="1" applyAlignment="1">
      <alignment horizontal="center"/>
    </xf>
    <xf numFmtId="2" fontId="0" fillId="0" borderId="23" xfId="0" quotePrefix="1" applyNumberFormat="1" applyBorder="1" applyAlignment="1">
      <alignment horizontal="center"/>
    </xf>
    <xf numFmtId="2" fontId="0" fillId="0" borderId="7" xfId="0" quotePrefix="1" applyNumberFormat="1" applyBorder="1" applyAlignment="1">
      <alignment horizontal="center"/>
    </xf>
    <xf numFmtId="0" fontId="1" fillId="0" borderId="10" xfId="0" applyFont="1" applyBorder="1"/>
    <xf numFmtId="1" fontId="0" fillId="0" borderId="19" xfId="0" quotePrefix="1" applyNumberFormat="1" applyBorder="1" applyAlignment="1">
      <alignment horizontal="right"/>
    </xf>
    <xf numFmtId="1" fontId="2" fillId="0" borderId="11" xfId="0" quotePrefix="1" applyNumberFormat="1" applyFont="1" applyBorder="1" applyAlignment="1">
      <alignment horizontal="right"/>
    </xf>
    <xf numFmtId="2" fontId="0" fillId="0" borderId="19" xfId="0" quotePrefix="1" applyNumberFormat="1" applyBorder="1" applyAlignment="1">
      <alignment horizontal="center"/>
    </xf>
    <xf numFmtId="1" fontId="0" fillId="0" borderId="18" xfId="0" quotePrefix="1" applyNumberFormat="1" applyBorder="1" applyAlignment="1">
      <alignment horizontal="center"/>
    </xf>
    <xf numFmtId="1" fontId="0" fillId="0" borderId="19" xfId="0" applyNumberFormat="1" applyBorder="1"/>
    <xf numFmtId="1" fontId="0" fillId="0" borderId="18" xfId="0" applyNumberFormat="1" applyBorder="1"/>
    <xf numFmtId="1" fontId="0" fillId="0" borderId="12" xfId="0" applyNumberFormat="1" applyBorder="1"/>
    <xf numFmtId="166" fontId="0" fillId="0" borderId="11" xfId="0" applyNumberFormat="1" applyBorder="1"/>
    <xf numFmtId="0" fontId="0" fillId="2" borderId="3" xfId="0" applyFill="1" applyBorder="1" applyAlignment="1">
      <alignment horizontal="center"/>
    </xf>
    <xf numFmtId="0" fontId="0" fillId="2" borderId="0" xfId="0" applyFill="1" applyAlignment="1">
      <alignment horizontal="center"/>
    </xf>
    <xf numFmtId="0" fontId="0" fillId="2" borderId="4" xfId="0" applyFill="1" applyBorder="1" applyAlignment="1">
      <alignment horizontal="center"/>
    </xf>
    <xf numFmtId="2" fontId="0" fillId="2" borderId="6" xfId="0" quotePrefix="1" applyNumberFormat="1" applyFill="1" applyBorder="1" applyAlignment="1">
      <alignment horizontal="center"/>
    </xf>
    <xf numFmtId="2" fontId="0" fillId="2" borderId="22" xfId="0" quotePrefix="1" applyNumberFormat="1" applyFill="1" applyBorder="1" applyAlignment="1">
      <alignment horizontal="center"/>
    </xf>
    <xf numFmtId="2" fontId="0" fillId="2" borderId="23" xfId="0" quotePrefix="1" applyNumberFormat="1" applyFill="1" applyBorder="1" applyAlignment="1">
      <alignment horizontal="center"/>
    </xf>
    <xf numFmtId="1" fontId="7" fillId="2" borderId="3" xfId="0" applyNumberFormat="1" applyFont="1" applyFill="1" applyBorder="1"/>
    <xf numFmtId="1" fontId="8" fillId="2" borderId="3" xfId="0" applyNumberFormat="1" applyFont="1" applyFill="1" applyBorder="1"/>
    <xf numFmtId="1" fontId="0" fillId="2" borderId="11" xfId="0" applyNumberFormat="1" applyFill="1" applyBorder="1"/>
    <xf numFmtId="1" fontId="0" fillId="2" borderId="19" xfId="0" applyNumberFormat="1" applyFill="1" applyBorder="1"/>
    <xf numFmtId="1" fontId="0" fillId="2" borderId="18" xfId="0" applyNumberFormat="1" applyFill="1" applyBorder="1"/>
    <xf numFmtId="1" fontId="0" fillId="0" borderId="4" xfId="0" applyNumberFormat="1" applyBorder="1" applyAlignment="1">
      <alignment horizontal="right"/>
    </xf>
    <xf numFmtId="1" fontId="0" fillId="2" borderId="4" xfId="0" quotePrefix="1" applyNumberFormat="1" applyFill="1" applyBorder="1" applyAlignment="1">
      <alignment horizontal="right"/>
    </xf>
    <xf numFmtId="0" fontId="0" fillId="0" borderId="0" xfId="0" applyAlignment="1">
      <alignment vertical="top" wrapText="1"/>
    </xf>
    <xf numFmtId="1" fontId="0" fillId="0" borderId="3" xfId="0" quotePrefix="1" applyNumberFormat="1" applyBorder="1" applyAlignment="1">
      <alignment vertical="top"/>
    </xf>
    <xf numFmtId="1" fontId="7" fillId="0" borderId="0" xfId="0" applyNumberFormat="1" applyFont="1"/>
    <xf numFmtId="1" fontId="0" fillId="2" borderId="0" xfId="0" applyNumberFormat="1" applyFill="1"/>
    <xf numFmtId="1" fontId="2" fillId="0" borderId="0" xfId="0" applyNumberFormat="1" applyFont="1"/>
    <xf numFmtId="2" fontId="0" fillId="0" borderId="0" xfId="0" applyNumberFormat="1" applyAlignment="1">
      <alignment horizontal="right"/>
    </xf>
    <xf numFmtId="2" fontId="0" fillId="2" borderId="0" xfId="0" applyNumberFormat="1" applyFill="1"/>
    <xf numFmtId="2" fontId="0" fillId="2" borderId="0" xfId="0" quotePrefix="1" applyNumberFormat="1" applyFill="1" applyAlignment="1">
      <alignment horizontal="center"/>
    </xf>
    <xf numFmtId="1" fontId="0" fillId="0" borderId="0" xfId="0" quotePrefix="1" applyNumberFormat="1" applyAlignment="1">
      <alignment horizontal="center"/>
    </xf>
    <xf numFmtId="1" fontId="0" fillId="2" borderId="0" xfId="0" quotePrefix="1" applyNumberFormat="1" applyFill="1" applyAlignment="1">
      <alignment horizontal="center"/>
    </xf>
    <xf numFmtId="1" fontId="0" fillId="2" borderId="0" xfId="0" quotePrefix="1" applyNumberFormat="1" applyFill="1" applyAlignment="1">
      <alignment horizontal="right"/>
    </xf>
    <xf numFmtId="2" fontId="0" fillId="0" borderId="18" xfId="0" quotePrefix="1" applyNumberFormat="1" applyBorder="1" applyAlignment="1">
      <alignment horizontal="center"/>
    </xf>
    <xf numFmtId="2" fontId="7" fillId="0" borderId="0" xfId="0" applyNumberFormat="1" applyFont="1"/>
    <xf numFmtId="2" fontId="0" fillId="2" borderId="1" xfId="0" quotePrefix="1" applyNumberFormat="1" applyFill="1" applyBorder="1" applyAlignment="1">
      <alignment horizontal="center"/>
    </xf>
    <xf numFmtId="2" fontId="0" fillId="2" borderId="2" xfId="0" quotePrefix="1" applyNumberFormat="1" applyFill="1" applyBorder="1" applyAlignment="1">
      <alignment horizontal="center"/>
    </xf>
    <xf numFmtId="1" fontId="7" fillId="2" borderId="0" xfId="0" applyNumberFormat="1" applyFont="1" applyFill="1"/>
    <xf numFmtId="9" fontId="0" fillId="0" borderId="0" xfId="2" applyFont="1"/>
    <xf numFmtId="1" fontId="0" fillId="0" borderId="0" xfId="0" quotePrefix="1" applyNumberFormat="1"/>
    <xf numFmtId="0" fontId="8" fillId="0" borderId="0" xfId="0" applyFont="1"/>
    <xf numFmtId="0" fontId="8" fillId="4" borderId="0" xfId="0" applyFont="1" applyFill="1"/>
    <xf numFmtId="0" fontId="8" fillId="0" borderId="9" xfId="0" applyFont="1" applyBorder="1"/>
    <xf numFmtId="0" fontId="9" fillId="0" borderId="9" xfId="0" applyFont="1" applyBorder="1"/>
    <xf numFmtId="1" fontId="0" fillId="2" borderId="1" xfId="0" applyNumberFormat="1" applyFill="1" applyBorder="1"/>
    <xf numFmtId="1" fontId="0" fillId="2" borderId="2" xfId="0" applyNumberFormat="1" applyFill="1" applyBorder="1"/>
    <xf numFmtId="1" fontId="8" fillId="2" borderId="0" xfId="0" applyNumberFormat="1" applyFont="1" applyFill="1"/>
    <xf numFmtId="1" fontId="0" fillId="2" borderId="24" xfId="0" applyNumberFormat="1" applyFill="1" applyBorder="1"/>
    <xf numFmtId="0" fontId="0" fillId="0" borderId="5" xfId="0" applyBorder="1"/>
    <xf numFmtId="1" fontId="0" fillId="0" borderId="22" xfId="0" applyNumberFormat="1" applyBorder="1"/>
    <xf numFmtId="1" fontId="0" fillId="0" borderId="23" xfId="0" applyNumberFormat="1" applyBorder="1"/>
    <xf numFmtId="1" fontId="7" fillId="0" borderId="6" xfId="0" applyNumberFormat="1" applyFont="1" applyBorder="1"/>
    <xf numFmtId="1" fontId="0" fillId="0" borderId="6" xfId="0" applyNumberFormat="1" applyBorder="1"/>
    <xf numFmtId="1" fontId="7" fillId="0" borderId="22" xfId="0" applyNumberFormat="1" applyFont="1" applyBorder="1"/>
    <xf numFmtId="1" fontId="7" fillId="2" borderId="22" xfId="0" applyNumberFormat="1" applyFont="1" applyFill="1" applyBorder="1"/>
    <xf numFmtId="1" fontId="0" fillId="2" borderId="6" xfId="0" applyNumberFormat="1" applyFill="1" applyBorder="1"/>
    <xf numFmtId="1" fontId="0" fillId="2" borderId="23" xfId="0" applyNumberFormat="1" applyFill="1" applyBorder="1"/>
    <xf numFmtId="1" fontId="0" fillId="2" borderId="22" xfId="0" applyNumberFormat="1" applyFill="1" applyBorder="1"/>
    <xf numFmtId="2" fontId="7" fillId="0" borderId="6" xfId="0" applyNumberFormat="1" applyFont="1" applyBorder="1"/>
    <xf numFmtId="1" fontId="0" fillId="0" borderId="7" xfId="0" applyNumberFormat="1" applyBorder="1"/>
    <xf numFmtId="1" fontId="2" fillId="0" borderId="18" xfId="0" quotePrefix="1" applyNumberFormat="1" applyFont="1" applyBorder="1" applyAlignment="1">
      <alignment horizontal="right"/>
    </xf>
    <xf numFmtId="0" fontId="1" fillId="3" borderId="22" xfId="0" applyFont="1" applyFill="1" applyBorder="1" applyAlignment="1">
      <alignment horizontal="center"/>
    </xf>
    <xf numFmtId="0" fontId="1" fillId="3" borderId="23" xfId="0" applyFont="1" applyFill="1" applyBorder="1" applyAlignment="1">
      <alignment horizontal="center"/>
    </xf>
    <xf numFmtId="0" fontId="1" fillId="3" borderId="6" xfId="0" applyFont="1" applyFill="1" applyBorder="1" applyAlignment="1">
      <alignment horizontal="center"/>
    </xf>
    <xf numFmtId="0" fontId="1" fillId="2" borderId="6"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1" fillId="3" borderId="7" xfId="0" applyFont="1" applyFill="1" applyBorder="1" applyAlignment="1">
      <alignment horizontal="center"/>
    </xf>
    <xf numFmtId="1" fontId="8" fillId="2" borderId="3" xfId="0" quotePrefix="1" applyNumberFormat="1" applyFont="1" applyFill="1" applyBorder="1" applyAlignment="1">
      <alignment horizontal="right"/>
    </xf>
    <xf numFmtId="1" fontId="8" fillId="2" borderId="0" xfId="0" quotePrefix="1" applyNumberFormat="1" applyFont="1" applyFill="1" applyAlignment="1">
      <alignment horizontal="right"/>
    </xf>
    <xf numFmtId="1" fontId="8" fillId="2" borderId="4" xfId="0" quotePrefix="1" applyNumberFormat="1" applyFont="1" applyFill="1" applyBorder="1" applyAlignment="1">
      <alignment horizontal="right"/>
    </xf>
    <xf numFmtId="0" fontId="0" fillId="2" borderId="8" xfId="0" applyFill="1" applyBorder="1"/>
    <xf numFmtId="1" fontId="0" fillId="0" borderId="4" xfId="0" quotePrefix="1" applyNumberFormat="1" applyBorder="1" applyAlignment="1">
      <alignment horizontal="right"/>
    </xf>
    <xf numFmtId="1" fontId="0" fillId="0" borderId="3" xfId="0" quotePrefix="1" applyNumberFormat="1" applyBorder="1" applyAlignment="1">
      <alignment horizontal="center" vertical="top"/>
    </xf>
    <xf numFmtId="0" fontId="0" fillId="0" borderId="0" xfId="0" applyAlignment="1">
      <alignment horizontal="left" vertical="top" wrapText="1"/>
    </xf>
    <xf numFmtId="0" fontId="0" fillId="0" borderId="0" xfId="0" applyAlignment="1">
      <alignment horizontal="left" wrapText="1"/>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1" fillId="2" borderId="1" xfId="0" applyFont="1" applyFill="1" applyBorder="1" applyAlignment="1">
      <alignment horizontal="center"/>
    </xf>
    <xf numFmtId="0" fontId="1" fillId="2" borderId="13" xfId="0" applyFont="1" applyFill="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2" borderId="3" xfId="0" applyFont="1" applyFill="1" applyBorder="1" applyAlignment="1">
      <alignment horizontal="center"/>
    </xf>
    <xf numFmtId="0" fontId="1" fillId="2" borderId="0" xfId="0" applyFont="1" applyFill="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13"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14" xfId="0" applyFont="1" applyBorder="1" applyAlignment="1">
      <alignment horizontal="center" wrapText="1"/>
    </xf>
    <xf numFmtId="0" fontId="1" fillId="2" borderId="2" xfId="0" applyFont="1" applyFill="1" applyBorder="1" applyAlignment="1">
      <alignment horizontal="center"/>
    </xf>
    <xf numFmtId="0" fontId="1" fillId="2" borderId="4" xfId="0" applyFont="1" applyFill="1" applyBorder="1" applyAlignment="1">
      <alignment horizontal="center"/>
    </xf>
    <xf numFmtId="0" fontId="1" fillId="0" borderId="9" xfId="0" applyFont="1" applyBorder="1" applyAlignment="1">
      <alignment horizontal="center"/>
    </xf>
    <xf numFmtId="0" fontId="3" fillId="3" borderId="8" xfId="0" applyFont="1" applyFill="1" applyBorder="1" applyAlignment="1">
      <alignment horizontal="center" wrapText="1"/>
    </xf>
    <xf numFmtId="0" fontId="3" fillId="3" borderId="0" xfId="0" applyFont="1" applyFill="1" applyAlignment="1">
      <alignment horizontal="center" wrapText="1"/>
    </xf>
    <xf numFmtId="0" fontId="3" fillId="3" borderId="9" xfId="0" applyFont="1" applyFill="1" applyBorder="1" applyAlignment="1">
      <alignment horizontal="center" wrapText="1"/>
    </xf>
    <xf numFmtId="0" fontId="3" fillId="3" borderId="5" xfId="0" applyFont="1" applyFill="1" applyBorder="1" applyAlignment="1">
      <alignment horizontal="center" wrapText="1"/>
    </xf>
    <xf numFmtId="0" fontId="3" fillId="3" borderId="6" xfId="0" applyFont="1" applyFill="1" applyBorder="1" applyAlignment="1">
      <alignment horizontal="center" wrapText="1"/>
    </xf>
    <xf numFmtId="0" fontId="3" fillId="3" borderId="7" xfId="0" applyFont="1" applyFill="1" applyBorder="1" applyAlignment="1">
      <alignment horizontal="center" wrapText="1"/>
    </xf>
    <xf numFmtId="0" fontId="0" fillId="0" borderId="0" xfId="0" applyBorder="1"/>
    <xf numFmtId="2" fontId="0" fillId="0" borderId="0" xfId="0" quotePrefix="1" applyNumberFormat="1" applyBorder="1" applyAlignment="1">
      <alignment horizontal="center"/>
    </xf>
    <xf numFmtId="0" fontId="9" fillId="0" borderId="0" xfId="0" applyFont="1" applyBorder="1"/>
    <xf numFmtId="0" fontId="9" fillId="4" borderId="0" xfId="0" applyFont="1" applyFill="1" applyBorder="1"/>
    <xf numFmtId="164" fontId="0" fillId="0" borderId="0" xfId="0" applyNumberFormat="1" applyBorder="1"/>
    <xf numFmtId="1" fontId="0" fillId="0" borderId="0" xfId="0" applyNumberFormat="1" applyBorder="1"/>
    <xf numFmtId="0" fontId="0" fillId="0" borderId="0" xfId="0" applyBorder="1" applyAlignment="1">
      <alignment wrapText="1"/>
    </xf>
    <xf numFmtId="1" fontId="0" fillId="0" borderId="0" xfId="0" quotePrefix="1" applyNumberFormat="1" applyBorder="1" applyAlignment="1">
      <alignment horizontal="right"/>
    </xf>
    <xf numFmtId="2" fontId="0" fillId="0" borderId="0" xfId="0" quotePrefix="1" applyNumberFormat="1" applyBorder="1" applyAlignment="1">
      <alignment horizontal="right"/>
    </xf>
    <xf numFmtId="1" fontId="0" fillId="0" borderId="0" xfId="0" quotePrefix="1" applyNumberFormat="1" applyBorder="1" applyAlignment="1">
      <alignment horizontal="right" indent="1"/>
    </xf>
    <xf numFmtId="2" fontId="1" fillId="0" borderId="0" xfId="0" applyNumberFormat="1" applyFont="1" applyBorder="1"/>
    <xf numFmtId="2" fontId="0" fillId="0" borderId="0" xfId="0" applyNumberFormat="1" applyBorder="1" applyAlignment="1">
      <alignment wrapText="1"/>
    </xf>
    <xf numFmtId="1" fontId="0" fillId="0" borderId="0" xfId="0" applyNumberFormat="1" applyBorder="1" applyAlignment="1">
      <alignment wrapText="1"/>
    </xf>
    <xf numFmtId="165" fontId="0" fillId="0" borderId="0" xfId="0" applyNumberFormat="1" applyBorder="1"/>
    <xf numFmtId="2" fontId="0" fillId="0" borderId="0" xfId="0" quotePrefix="1" applyNumberFormat="1" applyBorder="1"/>
    <xf numFmtId="2" fontId="2" fillId="0" borderId="0" xfId="0" applyNumberFormat="1" applyFont="1" applyBorder="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C0FD8-B2A2-45AB-A6E7-2D43C2FB7FF0}">
  <dimension ref="B2:AC36"/>
  <sheetViews>
    <sheetView topLeftCell="A4" workbookViewId="0">
      <selection activeCell="B24" sqref="B24:Y24"/>
    </sheetView>
  </sheetViews>
  <sheetFormatPr defaultRowHeight="15" x14ac:dyDescent="0.25"/>
  <sheetData>
    <row r="2" spans="2:28" x14ac:dyDescent="0.25">
      <c r="B2" t="s">
        <v>63</v>
      </c>
    </row>
    <row r="3" spans="2:28" x14ac:dyDescent="0.25">
      <c r="B3" t="s">
        <v>64</v>
      </c>
    </row>
    <row r="4" spans="2:28" x14ac:dyDescent="0.25">
      <c r="B4" t="s">
        <v>84</v>
      </c>
    </row>
    <row r="5" spans="2:28" x14ac:dyDescent="0.25">
      <c r="B5" t="s">
        <v>65</v>
      </c>
    </row>
    <row r="6" spans="2:28" x14ac:dyDescent="0.25">
      <c r="B6" t="s">
        <v>66</v>
      </c>
    </row>
    <row r="7" spans="2:28" x14ac:dyDescent="0.25">
      <c r="B7" t="s">
        <v>76</v>
      </c>
    </row>
    <row r="9" spans="2:28" x14ac:dyDescent="0.25">
      <c r="B9" t="s">
        <v>67</v>
      </c>
    </row>
    <row r="10" spans="2:28" x14ac:dyDescent="0.25">
      <c r="B10" t="s">
        <v>68</v>
      </c>
    </row>
    <row r="11" spans="2:28" x14ac:dyDescent="0.25">
      <c r="B11" t="s">
        <v>27</v>
      </c>
    </row>
    <row r="12" spans="2:28" x14ac:dyDescent="0.25">
      <c r="B12" t="s">
        <v>28</v>
      </c>
    </row>
    <row r="14" spans="2:28" x14ac:dyDescent="0.25">
      <c r="B14" s="147" t="s">
        <v>69</v>
      </c>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row>
    <row r="15" spans="2:28" x14ac:dyDescent="0.25">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row>
    <row r="16" spans="2:28" ht="32.25" customHeight="1" x14ac:dyDescent="0.25">
      <c r="B16" s="146" t="s">
        <v>70</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row>
    <row r="17" spans="2:29" ht="27.75" customHeight="1" x14ac:dyDescent="0.25">
      <c r="B17" s="146" t="s">
        <v>81</v>
      </c>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2:29" ht="16.5" customHeight="1" x14ac:dyDescent="0.25">
      <c r="B18" s="31"/>
      <c r="C18" s="31"/>
      <c r="D18" s="31"/>
      <c r="E18" s="31"/>
      <c r="F18" s="31"/>
      <c r="G18" s="31"/>
      <c r="H18" s="31"/>
      <c r="I18" s="31"/>
      <c r="J18" s="31"/>
      <c r="K18" s="31"/>
      <c r="L18" s="31"/>
      <c r="M18" s="31"/>
      <c r="N18" s="31"/>
      <c r="O18" s="31"/>
      <c r="P18" s="31"/>
      <c r="Q18" s="31"/>
      <c r="R18" s="31"/>
      <c r="S18" s="31"/>
      <c r="T18" s="31"/>
      <c r="U18" s="31"/>
      <c r="V18" s="31"/>
      <c r="W18" s="31"/>
      <c r="X18" s="31"/>
      <c r="Y18" s="31"/>
    </row>
    <row r="19" spans="2:29" x14ac:dyDescent="0.25">
      <c r="B19" t="s">
        <v>72</v>
      </c>
    </row>
    <row r="20" spans="2:29" ht="15" customHeight="1" x14ac:dyDescent="0.25">
      <c r="B20" s="146" t="s">
        <v>71</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row>
    <row r="21" spans="2:29" x14ac:dyDescent="0.25">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row>
    <row r="22" spans="2:29" ht="22.5" customHeight="1" x14ac:dyDescent="0.25">
      <c r="B22" s="146" t="s">
        <v>73</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31"/>
    </row>
    <row r="24" spans="2:29" ht="15" customHeight="1" x14ac:dyDescent="0.25">
      <c r="B24" s="146" t="s">
        <v>82</v>
      </c>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94"/>
      <c r="AA24" s="94"/>
    </row>
    <row r="25" spans="2:29" ht="11.25" customHeight="1" x14ac:dyDescent="0.25">
      <c r="B25" s="146" t="s">
        <v>77</v>
      </c>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94"/>
    </row>
    <row r="26" spans="2:29" ht="19.5" customHeight="1" x14ac:dyDescent="0.25">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94"/>
    </row>
    <row r="27" spans="2:29" ht="11.25" customHeight="1" x14ac:dyDescent="0.25">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94"/>
    </row>
    <row r="28" spans="2:29" ht="9.75" customHeight="1" x14ac:dyDescent="0.25">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31"/>
    </row>
    <row r="29" spans="2:29" x14ac:dyDescent="0.25">
      <c r="B29" s="147" t="s">
        <v>61</v>
      </c>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row>
    <row r="30" spans="2:29" x14ac:dyDescent="0.25">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row>
    <row r="31" spans="2:29" x14ac:dyDescent="0.25">
      <c r="B31" t="s">
        <v>62</v>
      </c>
    </row>
    <row r="33" spans="2:28" x14ac:dyDescent="0.25">
      <c r="B33" s="146" t="s">
        <v>74</v>
      </c>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row>
    <row r="34" spans="2:28" x14ac:dyDescent="0.25">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row>
    <row r="36" spans="2:28" x14ac:dyDescent="0.25">
      <c r="B36" t="s">
        <v>75</v>
      </c>
    </row>
  </sheetData>
  <mergeCells count="9">
    <mergeCell ref="B33:AB34"/>
    <mergeCell ref="B17:AB17"/>
    <mergeCell ref="B29:AC30"/>
    <mergeCell ref="B25:AB28"/>
    <mergeCell ref="B14:AB15"/>
    <mergeCell ref="B16:AB16"/>
    <mergeCell ref="B20:AA21"/>
    <mergeCell ref="B22:Z22"/>
    <mergeCell ref="B24:Y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1E33C-5F6B-43E5-8226-61099F378EA7}">
  <dimension ref="A1:CA47"/>
  <sheetViews>
    <sheetView tabSelected="1" topLeftCell="BB20" zoomScaleNormal="100" zoomScalePageLayoutView="77" workbookViewId="0">
      <selection activeCell="E42" sqref="E42"/>
    </sheetView>
  </sheetViews>
  <sheetFormatPr defaultColWidth="9" defaultRowHeight="15" x14ac:dyDescent="0.25"/>
  <cols>
    <col min="1" max="1" width="37" customWidth="1"/>
    <col min="2" max="2" width="8.140625" customWidth="1"/>
    <col min="3" max="3" width="8" customWidth="1"/>
    <col min="6" max="6" width="6.85546875" customWidth="1"/>
    <col min="12" max="12" width="10.28515625" customWidth="1"/>
    <col min="21" max="21" width="41.7109375" customWidth="1"/>
    <col min="25" max="25" width="12" bestFit="1" customWidth="1"/>
    <col min="26" max="26" width="9.5703125" bestFit="1" customWidth="1"/>
    <col min="41" max="41" width="37" bestFit="1" customWidth="1"/>
    <col min="44" max="44" width="9.42578125" customWidth="1"/>
    <col min="61" max="61" width="37" bestFit="1" customWidth="1"/>
    <col min="79" max="79" width="12.140625" bestFit="1" customWidth="1"/>
  </cols>
  <sheetData>
    <row r="1" spans="1:79" ht="31.5" customHeight="1" x14ac:dyDescent="0.25">
      <c r="A1" s="15" t="s">
        <v>24</v>
      </c>
      <c r="B1" s="10" t="s">
        <v>1</v>
      </c>
      <c r="S1" s="10"/>
    </row>
    <row r="2" spans="1:79" ht="15" customHeight="1" x14ac:dyDescent="0.25">
      <c r="A2" s="36" t="s">
        <v>7</v>
      </c>
      <c r="B2">
        <v>0.45</v>
      </c>
      <c r="O2" s="25"/>
      <c r="P2" s="25"/>
      <c r="U2" s="94"/>
      <c r="V2" s="94"/>
      <c r="W2" s="94"/>
      <c r="X2" s="94"/>
      <c r="Y2" s="94"/>
      <c r="Z2" s="94"/>
      <c r="AA2" s="94"/>
      <c r="AB2" s="94"/>
      <c r="AC2" s="94"/>
      <c r="AD2" s="94"/>
      <c r="AE2" s="94"/>
      <c r="AF2" s="94"/>
      <c r="AG2" s="94"/>
      <c r="AH2" s="94"/>
      <c r="AI2" s="94"/>
      <c r="AJ2" s="94"/>
      <c r="AK2" s="94"/>
      <c r="AL2" s="94"/>
      <c r="AM2" s="94"/>
      <c r="AO2" s="94"/>
      <c r="AP2" s="94"/>
      <c r="AQ2" s="94"/>
      <c r="AR2" s="94"/>
      <c r="AS2" s="94"/>
      <c r="AT2" s="94"/>
      <c r="AU2" s="94"/>
      <c r="AV2" s="94"/>
      <c r="AW2" s="94"/>
      <c r="AX2" s="94"/>
      <c r="AY2" s="94"/>
      <c r="AZ2" s="94"/>
      <c r="BA2" s="94"/>
      <c r="BB2" s="94"/>
      <c r="BC2" s="94"/>
      <c r="BD2" s="94"/>
      <c r="BE2" s="94"/>
      <c r="BF2" s="94"/>
      <c r="BG2" s="94"/>
    </row>
    <row r="3" spans="1:79" x14ac:dyDescent="0.25">
      <c r="A3" s="36" t="s">
        <v>8</v>
      </c>
      <c r="B3">
        <v>0</v>
      </c>
      <c r="S3" s="33"/>
      <c r="U3" s="94"/>
      <c r="V3" s="94"/>
      <c r="W3" s="94"/>
      <c r="X3" s="94"/>
      <c r="Y3" s="94"/>
      <c r="Z3" s="94"/>
      <c r="AA3" s="94"/>
      <c r="AB3" s="94"/>
      <c r="AC3" s="94"/>
      <c r="AD3" s="94"/>
      <c r="AE3" s="94"/>
      <c r="AF3" s="94"/>
      <c r="AG3" s="94"/>
      <c r="AH3" s="94"/>
      <c r="AI3" s="94"/>
      <c r="AJ3" s="94"/>
      <c r="AK3" s="94"/>
      <c r="AL3" s="94"/>
      <c r="AM3" s="94"/>
      <c r="AO3" s="94"/>
      <c r="AP3" s="94"/>
      <c r="AQ3" s="94"/>
      <c r="AR3" s="94"/>
      <c r="AS3" s="94"/>
      <c r="AT3" s="94"/>
      <c r="AU3" s="94"/>
      <c r="AV3" s="94"/>
      <c r="AW3" s="94"/>
      <c r="AX3" s="94"/>
      <c r="AY3" s="94"/>
      <c r="AZ3" s="94"/>
      <c r="BA3" s="94"/>
      <c r="BB3" s="94"/>
      <c r="BC3" s="94"/>
      <c r="BD3" s="94"/>
      <c r="BE3" s="94"/>
      <c r="BF3" s="94"/>
      <c r="BG3" s="94"/>
    </row>
    <row r="4" spans="1:79" x14ac:dyDescent="0.25">
      <c r="A4" s="36" t="s">
        <v>9</v>
      </c>
      <c r="B4">
        <v>0</v>
      </c>
      <c r="S4" s="33"/>
      <c r="U4" s="94"/>
      <c r="V4" s="94"/>
      <c r="W4" s="94"/>
      <c r="X4" s="94"/>
      <c r="Y4" s="94"/>
      <c r="Z4" s="94"/>
      <c r="AA4" s="94"/>
      <c r="AB4" s="94"/>
      <c r="AC4" s="94"/>
      <c r="AD4" s="94"/>
      <c r="AE4" s="94"/>
      <c r="AF4" s="94"/>
      <c r="AG4" s="94"/>
      <c r="AH4" s="94"/>
      <c r="AI4" s="94"/>
      <c r="AJ4" s="94"/>
      <c r="AK4" s="94"/>
      <c r="AL4" s="94"/>
      <c r="AM4" s="94"/>
      <c r="AO4" s="94"/>
      <c r="AP4" s="94"/>
      <c r="AQ4" s="94"/>
      <c r="AR4" s="94"/>
      <c r="AS4" s="94"/>
      <c r="AT4" s="94"/>
      <c r="AU4" s="94"/>
      <c r="AV4" s="94"/>
      <c r="AW4" s="94"/>
      <c r="AX4" s="94"/>
      <c r="AY4" s="94"/>
      <c r="AZ4" s="94"/>
      <c r="BA4" s="94"/>
      <c r="BB4" s="94"/>
      <c r="BC4" s="94"/>
      <c r="BD4" s="94"/>
      <c r="BE4" s="94"/>
      <c r="BF4" s="94"/>
      <c r="BG4" s="94"/>
    </row>
    <row r="5" spans="1:79" x14ac:dyDescent="0.25">
      <c r="A5" s="36" t="s">
        <v>10</v>
      </c>
      <c r="B5">
        <v>1</v>
      </c>
      <c r="S5" s="33"/>
      <c r="Z5" s="24"/>
      <c r="AA5" s="24"/>
      <c r="AB5" s="24"/>
      <c r="AO5" s="94"/>
      <c r="AP5" s="94"/>
      <c r="AQ5" s="94"/>
      <c r="AR5" s="94"/>
      <c r="AS5" s="94"/>
      <c r="AT5" s="94"/>
      <c r="AU5" s="94"/>
      <c r="AV5" s="94"/>
      <c r="AW5" s="94"/>
      <c r="AX5" s="94"/>
      <c r="AY5" s="94"/>
      <c r="AZ5" s="94"/>
      <c r="BA5" s="94"/>
      <c r="BB5" s="94"/>
      <c r="BC5" s="94"/>
      <c r="BD5" s="94"/>
      <c r="BE5" s="94"/>
      <c r="BF5" s="94"/>
      <c r="BG5" s="94"/>
    </row>
    <row r="6" spans="1:79" x14ac:dyDescent="0.25">
      <c r="A6" s="36" t="s">
        <v>59</v>
      </c>
      <c r="B6" s="110">
        <v>0.85</v>
      </c>
      <c r="T6" s="33"/>
    </row>
    <row r="7" spans="1:79" ht="15.75" thickBot="1" x14ac:dyDescent="0.3"/>
    <row r="8" spans="1:79" ht="18.75" x14ac:dyDescent="0.3">
      <c r="A8" s="148" t="s">
        <v>0</v>
      </c>
      <c r="B8" s="149"/>
      <c r="C8" s="149"/>
      <c r="D8" s="149"/>
      <c r="E8" s="149"/>
      <c r="F8" s="149"/>
      <c r="G8" s="149"/>
      <c r="H8" s="149"/>
      <c r="I8" s="149"/>
      <c r="J8" s="149"/>
      <c r="K8" s="149"/>
      <c r="L8" s="149"/>
      <c r="M8" s="149"/>
      <c r="N8" s="149"/>
      <c r="O8" s="149"/>
      <c r="P8" s="149"/>
      <c r="Q8" s="149"/>
      <c r="R8" s="149"/>
      <c r="S8" s="150"/>
      <c r="U8" s="148" t="s">
        <v>13</v>
      </c>
      <c r="V8" s="149"/>
      <c r="W8" s="149"/>
      <c r="X8" s="149"/>
      <c r="Y8" s="149"/>
      <c r="Z8" s="149"/>
      <c r="AA8" s="149"/>
      <c r="AB8" s="149"/>
      <c r="AC8" s="149"/>
      <c r="AD8" s="149"/>
      <c r="AE8" s="149"/>
      <c r="AF8" s="149"/>
      <c r="AG8" s="149"/>
      <c r="AH8" s="149"/>
      <c r="AI8" s="149"/>
      <c r="AJ8" s="149"/>
      <c r="AK8" s="149"/>
      <c r="AL8" s="149"/>
      <c r="AM8" s="150"/>
      <c r="AO8" s="148" t="s">
        <v>21</v>
      </c>
      <c r="AP8" s="149"/>
      <c r="AQ8" s="149"/>
      <c r="AR8" s="149"/>
      <c r="AS8" s="149"/>
      <c r="AT8" s="149"/>
      <c r="AU8" s="149"/>
      <c r="AV8" s="149"/>
      <c r="AW8" s="149"/>
      <c r="AX8" s="149"/>
      <c r="AY8" s="149"/>
      <c r="AZ8" s="149"/>
      <c r="BA8" s="149"/>
      <c r="BB8" s="149"/>
      <c r="BC8" s="149"/>
      <c r="BD8" s="149"/>
      <c r="BE8" s="149"/>
      <c r="BF8" s="149"/>
      <c r="BG8" s="150"/>
      <c r="BI8" s="148" t="s">
        <v>50</v>
      </c>
      <c r="BJ8" s="149"/>
      <c r="BK8" s="149"/>
      <c r="BL8" s="149"/>
      <c r="BM8" s="149"/>
      <c r="BN8" s="149"/>
      <c r="BO8" s="149"/>
      <c r="BP8" s="149"/>
      <c r="BQ8" s="149"/>
      <c r="BR8" s="149"/>
      <c r="BS8" s="149"/>
      <c r="BT8" s="149"/>
      <c r="BU8" s="149"/>
      <c r="BV8" s="149"/>
      <c r="BW8" s="149"/>
      <c r="BX8" s="149"/>
      <c r="BY8" s="149"/>
      <c r="BZ8" s="149"/>
      <c r="CA8" s="150"/>
    </row>
    <row r="9" spans="1:79" ht="15.75" customHeight="1" x14ac:dyDescent="0.25">
      <c r="A9" s="39"/>
      <c r="B9" s="157" t="s">
        <v>33</v>
      </c>
      <c r="C9" s="158"/>
      <c r="D9" s="161" t="s">
        <v>41</v>
      </c>
      <c r="E9" s="162"/>
      <c r="F9" s="165" t="s">
        <v>15</v>
      </c>
      <c r="G9" s="165"/>
      <c r="H9" s="166" t="s">
        <v>16</v>
      </c>
      <c r="I9" s="167"/>
      <c r="J9" s="166" t="s">
        <v>17</v>
      </c>
      <c r="K9" s="167"/>
      <c r="L9" s="151" t="s">
        <v>18</v>
      </c>
      <c r="M9" s="152"/>
      <c r="N9" s="151" t="s">
        <v>14</v>
      </c>
      <c r="O9" s="169"/>
      <c r="P9" s="152" t="s">
        <v>19</v>
      </c>
      <c r="Q9" s="169"/>
      <c r="R9" s="161" t="s">
        <v>83</v>
      </c>
      <c r="S9" s="168"/>
      <c r="T9" s="15"/>
      <c r="U9" s="39"/>
      <c r="V9" s="157" t="s">
        <v>33</v>
      </c>
      <c r="W9" s="158"/>
      <c r="X9" s="161" t="s">
        <v>41</v>
      </c>
      <c r="Y9" s="162"/>
      <c r="Z9" s="165" t="s">
        <v>15</v>
      </c>
      <c r="AA9" s="165"/>
      <c r="AB9" s="166" t="s">
        <v>16</v>
      </c>
      <c r="AC9" s="167"/>
      <c r="AD9" s="166" t="s">
        <v>17</v>
      </c>
      <c r="AE9" s="167"/>
      <c r="AF9" s="151" t="s">
        <v>18</v>
      </c>
      <c r="AG9" s="152"/>
      <c r="AH9" s="151" t="s">
        <v>14</v>
      </c>
      <c r="AI9" s="169"/>
      <c r="AJ9" s="152" t="s">
        <v>19</v>
      </c>
      <c r="AK9" s="169"/>
      <c r="AL9" s="161" t="s">
        <v>83</v>
      </c>
      <c r="AM9" s="168"/>
      <c r="AO9" s="39"/>
      <c r="AP9" s="157" t="s">
        <v>33</v>
      </c>
      <c r="AQ9" s="158"/>
      <c r="AR9" s="161" t="s">
        <v>41</v>
      </c>
      <c r="AS9" s="162"/>
      <c r="AT9" s="165" t="s">
        <v>15</v>
      </c>
      <c r="AU9" s="165"/>
      <c r="AV9" s="166" t="s">
        <v>16</v>
      </c>
      <c r="AW9" s="167"/>
      <c r="AX9" s="166" t="s">
        <v>17</v>
      </c>
      <c r="AY9" s="167"/>
      <c r="AZ9" s="151" t="s">
        <v>18</v>
      </c>
      <c r="BA9" s="152"/>
      <c r="BB9" s="151" t="s">
        <v>14</v>
      </c>
      <c r="BC9" s="169"/>
      <c r="BD9" s="152" t="s">
        <v>19</v>
      </c>
      <c r="BE9" s="169"/>
      <c r="BF9" s="161" t="s">
        <v>83</v>
      </c>
      <c r="BG9" s="168"/>
      <c r="BI9" s="39"/>
      <c r="BJ9" s="157" t="s">
        <v>33</v>
      </c>
      <c r="BK9" s="158"/>
      <c r="BL9" s="161" t="s">
        <v>41</v>
      </c>
      <c r="BM9" s="162"/>
      <c r="BN9" s="165" t="s">
        <v>15</v>
      </c>
      <c r="BO9" s="165"/>
      <c r="BP9" s="166" t="s">
        <v>16</v>
      </c>
      <c r="BQ9" s="167"/>
      <c r="BR9" s="166" t="s">
        <v>17</v>
      </c>
      <c r="BS9" s="167"/>
      <c r="BT9" s="151" t="s">
        <v>18</v>
      </c>
      <c r="BU9" s="152"/>
      <c r="BV9" s="151" t="s">
        <v>14</v>
      </c>
      <c r="BW9" s="169"/>
      <c r="BX9" s="152" t="s">
        <v>19</v>
      </c>
      <c r="BY9" s="169"/>
      <c r="BZ9" s="161" t="s">
        <v>83</v>
      </c>
      <c r="CA9" s="168"/>
    </row>
    <row r="10" spans="1:79" x14ac:dyDescent="0.25">
      <c r="A10" s="40"/>
      <c r="B10" s="159"/>
      <c r="C10" s="160"/>
      <c r="D10" s="163"/>
      <c r="E10" s="164"/>
      <c r="F10" s="153" t="s">
        <v>2</v>
      </c>
      <c r="G10" s="154"/>
      <c r="H10" s="153" t="s">
        <v>2</v>
      </c>
      <c r="I10" s="154"/>
      <c r="J10" s="153" t="s">
        <v>2</v>
      </c>
      <c r="K10" s="154"/>
      <c r="L10" s="155" t="s">
        <v>2</v>
      </c>
      <c r="M10" s="156"/>
      <c r="N10" s="155" t="s">
        <v>2</v>
      </c>
      <c r="O10" s="170"/>
      <c r="P10" s="156" t="s">
        <v>2</v>
      </c>
      <c r="Q10" s="170"/>
      <c r="R10" s="153" t="s">
        <v>2</v>
      </c>
      <c r="S10" s="171"/>
      <c r="U10" s="40"/>
      <c r="V10" s="159"/>
      <c r="W10" s="160"/>
      <c r="X10" s="163"/>
      <c r="Y10" s="164"/>
      <c r="Z10" s="153" t="s">
        <v>2</v>
      </c>
      <c r="AA10" s="154"/>
      <c r="AB10" s="153" t="s">
        <v>2</v>
      </c>
      <c r="AC10" s="154"/>
      <c r="AD10" s="153" t="s">
        <v>2</v>
      </c>
      <c r="AE10" s="154"/>
      <c r="AF10" s="155" t="s">
        <v>2</v>
      </c>
      <c r="AG10" s="156"/>
      <c r="AH10" s="155" t="s">
        <v>2</v>
      </c>
      <c r="AI10" s="170"/>
      <c r="AJ10" s="156" t="s">
        <v>2</v>
      </c>
      <c r="AK10" s="170"/>
      <c r="AL10" s="153" t="s">
        <v>2</v>
      </c>
      <c r="AM10" s="171"/>
      <c r="AO10" s="40"/>
      <c r="AP10" s="159"/>
      <c r="AQ10" s="160"/>
      <c r="AR10" s="163"/>
      <c r="AS10" s="164"/>
      <c r="AT10" s="153" t="s">
        <v>2</v>
      </c>
      <c r="AU10" s="154"/>
      <c r="AV10" s="153" t="s">
        <v>2</v>
      </c>
      <c r="AW10" s="154"/>
      <c r="AX10" s="153" t="s">
        <v>2</v>
      </c>
      <c r="AY10" s="154"/>
      <c r="AZ10" s="155" t="s">
        <v>2</v>
      </c>
      <c r="BA10" s="156"/>
      <c r="BB10" s="155" t="s">
        <v>2</v>
      </c>
      <c r="BC10" s="170"/>
      <c r="BD10" s="156" t="s">
        <v>2</v>
      </c>
      <c r="BE10" s="170"/>
      <c r="BF10" s="153" t="s">
        <v>2</v>
      </c>
      <c r="BG10" s="171"/>
      <c r="BI10" s="40"/>
      <c r="BJ10" s="159"/>
      <c r="BK10" s="160"/>
      <c r="BL10" s="163"/>
      <c r="BM10" s="164"/>
      <c r="BN10" s="153" t="s">
        <v>2</v>
      </c>
      <c r="BO10" s="154"/>
      <c r="BP10" s="153" t="s">
        <v>2</v>
      </c>
      <c r="BQ10" s="154"/>
      <c r="BR10" s="153" t="s">
        <v>2</v>
      </c>
      <c r="BS10" s="154"/>
      <c r="BT10" s="155" t="s">
        <v>2</v>
      </c>
      <c r="BU10" s="156"/>
      <c r="BV10" s="155" t="s">
        <v>2</v>
      </c>
      <c r="BW10" s="170"/>
      <c r="BX10" s="156" t="s">
        <v>2</v>
      </c>
      <c r="BY10" s="170"/>
      <c r="BZ10" s="153" t="s">
        <v>2</v>
      </c>
      <c r="CA10" s="171"/>
    </row>
    <row r="11" spans="1:79" ht="15.75" thickBot="1" x14ac:dyDescent="0.3">
      <c r="A11" s="41"/>
      <c r="B11" s="36" t="s">
        <v>3</v>
      </c>
      <c r="C11" s="61" t="s">
        <v>4</v>
      </c>
      <c r="D11" s="36" t="s">
        <v>5</v>
      </c>
      <c r="E11" s="61" t="s">
        <v>4</v>
      </c>
      <c r="F11" s="36" t="s">
        <v>5</v>
      </c>
      <c r="G11" s="36" t="s">
        <v>4</v>
      </c>
      <c r="H11" s="60" t="s">
        <v>5</v>
      </c>
      <c r="I11" s="61" t="s">
        <v>4</v>
      </c>
      <c r="J11" s="60" t="s">
        <v>3</v>
      </c>
      <c r="K11" s="61" t="s">
        <v>6</v>
      </c>
      <c r="L11" s="81" t="s">
        <v>3</v>
      </c>
      <c r="M11" s="82" t="s">
        <v>6</v>
      </c>
      <c r="N11" s="81" t="s">
        <v>3</v>
      </c>
      <c r="O11" s="83" t="s">
        <v>6</v>
      </c>
      <c r="P11" s="82" t="s">
        <v>3</v>
      </c>
      <c r="Q11" s="83" t="s">
        <v>6</v>
      </c>
      <c r="R11" s="60" t="s">
        <v>3</v>
      </c>
      <c r="S11" s="66" t="s">
        <v>6</v>
      </c>
      <c r="U11" s="41"/>
      <c r="V11" s="36" t="s">
        <v>3</v>
      </c>
      <c r="W11" s="61" t="s">
        <v>4</v>
      </c>
      <c r="X11" s="36" t="s">
        <v>5</v>
      </c>
      <c r="Y11" s="61" t="s">
        <v>4</v>
      </c>
      <c r="Z11" s="36" t="s">
        <v>5</v>
      </c>
      <c r="AA11" s="36" t="s">
        <v>4</v>
      </c>
      <c r="AB11" s="60" t="s">
        <v>5</v>
      </c>
      <c r="AC11" s="61" t="s">
        <v>4</v>
      </c>
      <c r="AD11" s="60" t="s">
        <v>3</v>
      </c>
      <c r="AE11" s="61" t="s">
        <v>6</v>
      </c>
      <c r="AF11" s="81" t="s">
        <v>3</v>
      </c>
      <c r="AG11" s="82" t="s">
        <v>6</v>
      </c>
      <c r="AH11" s="81" t="s">
        <v>3</v>
      </c>
      <c r="AI11" s="83" t="s">
        <v>6</v>
      </c>
      <c r="AJ11" s="82" t="s">
        <v>3</v>
      </c>
      <c r="AK11" s="83" t="s">
        <v>6</v>
      </c>
      <c r="AL11" s="60" t="s">
        <v>3</v>
      </c>
      <c r="AM11" s="66" t="s">
        <v>6</v>
      </c>
      <c r="AO11" s="41"/>
      <c r="AP11" s="36" t="s">
        <v>3</v>
      </c>
      <c r="AQ11" s="61" t="s">
        <v>4</v>
      </c>
      <c r="AR11" s="36" t="s">
        <v>5</v>
      </c>
      <c r="AS11" s="61" t="s">
        <v>4</v>
      </c>
      <c r="AT11" s="36" t="s">
        <v>5</v>
      </c>
      <c r="AU11" s="36" t="s">
        <v>4</v>
      </c>
      <c r="AV11" s="60" t="s">
        <v>5</v>
      </c>
      <c r="AW11" s="61" t="s">
        <v>4</v>
      </c>
      <c r="AX11" s="60" t="s">
        <v>3</v>
      </c>
      <c r="AY11" s="61" t="s">
        <v>6</v>
      </c>
      <c r="AZ11" s="81" t="s">
        <v>3</v>
      </c>
      <c r="BA11" s="82" t="s">
        <v>6</v>
      </c>
      <c r="BB11" s="81" t="s">
        <v>3</v>
      </c>
      <c r="BC11" s="83" t="s">
        <v>6</v>
      </c>
      <c r="BD11" s="82" t="s">
        <v>3</v>
      </c>
      <c r="BE11" s="83" t="s">
        <v>6</v>
      </c>
      <c r="BF11" s="60" t="s">
        <v>3</v>
      </c>
      <c r="BG11" s="66" t="s">
        <v>6</v>
      </c>
      <c r="BI11" s="41"/>
      <c r="BJ11" s="36" t="s">
        <v>3</v>
      </c>
      <c r="BK11" s="61" t="s">
        <v>4</v>
      </c>
      <c r="BL11" s="36" t="s">
        <v>5</v>
      </c>
      <c r="BM11" s="61" t="s">
        <v>4</v>
      </c>
      <c r="BN11" s="36" t="s">
        <v>5</v>
      </c>
      <c r="BO11" s="36" t="s">
        <v>4</v>
      </c>
      <c r="BP11" s="60" t="s">
        <v>5</v>
      </c>
      <c r="BQ11" s="61" t="s">
        <v>4</v>
      </c>
      <c r="BR11" s="60" t="s">
        <v>3</v>
      </c>
      <c r="BS11" s="61" t="s">
        <v>6</v>
      </c>
      <c r="BT11" s="81" t="s">
        <v>3</v>
      </c>
      <c r="BU11" s="82" t="s">
        <v>6</v>
      </c>
      <c r="BV11" s="81" t="s">
        <v>3</v>
      </c>
      <c r="BW11" s="83" t="s">
        <v>6</v>
      </c>
      <c r="BX11" s="82" t="s">
        <v>3</v>
      </c>
      <c r="BY11" s="83" t="s">
        <v>6</v>
      </c>
      <c r="BZ11" s="60" t="s">
        <v>3</v>
      </c>
      <c r="CA11" s="66" t="s">
        <v>6</v>
      </c>
    </row>
    <row r="12" spans="1:79" ht="15.75" thickBot="1" x14ac:dyDescent="0.3">
      <c r="A12" s="67" t="s">
        <v>34</v>
      </c>
      <c r="B12" s="68"/>
      <c r="C12" s="69"/>
      <c r="D12" s="68"/>
      <c r="E12" s="70"/>
      <c r="F12" s="69"/>
      <c r="G12" s="69"/>
      <c r="H12" s="68"/>
      <c r="I12" s="70"/>
      <c r="J12" s="69"/>
      <c r="K12" s="69"/>
      <c r="L12" s="85"/>
      <c r="M12" s="84"/>
      <c r="N12" s="85"/>
      <c r="O12" s="86"/>
      <c r="P12" s="85"/>
      <c r="Q12" s="86"/>
      <c r="R12" s="69"/>
      <c r="S12" s="71"/>
      <c r="U12" s="67" t="s">
        <v>34</v>
      </c>
      <c r="V12" s="68" t="s">
        <v>12</v>
      </c>
      <c r="W12" s="69" t="s">
        <v>12</v>
      </c>
      <c r="X12" s="68" t="s">
        <v>12</v>
      </c>
      <c r="Y12" s="70" t="s">
        <v>12</v>
      </c>
      <c r="Z12" s="69" t="s">
        <v>12</v>
      </c>
      <c r="AA12" s="69" t="s">
        <v>12</v>
      </c>
      <c r="AB12" s="68" t="s">
        <v>12</v>
      </c>
      <c r="AC12" s="70" t="s">
        <v>12</v>
      </c>
      <c r="AD12" s="69" t="s">
        <v>12</v>
      </c>
      <c r="AE12" s="70" t="s">
        <v>12</v>
      </c>
      <c r="AF12" s="85" t="s">
        <v>12</v>
      </c>
      <c r="AG12" s="86" t="s">
        <v>12</v>
      </c>
      <c r="AH12" s="84" t="s">
        <v>12</v>
      </c>
      <c r="AI12" s="86" t="s">
        <v>12</v>
      </c>
      <c r="AJ12" s="84" t="s">
        <v>12</v>
      </c>
      <c r="AK12" s="86" t="s">
        <v>12</v>
      </c>
      <c r="AL12" s="69" t="s">
        <v>12</v>
      </c>
      <c r="AM12" s="71" t="s">
        <v>12</v>
      </c>
      <c r="AO12" s="67" t="s">
        <v>34</v>
      </c>
      <c r="AP12" s="62" t="s">
        <v>12</v>
      </c>
      <c r="AQ12" s="63" t="s">
        <v>12</v>
      </c>
      <c r="AR12" s="68" t="s">
        <v>12</v>
      </c>
      <c r="AS12" s="70" t="s">
        <v>12</v>
      </c>
      <c r="AT12" s="69" t="s">
        <v>12</v>
      </c>
      <c r="AU12" s="69" t="s">
        <v>12</v>
      </c>
      <c r="AV12" s="68" t="s">
        <v>12</v>
      </c>
      <c r="AW12" s="70" t="s">
        <v>12</v>
      </c>
      <c r="AX12" s="69" t="s">
        <v>12</v>
      </c>
      <c r="AY12" s="70" t="s">
        <v>12</v>
      </c>
      <c r="AZ12" s="84" t="s">
        <v>12</v>
      </c>
      <c r="BA12" s="84" t="s">
        <v>12</v>
      </c>
      <c r="BB12" s="85" t="s">
        <v>12</v>
      </c>
      <c r="BC12" s="86" t="s">
        <v>12</v>
      </c>
      <c r="BD12" s="107" t="s">
        <v>12</v>
      </c>
      <c r="BE12" s="108" t="s">
        <v>12</v>
      </c>
      <c r="BF12" s="69" t="s">
        <v>12</v>
      </c>
      <c r="BG12" s="71" t="s">
        <v>12</v>
      </c>
      <c r="BI12" s="67" t="s">
        <v>34</v>
      </c>
      <c r="BJ12" s="133"/>
      <c r="BK12" s="134"/>
      <c r="BL12" s="135"/>
      <c r="BM12" s="134"/>
      <c r="BN12" s="135"/>
      <c r="BO12" s="135"/>
      <c r="BP12" s="133"/>
      <c r="BQ12" s="135"/>
      <c r="BR12" s="133"/>
      <c r="BS12" s="134"/>
      <c r="BT12" s="136"/>
      <c r="BU12" s="136"/>
      <c r="BV12" s="137"/>
      <c r="BW12" s="138"/>
      <c r="BX12" s="136"/>
      <c r="BY12" s="138"/>
      <c r="BZ12" s="133"/>
      <c r="CA12" s="139"/>
    </row>
    <row r="13" spans="1:79" x14ac:dyDescent="0.25">
      <c r="A13" s="5" t="s">
        <v>35</v>
      </c>
      <c r="B13" s="1">
        <f>B22- SUM(B14:B16)</f>
        <v>3800</v>
      </c>
      <c r="C13" s="11">
        <f>B13*$B2</f>
        <v>1710</v>
      </c>
      <c r="D13" s="1">
        <f>B13-(F13+H13+J13+L13+N13+R13)</f>
        <v>700</v>
      </c>
      <c r="E13" s="3">
        <f>D13*$B2</f>
        <v>315</v>
      </c>
      <c r="F13" s="96">
        <v>200</v>
      </c>
      <c r="G13" s="11">
        <f>F13*$B2</f>
        <v>90</v>
      </c>
      <c r="H13" s="34">
        <v>600</v>
      </c>
      <c r="I13" s="3">
        <f>H13*$B2</f>
        <v>270</v>
      </c>
      <c r="J13" s="96">
        <v>0</v>
      </c>
      <c r="K13" s="11">
        <f>J13*$B2</f>
        <v>0</v>
      </c>
      <c r="L13" s="87">
        <v>0</v>
      </c>
      <c r="M13" s="97">
        <f>L13*$B2</f>
        <v>0</v>
      </c>
      <c r="N13" s="87">
        <v>600</v>
      </c>
      <c r="O13" s="19">
        <f>N13*$B2</f>
        <v>270</v>
      </c>
      <c r="P13" s="18">
        <f>L13+N13</f>
        <v>600</v>
      </c>
      <c r="Q13" s="19">
        <f>M13+O13</f>
        <v>270</v>
      </c>
      <c r="R13" s="106">
        <v>1700</v>
      </c>
      <c r="S13" s="12">
        <f>R13*$B2</f>
        <v>765</v>
      </c>
      <c r="U13" s="5" t="s">
        <v>35</v>
      </c>
      <c r="V13" s="1">
        <f>V22- SUM(V14:V16)</f>
        <v>2250</v>
      </c>
      <c r="W13" s="11">
        <f>V13*$B2</f>
        <v>1012.5</v>
      </c>
      <c r="X13" s="1">
        <f>V13-(Z13+AB13+AD13+AF13+AH13+AL13)</f>
        <v>450</v>
      </c>
      <c r="Y13" s="3">
        <f>X13*$B2</f>
        <v>202.5</v>
      </c>
      <c r="Z13" s="96">
        <v>200</v>
      </c>
      <c r="AA13" s="11">
        <f>Z13*$B2</f>
        <v>90</v>
      </c>
      <c r="AB13" s="34">
        <v>600</v>
      </c>
      <c r="AC13" s="3">
        <f>AB13*$B2</f>
        <v>270</v>
      </c>
      <c r="AD13" s="96">
        <v>0</v>
      </c>
      <c r="AE13" s="3">
        <f>AD13*$B2</f>
        <v>0</v>
      </c>
      <c r="AF13" s="87">
        <v>0</v>
      </c>
      <c r="AG13" s="19">
        <f>AF13*$B2</f>
        <v>0</v>
      </c>
      <c r="AH13" s="109">
        <v>300</v>
      </c>
      <c r="AI13" s="19">
        <f>AH13*$B2</f>
        <v>135</v>
      </c>
      <c r="AJ13" s="97">
        <f>AF13+AH13</f>
        <v>300</v>
      </c>
      <c r="AK13" s="19">
        <f>AG13+AI13</f>
        <v>135</v>
      </c>
      <c r="AL13" s="35">
        <v>700</v>
      </c>
      <c r="AM13" s="12">
        <f>AL13*$B2</f>
        <v>315</v>
      </c>
      <c r="AO13" s="120" t="s">
        <v>35</v>
      </c>
      <c r="AP13" s="121">
        <f>AP22- SUM(AP14:AP16)</f>
        <v>4502.5</v>
      </c>
      <c r="AQ13" s="122">
        <f>AP13*$B2</f>
        <v>2026.125</v>
      </c>
      <c r="AR13" s="121">
        <f>AP13-(AT13+AV13+AX13+AZ13+BB13+BF13)</f>
        <v>1802.5</v>
      </c>
      <c r="AS13" s="122">
        <f>AR13*$B2</f>
        <v>811.125</v>
      </c>
      <c r="AT13" s="123">
        <v>300</v>
      </c>
      <c r="AU13" s="124">
        <f>AT13*$B2</f>
        <v>135</v>
      </c>
      <c r="AV13" s="125">
        <v>600</v>
      </c>
      <c r="AW13" s="122">
        <f>AV13*$B2</f>
        <v>270</v>
      </c>
      <c r="AX13" s="123">
        <v>0</v>
      </c>
      <c r="AY13" s="122">
        <f>AX13*$B2</f>
        <v>0</v>
      </c>
      <c r="AZ13" s="126">
        <v>0</v>
      </c>
      <c r="BA13" s="127">
        <f>AZ13*$B2</f>
        <v>0</v>
      </c>
      <c r="BB13" s="126">
        <v>300</v>
      </c>
      <c r="BC13" s="128">
        <f>BB13*$B2</f>
        <v>135</v>
      </c>
      <c r="BD13" s="129">
        <f>AZ13+BB13</f>
        <v>300</v>
      </c>
      <c r="BE13" s="128">
        <f>BA13+BC13</f>
        <v>135</v>
      </c>
      <c r="BF13" s="130">
        <v>1500</v>
      </c>
      <c r="BG13" s="131">
        <f>BF13*$B2</f>
        <v>675</v>
      </c>
      <c r="BI13" s="5" t="s">
        <v>35</v>
      </c>
      <c r="BJ13" s="1">
        <f>AP13+V13+B13</f>
        <v>10552.5</v>
      </c>
      <c r="BK13" s="3">
        <f>BJ13*$B$2</f>
        <v>4748.625</v>
      </c>
      <c r="BL13" s="1">
        <f>BJ13-(BN13+BP13+BR13+BT13+BV13+BZ13)</f>
        <v>2952.5</v>
      </c>
      <c r="BM13" s="3">
        <f>BL13*$B$2</f>
        <v>1328.625</v>
      </c>
      <c r="BN13" s="11">
        <f>AT13+Z13+F13</f>
        <v>700</v>
      </c>
      <c r="BO13" s="3">
        <f>BN13*$B$2</f>
        <v>315</v>
      </c>
      <c r="BP13" s="11">
        <f>AV13+AB13+H13</f>
        <v>1800</v>
      </c>
      <c r="BQ13" s="11">
        <f>BP13*$B$2</f>
        <v>810</v>
      </c>
      <c r="BR13" s="1">
        <f>AX13+AD13+J13</f>
        <v>0</v>
      </c>
      <c r="BS13" s="3">
        <f>BR13*$B$2</f>
        <v>0</v>
      </c>
      <c r="BT13" s="97">
        <f>AZ13+AF13+L13</f>
        <v>0</v>
      </c>
      <c r="BU13" s="97">
        <f>BT13*$B$2</f>
        <v>0</v>
      </c>
      <c r="BV13" s="18">
        <f>BB13+AH13+N13</f>
        <v>1200</v>
      </c>
      <c r="BW13" s="19">
        <f>BV13*$B$2</f>
        <v>540</v>
      </c>
      <c r="BX13" s="116">
        <f>BD13+AJ13+P13</f>
        <v>1200</v>
      </c>
      <c r="BY13" s="117">
        <f>BU13+BW13</f>
        <v>540</v>
      </c>
      <c r="BZ13" s="11">
        <f>BF13+AL13+R13</f>
        <v>3900</v>
      </c>
      <c r="CA13" s="12">
        <f>BZ13*$B$2</f>
        <v>1755</v>
      </c>
    </row>
    <row r="14" spans="1:79" x14ac:dyDescent="0.25">
      <c r="A14" s="5" t="s">
        <v>36</v>
      </c>
      <c r="B14" s="34">
        <v>1400</v>
      </c>
      <c r="C14" s="11">
        <f>B14*$B3</f>
        <v>0</v>
      </c>
      <c r="D14" s="1">
        <f>B14-(F14+H14+J14+L14+N14+R14+P24)</f>
        <v>0</v>
      </c>
      <c r="E14" s="3">
        <f>D14*$B3</f>
        <v>0</v>
      </c>
      <c r="F14" s="96">
        <v>300</v>
      </c>
      <c r="G14" s="11">
        <f>F14*$B3</f>
        <v>0</v>
      </c>
      <c r="H14" s="34">
        <v>300</v>
      </c>
      <c r="I14" s="3">
        <f>H14*$B3</f>
        <v>0</v>
      </c>
      <c r="J14" s="96">
        <v>300</v>
      </c>
      <c r="K14" s="11">
        <f>J14*$B3</f>
        <v>0</v>
      </c>
      <c r="L14" s="87">
        <v>200</v>
      </c>
      <c r="M14" s="97">
        <f>L14*$B3</f>
        <v>0</v>
      </c>
      <c r="N14" s="87">
        <v>300</v>
      </c>
      <c r="O14" s="19">
        <f>N14*$B3</f>
        <v>0</v>
      </c>
      <c r="P14" s="18">
        <f>L14+N14</f>
        <v>500</v>
      </c>
      <c r="Q14" s="19">
        <f>M14+O14</f>
        <v>0</v>
      </c>
      <c r="R14" s="106">
        <v>0</v>
      </c>
      <c r="S14" s="12">
        <f>R14*$B3</f>
        <v>0</v>
      </c>
      <c r="U14" s="5" t="s">
        <v>36</v>
      </c>
      <c r="V14" s="34">
        <v>2700</v>
      </c>
      <c r="W14" s="11">
        <f>V14*$B3</f>
        <v>0</v>
      </c>
      <c r="X14" s="1">
        <f>V14-(Z14+AB14+AD14+AF14+AH14+AL14+AJ24)</f>
        <v>600</v>
      </c>
      <c r="Y14" s="3">
        <f>X14*$B3</f>
        <v>0</v>
      </c>
      <c r="Z14" s="96">
        <v>400</v>
      </c>
      <c r="AA14" s="11">
        <f>Z14*$B3</f>
        <v>0</v>
      </c>
      <c r="AB14" s="34">
        <v>300</v>
      </c>
      <c r="AC14" s="3">
        <f>AB14*$B3</f>
        <v>0</v>
      </c>
      <c r="AD14" s="96">
        <v>300</v>
      </c>
      <c r="AE14" s="3">
        <f>AD14*$B3</f>
        <v>0</v>
      </c>
      <c r="AF14" s="87">
        <v>500</v>
      </c>
      <c r="AG14" s="19">
        <f>AF14*$B3</f>
        <v>0</v>
      </c>
      <c r="AH14" s="109">
        <v>500</v>
      </c>
      <c r="AI14" s="19">
        <f>AH14*$B3</f>
        <v>0</v>
      </c>
      <c r="AJ14" s="97">
        <f>AF14+AH14</f>
        <v>1000</v>
      </c>
      <c r="AK14" s="19">
        <f>AG14+AI14</f>
        <v>0</v>
      </c>
      <c r="AL14" s="35">
        <v>0</v>
      </c>
      <c r="AM14" s="12">
        <f>AL14*$B3</f>
        <v>0</v>
      </c>
      <c r="AO14" s="5" t="s">
        <v>36</v>
      </c>
      <c r="AP14" s="34">
        <v>600</v>
      </c>
      <c r="AQ14" s="3">
        <f>AP14*$B3</f>
        <v>0</v>
      </c>
      <c r="AR14" s="1">
        <f>AP14-(AT14+AV14+AX14+AZ14+BB14+BF14+BD24)</f>
        <v>0</v>
      </c>
      <c r="AS14" s="3">
        <f>AR14*$B3</f>
        <v>0</v>
      </c>
      <c r="AT14" s="96">
        <v>0</v>
      </c>
      <c r="AU14" s="11">
        <f>AT14*$B3</f>
        <v>0</v>
      </c>
      <c r="AV14" s="34">
        <v>200</v>
      </c>
      <c r="AW14" s="3">
        <f>AV14*$B3</f>
        <v>0</v>
      </c>
      <c r="AX14" s="96">
        <v>150</v>
      </c>
      <c r="AY14" s="3">
        <f>AX14*$B3</f>
        <v>0</v>
      </c>
      <c r="AZ14" s="87">
        <v>100</v>
      </c>
      <c r="BA14" s="97">
        <f>AZ14*$B3</f>
        <v>0</v>
      </c>
      <c r="BB14" s="87">
        <v>150</v>
      </c>
      <c r="BC14" s="19">
        <f>BB14*$B3</f>
        <v>0</v>
      </c>
      <c r="BD14" s="18">
        <f>AZ14+BB14</f>
        <v>250</v>
      </c>
      <c r="BE14" s="19">
        <f>BA14+BC14</f>
        <v>0</v>
      </c>
      <c r="BF14" s="96">
        <v>0</v>
      </c>
      <c r="BG14" s="12">
        <f>BF14*$B3</f>
        <v>0</v>
      </c>
      <c r="BI14" s="5" t="s">
        <v>36</v>
      </c>
      <c r="BJ14" s="1">
        <f t="shared" ref="BJ14:BJ19" si="0">AP14+V14+B14</f>
        <v>4700</v>
      </c>
      <c r="BK14" s="3">
        <f>BJ14*$B3</f>
        <v>0</v>
      </c>
      <c r="BL14" s="1">
        <f>BJ14-(BN14+BP14+BR14+BT14+BV14+BZ14+BX24)</f>
        <v>700</v>
      </c>
      <c r="BM14" s="3">
        <f>BL14*$B3</f>
        <v>0</v>
      </c>
      <c r="BN14" s="11">
        <f t="shared" ref="BN14:BP16" si="1">AT14+Z14+F14</f>
        <v>700</v>
      </c>
      <c r="BO14" s="3">
        <f>BN14*$B3</f>
        <v>0</v>
      </c>
      <c r="BP14" s="11">
        <f t="shared" si="1"/>
        <v>800</v>
      </c>
      <c r="BQ14" s="11">
        <f>BP14*$B3</f>
        <v>0</v>
      </c>
      <c r="BR14" s="1">
        <f t="shared" ref="BR14:BV17" si="2">AX14+AD14+J14</f>
        <v>750</v>
      </c>
      <c r="BS14" s="3">
        <f>BR14*$B3</f>
        <v>0</v>
      </c>
      <c r="BT14" s="97">
        <f t="shared" si="2"/>
        <v>800</v>
      </c>
      <c r="BU14" s="97">
        <f>BT14*$B3</f>
        <v>0</v>
      </c>
      <c r="BV14" s="18">
        <f t="shared" si="2"/>
        <v>950</v>
      </c>
      <c r="BW14" s="19">
        <f>BV14*$B3</f>
        <v>0</v>
      </c>
      <c r="BX14" s="18">
        <f t="shared" ref="BX14:BX16" si="3">BD14+AJ14+P14</f>
        <v>1750</v>
      </c>
      <c r="BY14" s="19">
        <f>BU14+BW14</f>
        <v>0</v>
      </c>
      <c r="BZ14" s="11">
        <f t="shared" ref="BZ14:BZ17" si="4">BF14+AL14+R14</f>
        <v>0</v>
      </c>
      <c r="CA14" s="12">
        <f>BZ14*$B3</f>
        <v>0</v>
      </c>
    </row>
    <row r="15" spans="1:79" x14ac:dyDescent="0.25">
      <c r="A15" s="5" t="s">
        <v>37</v>
      </c>
      <c r="B15" s="34">
        <v>800</v>
      </c>
      <c r="C15" s="11">
        <f>B15*$B4</f>
        <v>0</v>
      </c>
      <c r="D15" s="1">
        <f>B15-(F15+H15+J15+L15+N15+R15)</f>
        <v>0</v>
      </c>
      <c r="E15" s="3">
        <f>D15*$B4</f>
        <v>0</v>
      </c>
      <c r="F15" s="96">
        <v>200</v>
      </c>
      <c r="G15" s="11">
        <f>F15*$B4</f>
        <v>0</v>
      </c>
      <c r="H15" s="34">
        <v>200</v>
      </c>
      <c r="I15" s="3">
        <f>H15*$B4</f>
        <v>0</v>
      </c>
      <c r="J15" s="96">
        <v>100</v>
      </c>
      <c r="K15" s="11">
        <f>J15*$B4</f>
        <v>0</v>
      </c>
      <c r="L15" s="87">
        <v>200</v>
      </c>
      <c r="M15" s="97">
        <f>L15*$B4</f>
        <v>0</v>
      </c>
      <c r="N15" s="87">
        <v>100</v>
      </c>
      <c r="O15" s="19">
        <f>N15*$B4</f>
        <v>0</v>
      </c>
      <c r="P15" s="18">
        <f t="shared" ref="P15:Q16" si="5">L15+N15</f>
        <v>300</v>
      </c>
      <c r="Q15" s="19">
        <f t="shared" si="5"/>
        <v>0</v>
      </c>
      <c r="R15" s="106">
        <v>0</v>
      </c>
      <c r="S15" s="6"/>
      <c r="U15" s="5" t="s">
        <v>37</v>
      </c>
      <c r="V15" s="34">
        <v>1100</v>
      </c>
      <c r="W15" s="11">
        <f>V15*$B4</f>
        <v>0</v>
      </c>
      <c r="X15" s="1">
        <f>V15-(Z15+AB15+AD15+AF15+AH15+AL15)</f>
        <v>0</v>
      </c>
      <c r="Y15" s="3">
        <f>X15*$B4</f>
        <v>0</v>
      </c>
      <c r="Z15" s="96">
        <v>400</v>
      </c>
      <c r="AA15" s="11">
        <f>Z15*$B4</f>
        <v>0</v>
      </c>
      <c r="AB15" s="34">
        <v>300</v>
      </c>
      <c r="AC15" s="3">
        <f>AB15*$B4</f>
        <v>0</v>
      </c>
      <c r="AD15" s="96">
        <v>200</v>
      </c>
      <c r="AE15" s="3">
        <f>AD15*$B4</f>
        <v>0</v>
      </c>
      <c r="AF15" s="87">
        <v>200</v>
      </c>
      <c r="AG15" s="19">
        <f>AF15*$B4</f>
        <v>0</v>
      </c>
      <c r="AH15" s="109">
        <v>0</v>
      </c>
      <c r="AI15" s="19">
        <f>AH15*$B4</f>
        <v>0</v>
      </c>
      <c r="AJ15" s="97">
        <f t="shared" ref="AJ15:AK16" si="6">AF15+AH15</f>
        <v>200</v>
      </c>
      <c r="AK15" s="19">
        <f t="shared" si="6"/>
        <v>0</v>
      </c>
      <c r="AL15" s="35">
        <v>0</v>
      </c>
      <c r="AM15" s="6"/>
      <c r="AO15" s="5" t="s">
        <v>37</v>
      </c>
      <c r="AP15" s="34">
        <v>200</v>
      </c>
      <c r="AQ15" s="3">
        <f>AP15*$B4</f>
        <v>0</v>
      </c>
      <c r="AR15" s="1">
        <f>AP15-(AT15+AV15+AX15+AZ15+BB15+BF15)</f>
        <v>0</v>
      </c>
      <c r="AS15" s="3">
        <f>AR15*$B4</f>
        <v>0</v>
      </c>
      <c r="AT15" s="96">
        <v>0</v>
      </c>
      <c r="AU15" s="11">
        <f>AT15*$B4</f>
        <v>0</v>
      </c>
      <c r="AV15" s="34">
        <v>0</v>
      </c>
      <c r="AW15" s="3">
        <f>AV15*$B4</f>
        <v>0</v>
      </c>
      <c r="AX15" s="96">
        <v>100</v>
      </c>
      <c r="AY15" s="3">
        <f>AX15*$B4</f>
        <v>0</v>
      </c>
      <c r="AZ15" s="87">
        <v>0</v>
      </c>
      <c r="BA15" s="97">
        <f>AZ15*$B4</f>
        <v>0</v>
      </c>
      <c r="BB15" s="87">
        <v>100</v>
      </c>
      <c r="BC15" s="19">
        <f>BB15*$B4</f>
        <v>0</v>
      </c>
      <c r="BD15" s="18">
        <f t="shared" ref="BD15:BE16" si="7">AZ15+BB15</f>
        <v>100</v>
      </c>
      <c r="BE15" s="19">
        <f t="shared" si="7"/>
        <v>0</v>
      </c>
      <c r="BF15" s="96">
        <v>0</v>
      </c>
      <c r="BG15" s="6"/>
      <c r="BI15" s="5" t="s">
        <v>37</v>
      </c>
      <c r="BJ15" s="1">
        <f t="shared" si="0"/>
        <v>2100</v>
      </c>
      <c r="BK15" s="3">
        <f>BJ15*$B4</f>
        <v>0</v>
      </c>
      <c r="BL15" s="1">
        <f t="shared" ref="BL15:BL16" si="8">BJ15-(BN15+BP15+BR15+BT15+BV15+BZ15)</f>
        <v>0</v>
      </c>
      <c r="BM15" s="3">
        <f>BL15*$B4</f>
        <v>0</v>
      </c>
      <c r="BN15" s="11">
        <f t="shared" si="1"/>
        <v>600</v>
      </c>
      <c r="BO15" s="3">
        <f>BN15*$B4</f>
        <v>0</v>
      </c>
      <c r="BP15" s="11">
        <f t="shared" si="1"/>
        <v>500</v>
      </c>
      <c r="BQ15" s="11">
        <f>BP15*$B4</f>
        <v>0</v>
      </c>
      <c r="BR15" s="1">
        <f t="shared" si="2"/>
        <v>400</v>
      </c>
      <c r="BS15" s="3">
        <f>BR15*$B4</f>
        <v>0</v>
      </c>
      <c r="BT15" s="97">
        <f t="shared" si="2"/>
        <v>400</v>
      </c>
      <c r="BU15" s="97">
        <f>BT15*$B4</f>
        <v>0</v>
      </c>
      <c r="BV15" s="18">
        <f t="shared" si="2"/>
        <v>200</v>
      </c>
      <c r="BW15" s="19">
        <f>BV15*$B4</f>
        <v>0</v>
      </c>
      <c r="BX15" s="18">
        <f t="shared" si="3"/>
        <v>600</v>
      </c>
      <c r="BY15" s="19">
        <f t="shared" ref="BY15:BY16" si="9">BU15+BW15</f>
        <v>0</v>
      </c>
      <c r="BZ15" s="11">
        <f t="shared" si="4"/>
        <v>0</v>
      </c>
      <c r="CA15" s="12">
        <f>BZ15*$B4</f>
        <v>0</v>
      </c>
    </row>
    <row r="16" spans="1:79" x14ac:dyDescent="0.25">
      <c r="A16" s="5" t="s">
        <v>38</v>
      </c>
      <c r="B16" s="34">
        <v>800</v>
      </c>
      <c r="C16" s="11">
        <f>B16*$B5</f>
        <v>800</v>
      </c>
      <c r="D16" s="1">
        <f>B16-(F16+H16+J16+L16+N16+R16)</f>
        <v>0</v>
      </c>
      <c r="E16" s="3">
        <f>D16*$B5</f>
        <v>0</v>
      </c>
      <c r="F16" s="96">
        <v>400</v>
      </c>
      <c r="G16" s="11">
        <f>F16*$B5</f>
        <v>400</v>
      </c>
      <c r="H16" s="34">
        <v>0</v>
      </c>
      <c r="I16" s="3">
        <f>H16*$B5</f>
        <v>0</v>
      </c>
      <c r="J16" s="96">
        <v>0</v>
      </c>
      <c r="K16" s="11">
        <f>J16*$B5</f>
        <v>0</v>
      </c>
      <c r="L16" s="87">
        <v>0</v>
      </c>
      <c r="M16" s="97">
        <f>L16*$B5</f>
        <v>0</v>
      </c>
      <c r="N16" s="87">
        <v>0</v>
      </c>
      <c r="O16" s="19">
        <f>N16*$B5</f>
        <v>0</v>
      </c>
      <c r="P16" s="18">
        <f t="shared" si="5"/>
        <v>0</v>
      </c>
      <c r="Q16" s="19">
        <f t="shared" si="5"/>
        <v>0</v>
      </c>
      <c r="R16" s="96">
        <v>400</v>
      </c>
      <c r="S16" s="12">
        <f>R16*$B$5</f>
        <v>400</v>
      </c>
      <c r="T16" s="16"/>
      <c r="U16" s="5" t="s">
        <v>38</v>
      </c>
      <c r="V16" s="34">
        <v>800</v>
      </c>
      <c r="W16" s="11">
        <f>V16*$B5</f>
        <v>800</v>
      </c>
      <c r="X16" s="1">
        <f>V16-(Z16+AB16+AD16+AF16+AH16+AL16)</f>
        <v>0</v>
      </c>
      <c r="Y16" s="3">
        <f>X16*$B5</f>
        <v>0</v>
      </c>
      <c r="Z16" s="96">
        <v>400</v>
      </c>
      <c r="AA16" s="11">
        <f>Z16*$B5</f>
        <v>400</v>
      </c>
      <c r="AB16" s="34">
        <v>0</v>
      </c>
      <c r="AC16" s="3">
        <f>AB16*$B5</f>
        <v>0</v>
      </c>
      <c r="AD16" s="96">
        <v>0</v>
      </c>
      <c r="AE16" s="3">
        <f>AD16*$B5</f>
        <v>0</v>
      </c>
      <c r="AF16" s="87">
        <v>0</v>
      </c>
      <c r="AG16" s="19">
        <f>AF16*$B5</f>
        <v>0</v>
      </c>
      <c r="AH16" s="109">
        <v>0</v>
      </c>
      <c r="AI16" s="19">
        <f>AH16*$B5</f>
        <v>0</v>
      </c>
      <c r="AJ16" s="97">
        <f t="shared" si="6"/>
        <v>0</v>
      </c>
      <c r="AK16" s="19">
        <f t="shared" si="6"/>
        <v>0</v>
      </c>
      <c r="AL16" s="34">
        <v>400</v>
      </c>
      <c r="AM16" s="12">
        <f>AL16*$B$5</f>
        <v>400</v>
      </c>
      <c r="AO16" s="5" t="s">
        <v>38</v>
      </c>
      <c r="AP16" s="34">
        <v>1100</v>
      </c>
      <c r="AQ16" s="3">
        <f>AP16*$B5</f>
        <v>1100</v>
      </c>
      <c r="AR16" s="1">
        <f>AP16-(AT16+AV16+AX16+AZ16+BB16+BF16)</f>
        <v>0</v>
      </c>
      <c r="AS16" s="3">
        <f>AR16*$B5</f>
        <v>0</v>
      </c>
      <c r="AT16" s="96">
        <v>400</v>
      </c>
      <c r="AU16" s="11">
        <f>AT16*$B5</f>
        <v>400</v>
      </c>
      <c r="AV16" s="34">
        <v>0</v>
      </c>
      <c r="AW16" s="3">
        <f>AV16*$B5</f>
        <v>0</v>
      </c>
      <c r="AX16" s="96">
        <v>0</v>
      </c>
      <c r="AY16" s="3">
        <f>AX16*$B5</f>
        <v>0</v>
      </c>
      <c r="AZ16" s="87">
        <v>0</v>
      </c>
      <c r="BA16" s="97">
        <f>AZ16*$B5</f>
        <v>0</v>
      </c>
      <c r="BB16" s="87">
        <v>0</v>
      </c>
      <c r="BC16" s="19">
        <f>BB16*$B5</f>
        <v>0</v>
      </c>
      <c r="BD16" s="18">
        <f t="shared" si="7"/>
        <v>0</v>
      </c>
      <c r="BE16" s="19">
        <f t="shared" si="7"/>
        <v>0</v>
      </c>
      <c r="BF16" s="96">
        <v>700</v>
      </c>
      <c r="BG16" s="12">
        <f>BF16*$B$5</f>
        <v>700</v>
      </c>
      <c r="BI16" s="5" t="s">
        <v>38</v>
      </c>
      <c r="BJ16" s="1">
        <f t="shared" si="0"/>
        <v>2700</v>
      </c>
      <c r="BK16" s="3">
        <f>BJ16*$B5</f>
        <v>2700</v>
      </c>
      <c r="BL16" s="1">
        <f t="shared" si="8"/>
        <v>0</v>
      </c>
      <c r="BM16" s="3">
        <f>BL16*$B5</f>
        <v>0</v>
      </c>
      <c r="BN16" s="11">
        <f t="shared" si="1"/>
        <v>1200</v>
      </c>
      <c r="BO16" s="3">
        <f>BN16*$B5</f>
        <v>1200</v>
      </c>
      <c r="BP16" s="11">
        <f t="shared" si="1"/>
        <v>0</v>
      </c>
      <c r="BQ16" s="11">
        <f>BP16*$B5</f>
        <v>0</v>
      </c>
      <c r="BR16" s="1">
        <f t="shared" si="2"/>
        <v>0</v>
      </c>
      <c r="BS16" s="3">
        <f>BR16*$B5</f>
        <v>0</v>
      </c>
      <c r="BT16" s="97">
        <f t="shared" si="2"/>
        <v>0</v>
      </c>
      <c r="BU16" s="97">
        <f>BT16*$B5</f>
        <v>0</v>
      </c>
      <c r="BV16" s="18">
        <f t="shared" si="2"/>
        <v>0</v>
      </c>
      <c r="BW16" s="19">
        <f>BV16*$B5</f>
        <v>0</v>
      </c>
      <c r="BX16" s="18">
        <f t="shared" si="3"/>
        <v>0</v>
      </c>
      <c r="BY16" s="19">
        <f t="shared" si="9"/>
        <v>0</v>
      </c>
      <c r="BZ16" s="11">
        <f t="shared" si="4"/>
        <v>1500</v>
      </c>
      <c r="CA16" s="12">
        <f>BZ16*$B5</f>
        <v>1500</v>
      </c>
    </row>
    <row r="17" spans="1:79" s="17" customFormat="1" x14ac:dyDescent="0.25">
      <c r="A17" s="5" t="s">
        <v>39</v>
      </c>
      <c r="B17" s="27">
        <f t="shared" ref="B17:S17" si="10">SUM(B13:B16)</f>
        <v>6800</v>
      </c>
      <c r="C17" s="98">
        <f t="shared" si="10"/>
        <v>2510</v>
      </c>
      <c r="D17" s="27">
        <f t="shared" si="10"/>
        <v>700</v>
      </c>
      <c r="E17" s="11">
        <f t="shared" si="10"/>
        <v>315</v>
      </c>
      <c r="F17" s="27">
        <f t="shared" si="10"/>
        <v>1100</v>
      </c>
      <c r="G17" s="11">
        <f t="shared" si="10"/>
        <v>490</v>
      </c>
      <c r="H17" s="27">
        <f t="shared" si="10"/>
        <v>1100</v>
      </c>
      <c r="I17" s="3">
        <f t="shared" si="10"/>
        <v>270</v>
      </c>
      <c r="J17" s="27">
        <f t="shared" si="10"/>
        <v>400</v>
      </c>
      <c r="K17" s="11">
        <f t="shared" si="10"/>
        <v>0</v>
      </c>
      <c r="L17" s="23">
        <f t="shared" si="10"/>
        <v>400</v>
      </c>
      <c r="M17" s="97">
        <f t="shared" si="10"/>
        <v>0</v>
      </c>
      <c r="N17" s="23">
        <f t="shared" si="10"/>
        <v>1000</v>
      </c>
      <c r="O17" s="19">
        <f t="shared" si="10"/>
        <v>270</v>
      </c>
      <c r="P17" s="18">
        <f t="shared" si="10"/>
        <v>1400</v>
      </c>
      <c r="Q17" s="19">
        <f t="shared" si="10"/>
        <v>270</v>
      </c>
      <c r="R17" s="11">
        <f t="shared" si="10"/>
        <v>2100</v>
      </c>
      <c r="S17" s="12">
        <f t="shared" si="10"/>
        <v>1165</v>
      </c>
      <c r="U17" s="5" t="s">
        <v>39</v>
      </c>
      <c r="V17" s="27">
        <f t="shared" ref="V17:AM17" si="11">SUM(V13:V16)</f>
        <v>6850</v>
      </c>
      <c r="W17" s="98">
        <f t="shared" si="11"/>
        <v>1812.5</v>
      </c>
      <c r="X17" s="27">
        <f t="shared" si="11"/>
        <v>1050</v>
      </c>
      <c r="Y17" s="11">
        <f t="shared" si="11"/>
        <v>202.5</v>
      </c>
      <c r="Z17" s="27">
        <f t="shared" si="11"/>
        <v>1400</v>
      </c>
      <c r="AA17" s="11">
        <f t="shared" si="11"/>
        <v>490</v>
      </c>
      <c r="AB17" s="27">
        <f t="shared" si="11"/>
        <v>1200</v>
      </c>
      <c r="AC17" s="11">
        <f t="shared" si="11"/>
        <v>270</v>
      </c>
      <c r="AD17" s="27">
        <f t="shared" si="11"/>
        <v>500</v>
      </c>
      <c r="AE17" s="11">
        <f t="shared" si="11"/>
        <v>0</v>
      </c>
      <c r="AF17" s="23">
        <f t="shared" si="11"/>
        <v>700</v>
      </c>
      <c r="AG17" s="19">
        <f t="shared" si="11"/>
        <v>0</v>
      </c>
      <c r="AH17" s="104">
        <f t="shared" si="11"/>
        <v>800</v>
      </c>
      <c r="AI17" s="97">
        <f t="shared" si="11"/>
        <v>135</v>
      </c>
      <c r="AJ17" s="23">
        <f t="shared" si="11"/>
        <v>1500</v>
      </c>
      <c r="AK17" s="97">
        <f t="shared" si="11"/>
        <v>135</v>
      </c>
      <c r="AL17" s="27">
        <f t="shared" si="11"/>
        <v>1100</v>
      </c>
      <c r="AM17" s="12">
        <f t="shared" si="11"/>
        <v>715</v>
      </c>
      <c r="AO17" s="5" t="s">
        <v>39</v>
      </c>
      <c r="AP17" s="27">
        <f>SUM(AP13:AP16)</f>
        <v>6402.5</v>
      </c>
      <c r="AQ17" s="43">
        <f>AQ13+AQ14+AQ15+AQ16</f>
        <v>3126.125</v>
      </c>
      <c r="AR17" s="27">
        <f>SUM(AR13:AR16)</f>
        <v>1802.5</v>
      </c>
      <c r="AS17" s="11">
        <f>AS13+AS14+AS15+AS16</f>
        <v>811.125</v>
      </c>
      <c r="AT17" s="27">
        <f>SUM(AT13:AT16)</f>
        <v>700</v>
      </c>
      <c r="AU17" s="11">
        <f>AU13+AU14+AU15+AU16</f>
        <v>535</v>
      </c>
      <c r="AV17" s="27">
        <f>SUM(AV13:AV16)</f>
        <v>800</v>
      </c>
      <c r="AW17" s="11">
        <f>AW13+AW14+AW15+AW16</f>
        <v>270</v>
      </c>
      <c r="AX17" s="27">
        <f>SUM(AX13:AX16)</f>
        <v>250</v>
      </c>
      <c r="AY17" s="11">
        <f>AY13+AY14+AY15+AY16</f>
        <v>0</v>
      </c>
      <c r="AZ17" s="23">
        <f>SUM(AZ13:AZ16)</f>
        <v>100</v>
      </c>
      <c r="BA17" s="97">
        <f>BA13+BA14+BA15+BA16</f>
        <v>0</v>
      </c>
      <c r="BB17" s="23">
        <f>SUM(BB13:BB16)</f>
        <v>550</v>
      </c>
      <c r="BC17" s="97">
        <f>BC13+BC14+BC15+BC16</f>
        <v>135</v>
      </c>
      <c r="BD17" s="23">
        <f>SUM(BD13:BD16)</f>
        <v>650</v>
      </c>
      <c r="BE17" s="19">
        <f>BE13+BE14+BE15+BE16</f>
        <v>135</v>
      </c>
      <c r="BF17" s="46">
        <f>SUM(BF13:BF16)</f>
        <v>2200</v>
      </c>
      <c r="BG17" s="12">
        <f>BG13+BG14+BG15+BG16</f>
        <v>1375</v>
      </c>
      <c r="BH17"/>
      <c r="BI17" s="5" t="s">
        <v>39</v>
      </c>
      <c r="BJ17" s="1">
        <f t="shared" si="0"/>
        <v>20052.5</v>
      </c>
      <c r="BK17" s="43">
        <f>SUM(BK13:BK16)</f>
        <v>7448.625</v>
      </c>
      <c r="BL17" s="1">
        <f t="shared" ref="BL17:BW17" si="12">SUM(BL13:BL16)</f>
        <v>3652.5</v>
      </c>
      <c r="BM17" s="3">
        <f t="shared" si="12"/>
        <v>1328.625</v>
      </c>
      <c r="BN17" s="11">
        <f t="shared" si="12"/>
        <v>3200</v>
      </c>
      <c r="BO17" s="3">
        <f t="shared" si="12"/>
        <v>1515</v>
      </c>
      <c r="BP17" s="1">
        <f t="shared" si="12"/>
        <v>3100</v>
      </c>
      <c r="BQ17" s="11">
        <f t="shared" si="12"/>
        <v>810</v>
      </c>
      <c r="BR17" s="1">
        <f t="shared" si="2"/>
        <v>1150</v>
      </c>
      <c r="BS17" s="3">
        <f t="shared" si="12"/>
        <v>0</v>
      </c>
      <c r="BT17" s="97">
        <f t="shared" si="2"/>
        <v>1200</v>
      </c>
      <c r="BU17" s="97">
        <f t="shared" si="12"/>
        <v>0</v>
      </c>
      <c r="BV17" s="18">
        <f t="shared" si="2"/>
        <v>2350</v>
      </c>
      <c r="BW17" s="19">
        <f t="shared" si="12"/>
        <v>540</v>
      </c>
      <c r="BX17" s="18">
        <f>SUM(BX13:BX16)</f>
        <v>3550</v>
      </c>
      <c r="BY17" s="19">
        <f t="shared" ref="BY17" si="13">SUM(BY13:BY16)</f>
        <v>540</v>
      </c>
      <c r="BZ17" s="11">
        <f t="shared" si="4"/>
        <v>5400</v>
      </c>
      <c r="CA17" s="12">
        <f>SUM(CA13:CA16)</f>
        <v>3255</v>
      </c>
    </row>
    <row r="18" spans="1:79" x14ac:dyDescent="0.25">
      <c r="A18" s="5" t="s">
        <v>40</v>
      </c>
      <c r="B18" s="65" t="s">
        <v>12</v>
      </c>
      <c r="C18" s="99">
        <f>C17/B17</f>
        <v>0.36911764705882355</v>
      </c>
      <c r="D18" s="13" t="s">
        <v>12</v>
      </c>
      <c r="E18" s="14">
        <f>E17/D17</f>
        <v>0.45</v>
      </c>
      <c r="F18" s="47" t="s">
        <v>12</v>
      </c>
      <c r="G18" s="9">
        <f>G17/F17</f>
        <v>0.44545454545454544</v>
      </c>
      <c r="H18" s="13" t="s">
        <v>12</v>
      </c>
      <c r="I18" s="2">
        <f>I17/H17</f>
        <v>0.24545454545454545</v>
      </c>
      <c r="J18" s="47" t="s">
        <v>12</v>
      </c>
      <c r="K18" s="9">
        <f>K17/J17</f>
        <v>0</v>
      </c>
      <c r="L18" s="20" t="s">
        <v>12</v>
      </c>
      <c r="M18" s="100">
        <f>M17/L17</f>
        <v>0</v>
      </c>
      <c r="N18" s="20" t="s">
        <v>12</v>
      </c>
      <c r="O18" s="21">
        <f>O17/N17</f>
        <v>0.27</v>
      </c>
      <c r="P18" s="20" t="s">
        <v>12</v>
      </c>
      <c r="Q18" s="21">
        <f>Q17/P17</f>
        <v>0.19285714285714287</v>
      </c>
      <c r="R18" s="47" t="s">
        <v>12</v>
      </c>
      <c r="S18" s="22">
        <f>S17/R17</f>
        <v>0.55476190476190479</v>
      </c>
      <c r="U18" s="5" t="s">
        <v>40</v>
      </c>
      <c r="V18" s="65" t="s">
        <v>12</v>
      </c>
      <c r="W18" s="99">
        <f>W17/V17</f>
        <v>0.26459854014598538</v>
      </c>
      <c r="X18" s="13" t="s">
        <v>12</v>
      </c>
      <c r="Y18" s="14">
        <f>Y17/X17</f>
        <v>0.19285714285714287</v>
      </c>
      <c r="Z18" s="47" t="s">
        <v>12</v>
      </c>
      <c r="AA18" s="9">
        <f>AA17/Z17</f>
        <v>0.35</v>
      </c>
      <c r="AB18" s="13" t="s">
        <v>12</v>
      </c>
      <c r="AC18" s="2">
        <f>AC17/AB17</f>
        <v>0.22500000000000001</v>
      </c>
      <c r="AD18" s="47" t="s">
        <v>12</v>
      </c>
      <c r="AE18" s="2">
        <f>AE17/AD17</f>
        <v>0</v>
      </c>
      <c r="AF18" s="20" t="s">
        <v>12</v>
      </c>
      <c r="AG18" s="21">
        <f>AG17/AF17</f>
        <v>0</v>
      </c>
      <c r="AH18" s="101" t="s">
        <v>12</v>
      </c>
      <c r="AI18" s="21">
        <f>AI17/AH17</f>
        <v>0.16875000000000001</v>
      </c>
      <c r="AJ18" s="101" t="s">
        <v>12</v>
      </c>
      <c r="AK18" s="21">
        <f>AK17/AJ17</f>
        <v>0.09</v>
      </c>
      <c r="AL18" s="13" t="s">
        <v>12</v>
      </c>
      <c r="AM18" s="22">
        <f>AM17/AL17</f>
        <v>0.65</v>
      </c>
      <c r="AO18" s="5" t="s">
        <v>40</v>
      </c>
      <c r="AP18" s="65" t="s">
        <v>12</v>
      </c>
      <c r="AQ18" s="14">
        <f>AQ17/AP17</f>
        <v>0.48826630222569312</v>
      </c>
      <c r="AR18" s="13" t="s">
        <v>12</v>
      </c>
      <c r="AS18" s="14">
        <f>AS17/AR17</f>
        <v>0.45</v>
      </c>
      <c r="AT18" s="47" t="s">
        <v>12</v>
      </c>
      <c r="AU18" s="9">
        <f>AU17/AT17</f>
        <v>0.76428571428571423</v>
      </c>
      <c r="AV18" s="13" t="s">
        <v>12</v>
      </c>
      <c r="AW18" s="2">
        <f>AW17/AV17</f>
        <v>0.33750000000000002</v>
      </c>
      <c r="AX18" s="47" t="s">
        <v>12</v>
      </c>
      <c r="AY18" s="2">
        <f>AY17/AX17</f>
        <v>0</v>
      </c>
      <c r="AZ18" s="20" t="s">
        <v>12</v>
      </c>
      <c r="BA18" s="100">
        <f>BA17/AZ17</f>
        <v>0</v>
      </c>
      <c r="BB18" s="20" t="s">
        <v>12</v>
      </c>
      <c r="BC18" s="21">
        <f>BC17/BB17</f>
        <v>0.24545454545454545</v>
      </c>
      <c r="BD18" s="20" t="s">
        <v>12</v>
      </c>
      <c r="BE18" s="21">
        <f>BE17/BD17</f>
        <v>0.2076923076923077</v>
      </c>
      <c r="BF18" s="47" t="s">
        <v>12</v>
      </c>
      <c r="BG18" s="22">
        <f>BG17/BF17</f>
        <v>0.625</v>
      </c>
      <c r="BI18" s="5" t="s">
        <v>40</v>
      </c>
      <c r="BJ18" s="65" t="s">
        <v>12</v>
      </c>
      <c r="BK18" s="14">
        <f>BK17/BJ17</f>
        <v>0.37145617753397331</v>
      </c>
      <c r="BL18" s="13" t="s">
        <v>12</v>
      </c>
      <c r="BM18" s="14">
        <f>BM17/BL17</f>
        <v>0.36375770020533882</v>
      </c>
      <c r="BN18" s="47" t="s">
        <v>12</v>
      </c>
      <c r="BO18" s="9">
        <f>BO17/BN17</f>
        <v>0.47343750000000001</v>
      </c>
      <c r="BP18" s="13" t="s">
        <v>12</v>
      </c>
      <c r="BQ18" s="9">
        <f>BQ17/BP17</f>
        <v>0.26129032258064516</v>
      </c>
      <c r="BR18" s="13" t="s">
        <v>12</v>
      </c>
      <c r="BS18" s="2">
        <f>BS17/BR17</f>
        <v>0</v>
      </c>
      <c r="BT18" s="101" t="s">
        <v>12</v>
      </c>
      <c r="BU18" s="100">
        <f>BU17/BT17</f>
        <v>0</v>
      </c>
      <c r="BV18" s="20" t="s">
        <v>12</v>
      </c>
      <c r="BW18" s="21">
        <f>BW17/BV17</f>
        <v>0.22978723404255319</v>
      </c>
      <c r="BX18" s="20" t="s">
        <v>12</v>
      </c>
      <c r="BY18" s="21">
        <f>BY17/BX17</f>
        <v>0.15211267605633802</v>
      </c>
      <c r="BZ18" s="47" t="s">
        <v>12</v>
      </c>
      <c r="CA18" s="22">
        <f>CA17/BZ17</f>
        <v>0.60277777777777775</v>
      </c>
    </row>
    <row r="19" spans="1:79" x14ac:dyDescent="0.25">
      <c r="A19" s="37" t="s">
        <v>43</v>
      </c>
      <c r="B19" s="1">
        <f>F19+H19+J19+L19+N19+R19</f>
        <v>6700</v>
      </c>
      <c r="C19" s="47" t="s">
        <v>12</v>
      </c>
      <c r="D19" s="13" t="s">
        <v>12</v>
      </c>
      <c r="E19" s="4" t="s">
        <v>12</v>
      </c>
      <c r="F19" s="96">
        <v>800</v>
      </c>
      <c r="G19" s="47"/>
      <c r="H19" s="34">
        <v>1000</v>
      </c>
      <c r="I19" s="4" t="s">
        <v>12</v>
      </c>
      <c r="J19" s="96">
        <v>1000</v>
      </c>
      <c r="K19" s="47" t="s">
        <v>12</v>
      </c>
      <c r="L19" s="88">
        <v>1000</v>
      </c>
      <c r="M19" s="101" t="s">
        <v>12</v>
      </c>
      <c r="N19" s="88">
        <v>900</v>
      </c>
      <c r="O19" s="26" t="s">
        <v>12</v>
      </c>
      <c r="P19" s="18">
        <f t="shared" ref="P19:P25" si="14">L19+N19</f>
        <v>1900</v>
      </c>
      <c r="Q19" s="26" t="s">
        <v>12</v>
      </c>
      <c r="R19" s="59">
        <v>2000</v>
      </c>
      <c r="S19" s="28" t="s">
        <v>12</v>
      </c>
      <c r="U19" s="37" t="s">
        <v>43</v>
      </c>
      <c r="V19" s="1">
        <f>Z19+AB19+AD19+AF19+AH19+AL19</f>
        <v>6600</v>
      </c>
      <c r="W19" s="47" t="s">
        <v>12</v>
      </c>
      <c r="X19" s="13"/>
      <c r="Y19" s="4"/>
      <c r="Z19" s="96">
        <v>800</v>
      </c>
      <c r="AA19" s="47" t="s">
        <v>12</v>
      </c>
      <c r="AB19" s="34">
        <v>1000</v>
      </c>
      <c r="AC19" s="4" t="s">
        <v>12</v>
      </c>
      <c r="AD19" s="96">
        <v>1000</v>
      </c>
      <c r="AE19" s="4" t="s">
        <v>12</v>
      </c>
      <c r="AF19" s="88">
        <v>900</v>
      </c>
      <c r="AG19" s="26" t="s">
        <v>12</v>
      </c>
      <c r="AH19" s="118">
        <v>900</v>
      </c>
      <c r="AI19" s="26" t="s">
        <v>12</v>
      </c>
      <c r="AJ19" s="97">
        <f t="shared" ref="AJ19:AJ25" si="15">AF19+AH19</f>
        <v>1800</v>
      </c>
      <c r="AK19" s="26" t="s">
        <v>12</v>
      </c>
      <c r="AL19" s="38">
        <v>2000</v>
      </c>
      <c r="AM19" s="28" t="s">
        <v>12</v>
      </c>
      <c r="AO19" s="37" t="s">
        <v>43</v>
      </c>
      <c r="AP19" s="1">
        <f>AT19+AV19+AX19+AZ19+BB19+BF19</f>
        <v>6700</v>
      </c>
      <c r="AQ19" s="4" t="s">
        <v>12</v>
      </c>
      <c r="AR19" s="13" t="s">
        <v>12</v>
      </c>
      <c r="AS19" s="4" t="s">
        <v>12</v>
      </c>
      <c r="AT19" s="96">
        <v>800</v>
      </c>
      <c r="AU19" s="47" t="s">
        <v>12</v>
      </c>
      <c r="AV19" s="34">
        <v>1000</v>
      </c>
      <c r="AW19" s="4" t="s">
        <v>12</v>
      </c>
      <c r="AX19" s="96">
        <v>1000</v>
      </c>
      <c r="AY19" s="4" t="s">
        <v>12</v>
      </c>
      <c r="AZ19" s="88">
        <v>1000</v>
      </c>
      <c r="BA19" s="101" t="s">
        <v>12</v>
      </c>
      <c r="BB19" s="88">
        <v>900</v>
      </c>
      <c r="BC19" s="26" t="s">
        <v>12</v>
      </c>
      <c r="BD19" s="18">
        <f t="shared" ref="BD19:BD25" si="16">AZ19+BB19</f>
        <v>1900</v>
      </c>
      <c r="BE19" s="26" t="s">
        <v>12</v>
      </c>
      <c r="BF19" s="59">
        <v>2000</v>
      </c>
      <c r="BG19" s="28" t="s">
        <v>12</v>
      </c>
      <c r="BI19" s="37" t="s">
        <v>43</v>
      </c>
      <c r="BJ19" s="1">
        <f t="shared" si="0"/>
        <v>20000</v>
      </c>
      <c r="BK19" s="92"/>
      <c r="BL19" s="13"/>
      <c r="BM19" s="4"/>
      <c r="BN19" s="11">
        <f t="shared" ref="BJ19:BN21" si="17">AT19+Z19+F19</f>
        <v>2400</v>
      </c>
      <c r="BO19" s="11"/>
      <c r="BP19" s="11">
        <f t="shared" ref="BP19" si="18">AV19+AB19+H19</f>
        <v>3000</v>
      </c>
      <c r="BQ19" s="11"/>
      <c r="BR19" s="1">
        <f t="shared" ref="BR19" si="19">AX19+AD19+J19</f>
        <v>3000</v>
      </c>
      <c r="BS19" s="3"/>
      <c r="BT19" s="97">
        <f t="shared" ref="BT19:BT21" si="20">AZ19+AF19+L19</f>
        <v>2900</v>
      </c>
      <c r="BU19" s="97"/>
      <c r="BV19" s="18">
        <f t="shared" ref="BV19" si="21">BB19+AH19+N19</f>
        <v>2700</v>
      </c>
      <c r="BW19" s="19"/>
      <c r="BX19" s="18">
        <f>BT19+BV19</f>
        <v>5600</v>
      </c>
      <c r="BY19" s="19"/>
      <c r="BZ19" s="11">
        <f t="shared" ref="BZ19" si="22">BF19+AL19+R19</f>
        <v>6000</v>
      </c>
      <c r="CA19" s="22"/>
    </row>
    <row r="20" spans="1:79" x14ac:dyDescent="0.25">
      <c r="A20" s="5" t="s">
        <v>57</v>
      </c>
      <c r="B20" s="34">
        <v>100</v>
      </c>
      <c r="C20" s="47" t="s">
        <v>12</v>
      </c>
      <c r="D20" s="27">
        <f>B20-(F20+H20+J20+L20+N20)</f>
        <v>100</v>
      </c>
      <c r="E20" s="32">
        <f>D20*C36</f>
        <v>45.759379509379514</v>
      </c>
      <c r="F20" s="96">
        <v>0</v>
      </c>
      <c r="G20" s="47" t="s">
        <v>12</v>
      </c>
      <c r="H20" s="34">
        <v>0</v>
      </c>
      <c r="I20" s="4" t="s">
        <v>12</v>
      </c>
      <c r="J20" s="96">
        <v>0</v>
      </c>
      <c r="K20" s="4" t="s">
        <v>12</v>
      </c>
      <c r="L20" s="87">
        <v>0</v>
      </c>
      <c r="M20" s="101" t="s">
        <v>12</v>
      </c>
      <c r="N20" s="87">
        <v>0</v>
      </c>
      <c r="O20" s="26" t="s">
        <v>12</v>
      </c>
      <c r="P20" s="97">
        <f t="shared" si="14"/>
        <v>0</v>
      </c>
      <c r="Q20" s="26" t="s">
        <v>12</v>
      </c>
      <c r="R20" s="34">
        <v>0</v>
      </c>
      <c r="S20" s="28" t="s">
        <v>12</v>
      </c>
      <c r="U20" s="5" t="s">
        <v>57</v>
      </c>
      <c r="V20" s="34">
        <v>250</v>
      </c>
      <c r="W20" s="47" t="s">
        <v>12</v>
      </c>
      <c r="X20" s="27">
        <f>V20-(Z20+AB20+AD20+AF20+AH20)</f>
        <v>250</v>
      </c>
      <c r="Y20" s="32">
        <f>X20*W36</f>
        <v>67.905405405405403</v>
      </c>
      <c r="Z20" s="96">
        <v>0</v>
      </c>
      <c r="AA20" s="47" t="s">
        <v>12</v>
      </c>
      <c r="AB20" s="34">
        <v>0</v>
      </c>
      <c r="AC20" s="4" t="s">
        <v>12</v>
      </c>
      <c r="AD20" s="96">
        <v>0</v>
      </c>
      <c r="AE20" s="4" t="s">
        <v>12</v>
      </c>
      <c r="AF20" s="87">
        <v>0</v>
      </c>
      <c r="AG20" s="26" t="s">
        <v>12</v>
      </c>
      <c r="AH20" s="109">
        <v>0</v>
      </c>
      <c r="AI20" s="26" t="s">
        <v>12</v>
      </c>
      <c r="AJ20" s="97">
        <f t="shared" si="15"/>
        <v>0</v>
      </c>
      <c r="AK20" s="26" t="s">
        <v>12</v>
      </c>
      <c r="AL20" s="34">
        <v>0</v>
      </c>
      <c r="AM20" s="28" t="s">
        <v>12</v>
      </c>
      <c r="AO20" s="5" t="s">
        <v>57</v>
      </c>
      <c r="AP20" s="34">
        <v>0</v>
      </c>
      <c r="AQ20" s="4" t="s">
        <v>12</v>
      </c>
      <c r="AR20" s="27">
        <v>0</v>
      </c>
      <c r="AS20" s="32">
        <f>AR20*AQ36</f>
        <v>0</v>
      </c>
      <c r="AT20" s="96">
        <v>0</v>
      </c>
      <c r="AU20" s="32">
        <f>IF(AT21&gt;0,AT21*AU36,0)</f>
        <v>0</v>
      </c>
      <c r="AV20" s="34">
        <v>0</v>
      </c>
      <c r="AW20" s="4" t="s">
        <v>12</v>
      </c>
      <c r="AX20" s="96">
        <v>0</v>
      </c>
      <c r="AY20" s="4" t="s">
        <v>12</v>
      </c>
      <c r="AZ20" s="87">
        <v>0</v>
      </c>
      <c r="BA20" s="101" t="s">
        <v>12</v>
      </c>
      <c r="BB20" s="87">
        <v>0</v>
      </c>
      <c r="BC20" s="26" t="s">
        <v>12</v>
      </c>
      <c r="BD20" s="18">
        <f t="shared" si="16"/>
        <v>0</v>
      </c>
      <c r="BE20" s="26" t="s">
        <v>12</v>
      </c>
      <c r="BF20" s="96">
        <v>0</v>
      </c>
      <c r="BG20" s="28" t="s">
        <v>12</v>
      </c>
      <c r="BI20" s="5" t="s">
        <v>57</v>
      </c>
      <c r="BJ20" s="1">
        <f t="shared" si="17"/>
        <v>350</v>
      </c>
      <c r="BK20" s="3">
        <v>0</v>
      </c>
      <c r="BL20" s="1">
        <f t="shared" si="17"/>
        <v>350</v>
      </c>
      <c r="BM20" s="144">
        <v>0</v>
      </c>
      <c r="BN20" s="11">
        <f t="shared" si="17"/>
        <v>0</v>
      </c>
      <c r="BO20" s="3">
        <v>0</v>
      </c>
      <c r="BP20" s="11">
        <f>(MAX(0,AV20)+MAX(0,AB20)+MAX(0,H20))*1.1</f>
        <v>0</v>
      </c>
      <c r="BQ20" s="11">
        <v>0</v>
      </c>
      <c r="BR20" s="1">
        <f>(MAX(0,AX20)+MAX(0,AD20)+MAX(0,J20))*1.1</f>
        <v>0</v>
      </c>
      <c r="BS20" s="3">
        <v>0</v>
      </c>
      <c r="BT20" s="97">
        <f t="shared" si="20"/>
        <v>0</v>
      </c>
      <c r="BU20" s="101" t="s">
        <v>12</v>
      </c>
      <c r="BV20" s="18">
        <f>(MAX(0,BB20)+MAX(0,AH20)+MAX(0,N20))*1.1</f>
        <v>0</v>
      </c>
      <c r="BW20" s="26" t="s">
        <v>12</v>
      </c>
      <c r="BX20" s="18">
        <f t="shared" ref="BX20:BX21" si="23">BD20+AJ20+P20</f>
        <v>0</v>
      </c>
      <c r="BY20" s="19">
        <v>0</v>
      </c>
      <c r="BZ20" s="11">
        <f>(MAX(0,BF20)+MAX(0,AL20)+MAX(0,R20))*1.1</f>
        <v>0</v>
      </c>
      <c r="CA20" s="12">
        <v>0</v>
      </c>
    </row>
    <row r="21" spans="1:79" x14ac:dyDescent="0.25">
      <c r="A21" s="5" t="s">
        <v>58</v>
      </c>
      <c r="B21" s="34">
        <v>0</v>
      </c>
      <c r="C21" s="47"/>
      <c r="D21" s="27">
        <v>0</v>
      </c>
      <c r="E21" s="32">
        <v>0</v>
      </c>
      <c r="F21" s="96">
        <v>0</v>
      </c>
      <c r="G21" s="47"/>
      <c r="H21" s="34">
        <v>0</v>
      </c>
      <c r="I21" s="4"/>
      <c r="J21" s="96">
        <v>0</v>
      </c>
      <c r="K21" s="4"/>
      <c r="L21" s="109">
        <v>0</v>
      </c>
      <c r="M21" s="101"/>
      <c r="N21" s="87">
        <v>0</v>
      </c>
      <c r="O21" s="26"/>
      <c r="P21" s="97">
        <f t="shared" si="14"/>
        <v>0</v>
      </c>
      <c r="Q21" s="26"/>
      <c r="R21" s="96">
        <v>0</v>
      </c>
      <c r="S21" s="28"/>
      <c r="U21" s="5" t="s">
        <v>58</v>
      </c>
      <c r="V21" s="34">
        <v>0</v>
      </c>
      <c r="W21" s="102">
        <v>0</v>
      </c>
      <c r="X21" s="27">
        <v>0</v>
      </c>
      <c r="Y21" s="32">
        <v>0</v>
      </c>
      <c r="Z21" s="96">
        <v>0</v>
      </c>
      <c r="AA21" s="47"/>
      <c r="AB21" s="34">
        <v>0</v>
      </c>
      <c r="AC21" s="4"/>
      <c r="AD21" s="96">
        <v>0</v>
      </c>
      <c r="AE21" s="4"/>
      <c r="AF21" s="87">
        <v>0</v>
      </c>
      <c r="AG21" s="26" t="s">
        <v>12</v>
      </c>
      <c r="AH21" s="109">
        <v>0</v>
      </c>
      <c r="AI21" s="26"/>
      <c r="AJ21" s="97">
        <f t="shared" si="15"/>
        <v>0</v>
      </c>
      <c r="AK21" s="26"/>
      <c r="AL21" s="96">
        <v>0</v>
      </c>
      <c r="AM21" s="28"/>
      <c r="AO21" s="5" t="s">
        <v>58</v>
      </c>
      <c r="AP21" s="34">
        <f>-(B20+V20)*$B$6</f>
        <v>-297.5</v>
      </c>
      <c r="AQ21" s="4" t="s">
        <v>12</v>
      </c>
      <c r="AR21" s="34">
        <f>-(X20+D20)*$B$6</f>
        <v>-297.5</v>
      </c>
      <c r="AS21" s="32">
        <f>E27+Y27</f>
        <v>113.66478491478492</v>
      </c>
      <c r="AT21" s="34">
        <f>-Z20*$B$6</f>
        <v>0</v>
      </c>
      <c r="AU21" s="47" t="s">
        <v>12</v>
      </c>
      <c r="AV21" s="34">
        <v>0</v>
      </c>
      <c r="AW21" s="4" t="s">
        <v>12</v>
      </c>
      <c r="AX21" s="96">
        <v>0</v>
      </c>
      <c r="AY21" s="4" t="s">
        <v>12</v>
      </c>
      <c r="AZ21" s="87">
        <f>-AF20*$B$6</f>
        <v>0</v>
      </c>
      <c r="BA21" s="101" t="s">
        <v>12</v>
      </c>
      <c r="BB21" s="87">
        <v>0</v>
      </c>
      <c r="BC21" s="26" t="s">
        <v>12</v>
      </c>
      <c r="BD21" s="18">
        <f t="shared" si="16"/>
        <v>0</v>
      </c>
      <c r="BE21" s="26" t="s">
        <v>12</v>
      </c>
      <c r="BF21" s="96">
        <v>0</v>
      </c>
      <c r="BG21" s="28" t="s">
        <v>12</v>
      </c>
      <c r="BI21" s="5" t="s">
        <v>58</v>
      </c>
      <c r="BJ21" s="1">
        <f t="shared" si="17"/>
        <v>-297.5</v>
      </c>
      <c r="BK21" s="4" t="s">
        <v>12</v>
      </c>
      <c r="BL21" s="1">
        <f t="shared" si="17"/>
        <v>-297.5</v>
      </c>
      <c r="BM21" s="3">
        <f t="shared" si="17"/>
        <v>113.66478491478492</v>
      </c>
      <c r="BN21" s="11">
        <f t="shared" si="17"/>
        <v>0</v>
      </c>
      <c r="BO21" s="11">
        <v>0</v>
      </c>
      <c r="BP21" s="11">
        <f t="shared" ref="BP21" si="24">AV21+AB21+H21</f>
        <v>0</v>
      </c>
      <c r="BQ21" s="11">
        <v>0</v>
      </c>
      <c r="BR21" s="1">
        <f t="shared" ref="BR21" si="25">AX21+AD21+J21</f>
        <v>0</v>
      </c>
      <c r="BS21" s="3">
        <v>0</v>
      </c>
      <c r="BT21" s="97">
        <f t="shared" si="20"/>
        <v>0</v>
      </c>
      <c r="BU21" s="101">
        <v>0</v>
      </c>
      <c r="BV21" s="18">
        <f>(MAX(0,BB21)+MAX(0,AH21)+MAX(0,N21))*1.1</f>
        <v>0</v>
      </c>
      <c r="BW21" s="26">
        <v>0</v>
      </c>
      <c r="BX21" s="18">
        <f t="shared" si="23"/>
        <v>0</v>
      </c>
      <c r="BY21" s="19">
        <v>0</v>
      </c>
      <c r="BZ21" s="11">
        <f t="shared" ref="BZ21" si="26">BF21+AL21+R21</f>
        <v>0</v>
      </c>
      <c r="CA21" s="12">
        <v>0</v>
      </c>
    </row>
    <row r="22" spans="1:79" x14ac:dyDescent="0.25">
      <c r="A22" s="64" t="s">
        <v>42</v>
      </c>
      <c r="B22" s="1">
        <f>B19+B20+B21</f>
        <v>6800</v>
      </c>
      <c r="C22" s="47"/>
      <c r="D22" s="13" t="s">
        <v>12</v>
      </c>
      <c r="E22" s="4" t="s">
        <v>12</v>
      </c>
      <c r="F22" s="11">
        <f>F19+F20+F21</f>
        <v>800</v>
      </c>
      <c r="G22" s="4" t="s">
        <v>12</v>
      </c>
      <c r="H22" s="1">
        <f t="shared" ref="H22" si="27">H19+H20+H21</f>
        <v>1000</v>
      </c>
      <c r="I22" s="4" t="s">
        <v>12</v>
      </c>
      <c r="J22" s="11">
        <f t="shared" ref="J22" si="28">J19+J20+J21</f>
        <v>1000</v>
      </c>
      <c r="K22" s="4" t="s">
        <v>12</v>
      </c>
      <c r="L22" s="97">
        <f t="shared" ref="L22" si="29">L19+L20+L21</f>
        <v>1000</v>
      </c>
      <c r="M22" s="101" t="s">
        <v>12</v>
      </c>
      <c r="N22" s="18">
        <f t="shared" ref="N22" si="30">N19+N20+N21</f>
        <v>900</v>
      </c>
      <c r="O22" s="26" t="s">
        <v>12</v>
      </c>
      <c r="P22" s="18">
        <f t="shared" si="14"/>
        <v>1900</v>
      </c>
      <c r="Q22" s="26" t="s">
        <v>12</v>
      </c>
      <c r="R22" s="11">
        <f>R19+R20+R21</f>
        <v>2000</v>
      </c>
      <c r="S22" s="28" t="s">
        <v>12</v>
      </c>
      <c r="U22" s="64" t="s">
        <v>42</v>
      </c>
      <c r="V22" s="1">
        <f>V19+V20+V21</f>
        <v>6850</v>
      </c>
      <c r="W22" s="47" t="s">
        <v>12</v>
      </c>
      <c r="X22" s="13" t="s">
        <v>12</v>
      </c>
      <c r="Y22" s="4" t="s">
        <v>12</v>
      </c>
      <c r="Z22" s="11">
        <f>Z19+Z20+Z21</f>
        <v>800</v>
      </c>
      <c r="AA22" s="4" t="s">
        <v>12</v>
      </c>
      <c r="AB22" s="11">
        <f t="shared" ref="AB22" si="31">AB19+AB20+AB21</f>
        <v>1000</v>
      </c>
      <c r="AC22" s="4" t="s">
        <v>12</v>
      </c>
      <c r="AD22" s="11">
        <f t="shared" ref="AD22" si="32">AD19+AD20+AD21</f>
        <v>1000</v>
      </c>
      <c r="AE22" s="4" t="s">
        <v>12</v>
      </c>
      <c r="AF22" s="18">
        <f t="shared" ref="AF22" si="33">AF19+AF20+AF21</f>
        <v>900</v>
      </c>
      <c r="AG22" s="26" t="s">
        <v>12</v>
      </c>
      <c r="AH22" s="97">
        <f t="shared" ref="AH22" si="34">AH19+AH20+AH21</f>
        <v>900</v>
      </c>
      <c r="AI22" s="26" t="s">
        <v>12</v>
      </c>
      <c r="AJ22" s="18">
        <f t="shared" si="15"/>
        <v>1800</v>
      </c>
      <c r="AK22" s="26" t="s">
        <v>12</v>
      </c>
      <c r="AL22" s="11">
        <f>AL19+AL20+AL21</f>
        <v>2000</v>
      </c>
      <c r="AM22" s="28" t="s">
        <v>12</v>
      </c>
      <c r="AO22" s="64" t="s">
        <v>42</v>
      </c>
      <c r="AP22" s="1">
        <f>AP19+AP20+AP21</f>
        <v>6402.5</v>
      </c>
      <c r="AQ22" s="4" t="s">
        <v>12</v>
      </c>
      <c r="AR22" s="13" t="s">
        <v>12</v>
      </c>
      <c r="AS22" s="4" t="s">
        <v>12</v>
      </c>
      <c r="AT22" s="1">
        <f>AT19+AT20+AT21</f>
        <v>800</v>
      </c>
      <c r="AU22" s="47" t="s">
        <v>12</v>
      </c>
      <c r="AV22" s="1">
        <f>AV19+AV20+AV21</f>
        <v>1000</v>
      </c>
      <c r="AW22" s="4" t="s">
        <v>12</v>
      </c>
      <c r="AX22" s="1">
        <f>AX19+AX20+AX21</f>
        <v>1000</v>
      </c>
      <c r="AY22" s="4" t="s">
        <v>12</v>
      </c>
      <c r="AZ22" s="18">
        <f>AZ19+AZ20+AZ21</f>
        <v>1000</v>
      </c>
      <c r="BA22" s="101" t="s">
        <v>12</v>
      </c>
      <c r="BB22" s="18">
        <f>BB19+BB20+BB21</f>
        <v>900</v>
      </c>
      <c r="BC22" s="26" t="s">
        <v>12</v>
      </c>
      <c r="BD22" s="18">
        <f t="shared" si="16"/>
        <v>1900</v>
      </c>
      <c r="BE22" s="26" t="s">
        <v>12</v>
      </c>
      <c r="BF22" s="1">
        <f>BF19+BF20+BF21</f>
        <v>2000</v>
      </c>
      <c r="BG22" s="28" t="s">
        <v>12</v>
      </c>
      <c r="BI22" s="64" t="s">
        <v>60</v>
      </c>
      <c r="BJ22" s="1">
        <f>BJ19+BJ20</f>
        <v>20350</v>
      </c>
      <c r="BK22" s="4" t="s">
        <v>12</v>
      </c>
      <c r="BL22" s="27">
        <f>BL20+BL21</f>
        <v>52.5</v>
      </c>
      <c r="BM22" s="4" t="s">
        <v>12</v>
      </c>
      <c r="BN22" s="11">
        <f>BN19+BN20+BN21</f>
        <v>2400</v>
      </c>
      <c r="BO22" s="47" t="s">
        <v>12</v>
      </c>
      <c r="BP22" s="1">
        <f>BP19+BP20</f>
        <v>3000</v>
      </c>
      <c r="BQ22" s="47" t="s">
        <v>12</v>
      </c>
      <c r="BR22" s="1">
        <f>BR19+BR20</f>
        <v>3000</v>
      </c>
      <c r="BS22" s="4" t="s">
        <v>12</v>
      </c>
      <c r="BT22" s="97">
        <f>BT19+BT20+BT21</f>
        <v>2900</v>
      </c>
      <c r="BU22" s="101" t="s">
        <v>12</v>
      </c>
      <c r="BV22" s="18">
        <f>BV19+BV20</f>
        <v>2700</v>
      </c>
      <c r="BW22" s="26" t="s">
        <v>12</v>
      </c>
      <c r="BX22" s="18">
        <f>BT22+BV22</f>
        <v>5600</v>
      </c>
      <c r="BY22" s="26" t="s">
        <v>12</v>
      </c>
      <c r="BZ22" s="11">
        <f>BZ19+BZ20</f>
        <v>6000</v>
      </c>
      <c r="CA22" s="28" t="s">
        <v>12</v>
      </c>
    </row>
    <row r="23" spans="1:79" x14ac:dyDescent="0.25">
      <c r="A23" s="5" t="s">
        <v>25</v>
      </c>
      <c r="B23" s="13" t="s">
        <v>12</v>
      </c>
      <c r="C23" s="47" t="s">
        <v>12</v>
      </c>
      <c r="D23" s="13" t="s">
        <v>12</v>
      </c>
      <c r="E23" s="47" t="s">
        <v>12</v>
      </c>
      <c r="F23" s="46">
        <f>F22-F17</f>
        <v>-300</v>
      </c>
      <c r="G23" s="102" t="s">
        <v>12</v>
      </c>
      <c r="H23" s="27">
        <f>H22-H17</f>
        <v>-100</v>
      </c>
      <c r="I23" s="32" t="s">
        <v>12</v>
      </c>
      <c r="J23" s="46">
        <f>J22-J17</f>
        <v>600</v>
      </c>
      <c r="K23" s="102" t="s">
        <v>12</v>
      </c>
      <c r="L23" s="23">
        <f>L22-L17</f>
        <v>600</v>
      </c>
      <c r="M23" s="103" t="s">
        <v>12</v>
      </c>
      <c r="N23" s="23">
        <f>N22-N17</f>
        <v>-100</v>
      </c>
      <c r="O23" s="30" t="s">
        <v>12</v>
      </c>
      <c r="P23" s="23">
        <f t="shared" si="14"/>
        <v>500</v>
      </c>
      <c r="Q23" s="26" t="s">
        <v>12</v>
      </c>
      <c r="R23" s="46">
        <f>R22-R17</f>
        <v>-100</v>
      </c>
      <c r="S23" s="28" t="s">
        <v>12</v>
      </c>
      <c r="U23" s="5" t="s">
        <v>25</v>
      </c>
      <c r="V23" s="13" t="s">
        <v>12</v>
      </c>
      <c r="W23" s="47" t="s">
        <v>12</v>
      </c>
      <c r="X23" s="13" t="s">
        <v>12</v>
      </c>
      <c r="Y23" s="4" t="s">
        <v>12</v>
      </c>
      <c r="Z23" s="46">
        <f>Z22-Z17</f>
        <v>-600</v>
      </c>
      <c r="AA23" s="102" t="s">
        <v>12</v>
      </c>
      <c r="AB23" s="27">
        <f>AB22-AB17</f>
        <v>-200</v>
      </c>
      <c r="AC23" s="32" t="s">
        <v>12</v>
      </c>
      <c r="AD23" s="46">
        <f>AD22-AD17</f>
        <v>500</v>
      </c>
      <c r="AE23" s="102" t="s">
        <v>12</v>
      </c>
      <c r="AF23" s="23">
        <f>AF22-AF17</f>
        <v>200</v>
      </c>
      <c r="AG23" s="30" t="s">
        <v>12</v>
      </c>
      <c r="AH23" s="104">
        <f>AH22-AH17</f>
        <v>100</v>
      </c>
      <c r="AI23" s="103" t="s">
        <v>12</v>
      </c>
      <c r="AJ23" s="23">
        <f t="shared" si="15"/>
        <v>300</v>
      </c>
      <c r="AK23" s="30" t="s">
        <v>12</v>
      </c>
      <c r="AL23" s="46">
        <f>AL22-AL17</f>
        <v>900</v>
      </c>
      <c r="AM23" s="28" t="s">
        <v>12</v>
      </c>
      <c r="AO23" s="5" t="s">
        <v>25</v>
      </c>
      <c r="AP23" s="13" t="s">
        <v>12</v>
      </c>
      <c r="AQ23" s="4" t="s">
        <v>12</v>
      </c>
      <c r="AR23" s="13" t="s">
        <v>12</v>
      </c>
      <c r="AS23" s="4" t="s">
        <v>12</v>
      </c>
      <c r="AT23" s="46">
        <f>AT22-AT17</f>
        <v>100</v>
      </c>
      <c r="AU23" s="102" t="s">
        <v>12</v>
      </c>
      <c r="AV23" s="27">
        <f>AV22-AV17</f>
        <v>200</v>
      </c>
      <c r="AW23" s="32" t="s">
        <v>12</v>
      </c>
      <c r="AX23" s="46">
        <f>AX22-AX17</f>
        <v>750</v>
      </c>
      <c r="AY23" s="102" t="s">
        <v>12</v>
      </c>
      <c r="AZ23" s="23">
        <f>AZ22-AZ17</f>
        <v>900</v>
      </c>
      <c r="BA23" s="103" t="s">
        <v>12</v>
      </c>
      <c r="BB23" s="23">
        <f>BB22-BB17</f>
        <v>350</v>
      </c>
      <c r="BC23" s="30" t="s">
        <v>12</v>
      </c>
      <c r="BD23" s="23">
        <f t="shared" si="16"/>
        <v>1250</v>
      </c>
      <c r="BE23" s="30" t="s">
        <v>12</v>
      </c>
      <c r="BF23" s="46">
        <f>BF22-BF17</f>
        <v>-200</v>
      </c>
      <c r="BG23" s="28" t="s">
        <v>12</v>
      </c>
      <c r="BI23" s="5" t="s">
        <v>25</v>
      </c>
      <c r="BJ23" s="13" t="s">
        <v>12</v>
      </c>
      <c r="BK23" s="4" t="s">
        <v>12</v>
      </c>
      <c r="BL23" s="13" t="s">
        <v>12</v>
      </c>
      <c r="BM23" s="4" t="s">
        <v>12</v>
      </c>
      <c r="BN23" s="46">
        <f>BN22-BN17</f>
        <v>-800</v>
      </c>
      <c r="BO23" s="102" t="s">
        <v>12</v>
      </c>
      <c r="BP23" s="27">
        <f>BP22-BP17</f>
        <v>-100</v>
      </c>
      <c r="BQ23" s="46" t="s">
        <v>12</v>
      </c>
      <c r="BR23" s="27">
        <f>BR22-BR17</f>
        <v>1850</v>
      </c>
      <c r="BS23" s="32" t="s">
        <v>12</v>
      </c>
      <c r="BT23" s="104">
        <f>BT22-BT17</f>
        <v>1700</v>
      </c>
      <c r="BU23" s="26" t="s">
        <v>12</v>
      </c>
      <c r="BV23" s="23">
        <f>BV22-BV17</f>
        <v>350</v>
      </c>
      <c r="BW23" s="26" t="s">
        <v>12</v>
      </c>
      <c r="BX23" s="23">
        <f>BT23+BV23</f>
        <v>2050</v>
      </c>
      <c r="BY23" s="26" t="s">
        <v>12</v>
      </c>
      <c r="BZ23" s="46">
        <f>BZ22-BZ17</f>
        <v>600</v>
      </c>
      <c r="CA23" s="28" t="s">
        <v>12</v>
      </c>
    </row>
    <row r="24" spans="1:79" x14ac:dyDescent="0.25">
      <c r="A24" s="143" t="s">
        <v>78</v>
      </c>
      <c r="B24" s="13" t="s">
        <v>12</v>
      </c>
      <c r="C24" s="47" t="s">
        <v>12</v>
      </c>
      <c r="D24" s="13" t="s">
        <v>12</v>
      </c>
      <c r="E24" s="47" t="s">
        <v>12</v>
      </c>
      <c r="F24" s="13" t="s">
        <v>12</v>
      </c>
      <c r="G24" s="47" t="s">
        <v>12</v>
      </c>
      <c r="H24" s="13" t="s">
        <v>12</v>
      </c>
      <c r="I24" s="47" t="s">
        <v>12</v>
      </c>
      <c r="J24" s="13" t="s">
        <v>12</v>
      </c>
      <c r="K24" s="47" t="s">
        <v>12</v>
      </c>
      <c r="L24" s="140">
        <v>0</v>
      </c>
      <c r="M24" s="103">
        <f>L24*$B$3</f>
        <v>0</v>
      </c>
      <c r="N24" s="140">
        <v>0</v>
      </c>
      <c r="O24" s="103">
        <f>N24*$B$3</f>
        <v>0</v>
      </c>
      <c r="P24" s="23">
        <f t="shared" si="14"/>
        <v>0</v>
      </c>
      <c r="Q24" s="93">
        <f>M24+O24</f>
        <v>0</v>
      </c>
      <c r="R24" s="47" t="s">
        <v>12</v>
      </c>
      <c r="S24" s="28" t="s">
        <v>12</v>
      </c>
      <c r="U24" s="143" t="s">
        <v>78</v>
      </c>
      <c r="V24" s="13" t="s">
        <v>12</v>
      </c>
      <c r="W24" s="47" t="s">
        <v>12</v>
      </c>
      <c r="X24" s="13" t="s">
        <v>12</v>
      </c>
      <c r="Y24" s="4" t="s">
        <v>12</v>
      </c>
      <c r="Z24" s="13" t="s">
        <v>12</v>
      </c>
      <c r="AA24" s="4" t="s">
        <v>12</v>
      </c>
      <c r="AB24" s="13" t="s">
        <v>12</v>
      </c>
      <c r="AC24" s="4" t="s">
        <v>12</v>
      </c>
      <c r="AD24" s="13" t="s">
        <v>12</v>
      </c>
      <c r="AE24" s="4" t="s">
        <v>12</v>
      </c>
      <c r="AF24" s="140">
        <v>50</v>
      </c>
      <c r="AG24" s="142">
        <f>AF24*$B$3</f>
        <v>0</v>
      </c>
      <c r="AH24" s="141">
        <v>50</v>
      </c>
      <c r="AI24" s="142">
        <f>AH24*$B$3</f>
        <v>0</v>
      </c>
      <c r="AJ24" s="23">
        <f t="shared" si="15"/>
        <v>100</v>
      </c>
      <c r="AK24" s="23">
        <f>AG24+AI24</f>
        <v>0</v>
      </c>
      <c r="AL24" s="47" t="s">
        <v>12</v>
      </c>
      <c r="AM24" s="28" t="s">
        <v>12</v>
      </c>
      <c r="AO24" s="143" t="s">
        <v>78</v>
      </c>
      <c r="AP24" s="13" t="s">
        <v>12</v>
      </c>
      <c r="AQ24" s="4" t="s">
        <v>12</v>
      </c>
      <c r="AR24" s="13" t="s">
        <v>12</v>
      </c>
      <c r="AS24" s="4" t="s">
        <v>12</v>
      </c>
      <c r="AT24" s="47" t="s">
        <v>12</v>
      </c>
      <c r="AU24" s="47" t="s">
        <v>12</v>
      </c>
      <c r="AV24" s="13" t="s">
        <v>12</v>
      </c>
      <c r="AW24" s="47" t="s">
        <v>12</v>
      </c>
      <c r="AX24" s="13" t="s">
        <v>12</v>
      </c>
      <c r="AY24" s="47" t="s">
        <v>12</v>
      </c>
      <c r="AZ24" s="140">
        <v>0</v>
      </c>
      <c r="BA24" s="142">
        <f>AZ24*$B$3</f>
        <v>0</v>
      </c>
      <c r="BB24" s="140">
        <v>0</v>
      </c>
      <c r="BC24" s="141">
        <f>BB24*$B$3</f>
        <v>0</v>
      </c>
      <c r="BD24" s="23">
        <f t="shared" si="16"/>
        <v>0</v>
      </c>
      <c r="BE24" s="104">
        <f>BA24+BC24</f>
        <v>0</v>
      </c>
      <c r="BF24" s="47" t="s">
        <v>12</v>
      </c>
      <c r="BG24" s="28" t="s">
        <v>12</v>
      </c>
      <c r="BI24" s="143" t="s">
        <v>78</v>
      </c>
      <c r="BJ24" s="13" t="s">
        <v>12</v>
      </c>
      <c r="BK24" s="4" t="s">
        <v>12</v>
      </c>
      <c r="BL24" s="13" t="s">
        <v>12</v>
      </c>
      <c r="BM24" s="4" t="s">
        <v>12</v>
      </c>
      <c r="BN24" s="47" t="s">
        <v>12</v>
      </c>
      <c r="BO24" s="47" t="s">
        <v>12</v>
      </c>
      <c r="BP24" s="13" t="s">
        <v>12</v>
      </c>
      <c r="BQ24" s="47" t="s">
        <v>12</v>
      </c>
      <c r="BR24" s="13" t="s">
        <v>12</v>
      </c>
      <c r="BS24" s="4" t="s">
        <v>12</v>
      </c>
      <c r="BT24" s="141">
        <v>0</v>
      </c>
      <c r="BU24" s="93">
        <f>BT24*$B$3</f>
        <v>0</v>
      </c>
      <c r="BV24" s="140">
        <v>0</v>
      </c>
      <c r="BW24" s="93">
        <f>BV24*$B$3</f>
        <v>0</v>
      </c>
      <c r="BX24" s="23">
        <f>BT24+BV24</f>
        <v>0</v>
      </c>
      <c r="BY24" s="23">
        <f>BU24+BW24</f>
        <v>0</v>
      </c>
      <c r="BZ24" s="47" t="s">
        <v>12</v>
      </c>
      <c r="CA24" s="28" t="s">
        <v>12</v>
      </c>
    </row>
    <row r="25" spans="1:79" x14ac:dyDescent="0.25">
      <c r="A25" s="143" t="s">
        <v>80</v>
      </c>
      <c r="B25" s="13" t="s">
        <v>12</v>
      </c>
      <c r="C25" s="47" t="s">
        <v>12</v>
      </c>
      <c r="D25" s="13" t="s">
        <v>12</v>
      </c>
      <c r="E25" s="47" t="s">
        <v>12</v>
      </c>
      <c r="F25" s="13" t="s">
        <v>12</v>
      </c>
      <c r="G25" s="47" t="s">
        <v>12</v>
      </c>
      <c r="H25" s="13" t="s">
        <v>12</v>
      </c>
      <c r="I25" s="47" t="s">
        <v>12</v>
      </c>
      <c r="J25" s="13" t="s">
        <v>12</v>
      </c>
      <c r="K25" s="47" t="s">
        <v>12</v>
      </c>
      <c r="L25" s="23">
        <f>L23-L24</f>
        <v>600</v>
      </c>
      <c r="M25" s="26" t="s">
        <v>12</v>
      </c>
      <c r="N25" s="23">
        <f>N23-N24</f>
        <v>-100</v>
      </c>
      <c r="O25" s="26" t="s">
        <v>12</v>
      </c>
      <c r="P25" s="23">
        <f t="shared" si="14"/>
        <v>500</v>
      </c>
      <c r="Q25" s="26" t="s">
        <v>12</v>
      </c>
      <c r="R25" s="47" t="s">
        <v>12</v>
      </c>
      <c r="S25" s="28" t="s">
        <v>12</v>
      </c>
      <c r="U25" s="143" t="s">
        <v>80</v>
      </c>
      <c r="V25" s="13" t="s">
        <v>12</v>
      </c>
      <c r="W25" s="47" t="s">
        <v>12</v>
      </c>
      <c r="X25" s="13" t="s">
        <v>12</v>
      </c>
      <c r="Y25" s="47" t="s">
        <v>12</v>
      </c>
      <c r="Z25" s="13" t="s">
        <v>12</v>
      </c>
      <c r="AA25" s="47" t="s">
        <v>12</v>
      </c>
      <c r="AB25" s="13" t="s">
        <v>12</v>
      </c>
      <c r="AC25" s="47" t="s">
        <v>12</v>
      </c>
      <c r="AD25" s="13" t="s">
        <v>12</v>
      </c>
      <c r="AE25" s="47" t="s">
        <v>12</v>
      </c>
      <c r="AF25" s="23">
        <f>AF23-AF24</f>
        <v>150</v>
      </c>
      <c r="AG25" s="26" t="s">
        <v>12</v>
      </c>
      <c r="AH25" s="23">
        <f>AH23-AH24</f>
        <v>50</v>
      </c>
      <c r="AI25" s="26" t="s">
        <v>12</v>
      </c>
      <c r="AJ25" s="23">
        <f t="shared" si="15"/>
        <v>200</v>
      </c>
      <c r="AK25" s="26" t="s">
        <v>12</v>
      </c>
      <c r="AL25" s="47" t="s">
        <v>12</v>
      </c>
      <c r="AM25" s="28" t="s">
        <v>12</v>
      </c>
      <c r="AO25" s="143" t="s">
        <v>80</v>
      </c>
      <c r="AP25" s="13" t="s">
        <v>12</v>
      </c>
      <c r="AQ25" s="4" t="s">
        <v>12</v>
      </c>
      <c r="AR25" s="13" t="s">
        <v>12</v>
      </c>
      <c r="AS25" s="4" t="s">
        <v>12</v>
      </c>
      <c r="AT25" s="47" t="s">
        <v>12</v>
      </c>
      <c r="AU25" s="47" t="s">
        <v>12</v>
      </c>
      <c r="AV25" s="13" t="s">
        <v>12</v>
      </c>
      <c r="AW25" s="47" t="s">
        <v>12</v>
      </c>
      <c r="AX25" s="13" t="s">
        <v>12</v>
      </c>
      <c r="AY25" s="47" t="s">
        <v>12</v>
      </c>
      <c r="AZ25" s="23">
        <f>AZ23-AZ24</f>
        <v>900</v>
      </c>
      <c r="BA25" s="26" t="s">
        <v>12</v>
      </c>
      <c r="BB25" s="23">
        <f>BB23-BB24</f>
        <v>350</v>
      </c>
      <c r="BC25" s="26" t="s">
        <v>12</v>
      </c>
      <c r="BD25" s="23">
        <f t="shared" si="16"/>
        <v>1250</v>
      </c>
      <c r="BE25" s="26" t="s">
        <v>12</v>
      </c>
      <c r="BF25" s="47" t="s">
        <v>12</v>
      </c>
      <c r="BG25" s="28" t="s">
        <v>12</v>
      </c>
      <c r="BI25" s="143" t="s">
        <v>80</v>
      </c>
      <c r="BJ25" s="13" t="s">
        <v>12</v>
      </c>
      <c r="BK25" s="4" t="s">
        <v>12</v>
      </c>
      <c r="BL25" s="13" t="s">
        <v>12</v>
      </c>
      <c r="BM25" s="4" t="s">
        <v>12</v>
      </c>
      <c r="BN25" s="47" t="s">
        <v>12</v>
      </c>
      <c r="BO25" s="47" t="s">
        <v>12</v>
      </c>
      <c r="BP25" s="13" t="s">
        <v>12</v>
      </c>
      <c r="BQ25" s="47" t="s">
        <v>12</v>
      </c>
      <c r="BR25" s="13" t="s">
        <v>12</v>
      </c>
      <c r="BS25" s="4" t="s">
        <v>12</v>
      </c>
      <c r="BT25" s="23">
        <f>BT23-BT24</f>
        <v>1700</v>
      </c>
      <c r="BU25" s="26" t="s">
        <v>12</v>
      </c>
      <c r="BV25" s="23">
        <f>BV23-BV24</f>
        <v>350</v>
      </c>
      <c r="BW25" s="26" t="s">
        <v>12</v>
      </c>
      <c r="BX25" s="23">
        <f>BT25+BV25</f>
        <v>2050</v>
      </c>
      <c r="BY25" s="26" t="s">
        <v>12</v>
      </c>
      <c r="BZ25" s="47" t="s">
        <v>12</v>
      </c>
      <c r="CA25" s="28" t="s">
        <v>12</v>
      </c>
    </row>
    <row r="26" spans="1:79" ht="13.5" customHeight="1" x14ac:dyDescent="0.25">
      <c r="A26" s="5" t="s">
        <v>26</v>
      </c>
      <c r="B26" s="13" t="s">
        <v>12</v>
      </c>
      <c r="C26" s="47" t="s">
        <v>12</v>
      </c>
      <c r="D26" s="13" t="s">
        <v>12</v>
      </c>
      <c r="E26" s="4" t="s">
        <v>12</v>
      </c>
      <c r="F26" s="47" t="s">
        <v>12</v>
      </c>
      <c r="G26" s="47" t="s">
        <v>12</v>
      </c>
      <c r="H26" s="13" t="s">
        <v>12</v>
      </c>
      <c r="I26" s="4" t="s">
        <v>12</v>
      </c>
      <c r="J26" s="47" t="s">
        <v>12</v>
      </c>
      <c r="K26" s="47" t="s">
        <v>12</v>
      </c>
      <c r="L26" s="23">
        <f>IF(AND(L25&lt;0,N25&gt;0),-MIN(-L25,N25),IF(AND(L25&gt;0,N25&lt;0),MIN(L25,-N25), 0))</f>
        <v>100</v>
      </c>
      <c r="M26" s="19">
        <f>IF(L26&gt;0,L26*O18,IF(L26&lt;0, L26*M18,0))</f>
        <v>27</v>
      </c>
      <c r="N26" s="104">
        <f>IF(AND(N25&lt;0,L25&gt;0),-MIN(-N25,L25),IF(AND(N25&gt;0,L25&lt;0),MIN(N25,-L25), 0))</f>
        <v>-100</v>
      </c>
      <c r="O26" s="97">
        <f>IF(N26&gt;0,N26*M18,IF(N26&lt;0, N26*O18,0))</f>
        <v>-27</v>
      </c>
      <c r="P26" s="29" t="s">
        <v>12</v>
      </c>
      <c r="Q26" s="26" t="s">
        <v>12</v>
      </c>
      <c r="R26" s="47" t="s">
        <v>12</v>
      </c>
      <c r="S26" s="28" t="s">
        <v>12</v>
      </c>
      <c r="U26" s="5" t="s">
        <v>79</v>
      </c>
      <c r="V26" s="13" t="s">
        <v>12</v>
      </c>
      <c r="W26" s="47" t="s">
        <v>12</v>
      </c>
      <c r="X26" s="13" t="s">
        <v>12</v>
      </c>
      <c r="Y26" s="4" t="s">
        <v>12</v>
      </c>
      <c r="Z26" s="47" t="s">
        <v>12</v>
      </c>
      <c r="AA26" s="47" t="s">
        <v>12</v>
      </c>
      <c r="AB26" s="13" t="s">
        <v>12</v>
      </c>
      <c r="AC26" s="4" t="s">
        <v>12</v>
      </c>
      <c r="AD26" s="47" t="s">
        <v>12</v>
      </c>
      <c r="AE26" s="47" t="s">
        <v>12</v>
      </c>
      <c r="AF26" s="23">
        <f>IF(AND(AF25&lt;0,AH25&gt;0),-MIN(-AF25,AH25),IF(AND(AF25&gt;0,AH25&lt;0),MIN(AF25,-AH25), 0))</f>
        <v>0</v>
      </c>
      <c r="AG26" s="19">
        <f>IF(AF26&gt;0,AF26*AI18,IF(AF26&lt;0, AF26*AG18,0))</f>
        <v>0</v>
      </c>
      <c r="AH26" s="104">
        <f>IF(AND(AH25&lt;0,AF25&gt;0),-MIN(-AH25,AF25),IF(AND(AH25&gt;0,AF25&lt;0),MIN(AH25,-AF25), 0))</f>
        <v>0</v>
      </c>
      <c r="AI26" s="97">
        <f>IF(AH26&gt;0,AH26*AG18,IF(AH26&lt;0, AH26*AI18,0))</f>
        <v>0</v>
      </c>
      <c r="AJ26" s="29" t="s">
        <v>12</v>
      </c>
      <c r="AK26" s="26" t="s">
        <v>12</v>
      </c>
      <c r="AL26" s="47" t="s">
        <v>12</v>
      </c>
      <c r="AM26" s="28" t="s">
        <v>12</v>
      </c>
      <c r="AO26" s="5" t="s">
        <v>26</v>
      </c>
      <c r="AP26" s="13" t="s">
        <v>12</v>
      </c>
      <c r="AQ26" s="4" t="s">
        <v>12</v>
      </c>
      <c r="AR26" s="13" t="s">
        <v>12</v>
      </c>
      <c r="AS26" s="4" t="s">
        <v>12</v>
      </c>
      <c r="AT26" s="47" t="s">
        <v>12</v>
      </c>
      <c r="AU26" s="47" t="s">
        <v>12</v>
      </c>
      <c r="AV26" s="13" t="s">
        <v>12</v>
      </c>
      <c r="AW26" s="4" t="s">
        <v>12</v>
      </c>
      <c r="AX26" s="47" t="s">
        <v>12</v>
      </c>
      <c r="AY26" s="4" t="s">
        <v>12</v>
      </c>
      <c r="AZ26" s="23">
        <f>IF(AND(AZ25&lt;0,BB25&gt;0),-MIN(-AZ25,BB25),IF(AND(AZ25&gt;0,BB25&lt;0),MIN(AZ25,-BB25), 0))</f>
        <v>0</v>
      </c>
      <c r="BA26" s="19">
        <f>IF(AZ26&gt;0,AZ26*BC18,IF(AZ26&lt;0, AZ26*BA18,0))</f>
        <v>0</v>
      </c>
      <c r="BB26" s="104">
        <f>IF(AND(BB25&lt;0,AZ25&gt;0),-MIN(-BB25,AZ25),IF(AND(BB25&gt;0,AZ25&lt;0),MIN(BB25,-AZ25), 0))</f>
        <v>0</v>
      </c>
      <c r="BC26" s="97">
        <f>IF(BB26&gt;0,BB26*BA18,IF(BB26&lt;0, BB26*BC18,0))</f>
        <v>0</v>
      </c>
      <c r="BD26" s="29" t="s">
        <v>12</v>
      </c>
      <c r="BE26" s="26" t="s">
        <v>12</v>
      </c>
      <c r="BF26" s="47" t="s">
        <v>12</v>
      </c>
      <c r="BG26" s="28" t="s">
        <v>12</v>
      </c>
      <c r="BI26" s="5" t="s">
        <v>26</v>
      </c>
      <c r="BJ26" s="13" t="s">
        <v>12</v>
      </c>
      <c r="BK26" s="4" t="s">
        <v>12</v>
      </c>
      <c r="BL26" s="13" t="s">
        <v>12</v>
      </c>
      <c r="BM26" s="4" t="s">
        <v>12</v>
      </c>
      <c r="BN26" s="47" t="s">
        <v>12</v>
      </c>
      <c r="BO26" s="47" t="s">
        <v>12</v>
      </c>
      <c r="BP26" s="13" t="s">
        <v>12</v>
      </c>
      <c r="BQ26" s="47" t="s">
        <v>12</v>
      </c>
      <c r="BR26" s="13" t="s">
        <v>12</v>
      </c>
      <c r="BS26" s="4" t="s">
        <v>12</v>
      </c>
      <c r="BT26" s="23">
        <f>IF(AND(BT25&lt;0,BV25&gt;0),-MIN(-BT25,BV25),IF(AND(BT25&gt;0,BV25&lt;0),MIN(BT25,-BV25), 0))</f>
        <v>0</v>
      </c>
      <c r="BU26" s="19">
        <f>IF(BT26&gt;0,BT26*BW18,IF(BT26&lt;0, BT26*BU18,0))</f>
        <v>0</v>
      </c>
      <c r="BV26" s="104">
        <f>IF(AND(BV25&lt;0,BT25&gt;0),-MIN(-BV25,BT25),IF(AND(BV25&gt;0,BT25&lt;0),MIN(BV25,-BT25), 0))</f>
        <v>0</v>
      </c>
      <c r="BW26" s="97">
        <f>IF(BV26&gt;0,BV26*BU18,IF(BV26&lt;0, BV26*BW18,0))</f>
        <v>0</v>
      </c>
      <c r="BX26" s="29" t="s">
        <v>12</v>
      </c>
      <c r="BY26" s="26" t="s">
        <v>12</v>
      </c>
      <c r="BZ26" s="47" t="s">
        <v>12</v>
      </c>
      <c r="CA26" s="28" t="s">
        <v>12</v>
      </c>
    </row>
    <row r="27" spans="1:79" x14ac:dyDescent="0.25">
      <c r="A27" s="5" t="s">
        <v>51</v>
      </c>
      <c r="B27" s="145" t="s">
        <v>12</v>
      </c>
      <c r="C27" s="47" t="s">
        <v>12</v>
      </c>
      <c r="D27" s="95">
        <f>D20</f>
        <v>100</v>
      </c>
      <c r="E27" s="32">
        <f>D27*C36</f>
        <v>45.759379509379514</v>
      </c>
      <c r="F27" s="11">
        <f>F23</f>
        <v>-300</v>
      </c>
      <c r="G27" s="11">
        <f>IF(F27&gt;0,F$27*C$36,F27*G18)</f>
        <v>-133.63636363636363</v>
      </c>
      <c r="H27" s="1">
        <f>H23</f>
        <v>-100</v>
      </c>
      <c r="I27" s="3">
        <f>IF(H27&gt;0,H27*C36,H27*$B$2)</f>
        <v>-45</v>
      </c>
      <c r="J27" s="11">
        <f>J23</f>
        <v>600</v>
      </c>
      <c r="K27" s="11">
        <f>IF(J27&gt;0,J27*C36,J27*K18)</f>
        <v>274.55627705627705</v>
      </c>
      <c r="L27" s="18">
        <f>L25-L26</f>
        <v>500</v>
      </c>
      <c r="M27" s="19">
        <f>IF(L27&gt;0,L27*C$36,L27*M18)</f>
        <v>228.79689754689755</v>
      </c>
      <c r="N27" s="97">
        <f>N25-N26</f>
        <v>0</v>
      </c>
      <c r="O27" s="97">
        <f>IF(N27&gt;0,N27*C$36,N27*O18)</f>
        <v>0</v>
      </c>
      <c r="P27" s="18">
        <f>L27+N27</f>
        <v>500</v>
      </c>
      <c r="Q27" s="19">
        <f>M27+O27</f>
        <v>228.79689754689755</v>
      </c>
      <c r="R27" s="11">
        <f>R23</f>
        <v>-100</v>
      </c>
      <c r="S27" s="12">
        <f>IF(R27&gt;0,R27*C36,R27*S18)</f>
        <v>-55.476190476190482</v>
      </c>
      <c r="T27" s="9"/>
      <c r="U27" s="5" t="s">
        <v>51</v>
      </c>
      <c r="V27" s="13" t="s">
        <v>12</v>
      </c>
      <c r="W27" s="4" t="s">
        <v>12</v>
      </c>
      <c r="X27" s="95">
        <f>X20</f>
        <v>250</v>
      </c>
      <c r="Y27" s="32">
        <f>X27*W36</f>
        <v>67.905405405405403</v>
      </c>
      <c r="Z27" s="11">
        <f>Z23</f>
        <v>-600</v>
      </c>
      <c r="AA27" s="11">
        <f>IF(Z27&gt;0,Z$27*W$36,Z27*AA18)</f>
        <v>-210</v>
      </c>
      <c r="AB27" s="1">
        <f>AB23</f>
        <v>-200</v>
      </c>
      <c r="AC27" s="3">
        <f>IF(AB27&gt;0,AB27*W36,AB27*$B$2)</f>
        <v>-90</v>
      </c>
      <c r="AD27" s="11">
        <f>AD23</f>
        <v>500</v>
      </c>
      <c r="AE27" s="11">
        <f>IF(AD27&gt;0,AD27*W36,AD27*AE18)</f>
        <v>135.81081081081081</v>
      </c>
      <c r="AF27" s="18">
        <f>AF25-AF26</f>
        <v>150</v>
      </c>
      <c r="AG27" s="19">
        <f>IF(AF27&gt;0,AF27*W$36,AF27*AG18)</f>
        <v>40.743243243243242</v>
      </c>
      <c r="AH27" s="97">
        <f>AH25-AH26</f>
        <v>50</v>
      </c>
      <c r="AI27" s="97">
        <f>IF(AH27&gt;0,AH27*W$36,AH27*AI18)</f>
        <v>13.581081081081081</v>
      </c>
      <c r="AJ27" s="18">
        <f>AF27+AH27</f>
        <v>200</v>
      </c>
      <c r="AK27" s="19">
        <f>AG27+AI27</f>
        <v>54.324324324324323</v>
      </c>
      <c r="AL27" s="11">
        <f>AL23</f>
        <v>900</v>
      </c>
      <c r="AM27" s="12">
        <f>IF(AL27&gt;0,AL27*W36,AL27*AM18)</f>
        <v>244.45945945945945</v>
      </c>
      <c r="AO27" s="5" t="s">
        <v>51</v>
      </c>
      <c r="AP27" s="13" t="s">
        <v>12</v>
      </c>
      <c r="AQ27" s="4" t="s">
        <v>12</v>
      </c>
      <c r="AR27" s="95">
        <f>AR20</f>
        <v>0</v>
      </c>
      <c r="AS27" s="32">
        <f>AR27*W36</f>
        <v>0</v>
      </c>
      <c r="AT27" s="11">
        <f>AT23</f>
        <v>100</v>
      </c>
      <c r="AU27" s="11">
        <f>IF(AT27&gt;0,AT$27*AQ$36,AT27*AU18)</f>
        <v>45.643034126729773</v>
      </c>
      <c r="AV27" s="1">
        <f>AV23</f>
        <v>200</v>
      </c>
      <c r="AW27" s="3">
        <f>IF(AV27&gt;0,AV27*AQ36,AV27*$B$2)</f>
        <v>91.286068253459547</v>
      </c>
      <c r="AX27" s="11">
        <f>AX23</f>
        <v>750</v>
      </c>
      <c r="AY27" s="3">
        <f>IF(AX27&gt;0,AX27*AQ36,AX27*AY18)</f>
        <v>342.32275595047332</v>
      </c>
      <c r="AZ27" s="18">
        <f>AZ25-AZ26</f>
        <v>900</v>
      </c>
      <c r="BA27" s="19">
        <f>IF(AZ27&gt;0,AZ27*AQ$36,AZ27*BA18)</f>
        <v>410.78730714056798</v>
      </c>
      <c r="BB27" s="97">
        <f>BB25-BB26</f>
        <v>350</v>
      </c>
      <c r="BC27" s="97">
        <f>IF(BB27&gt;0,BB27*AQ$36,BB27*BC18)</f>
        <v>159.75061944355423</v>
      </c>
      <c r="BD27" s="18">
        <f>AZ27+BB27</f>
        <v>1250</v>
      </c>
      <c r="BE27" s="19">
        <f>BA27+BC27</f>
        <v>570.53792658412226</v>
      </c>
      <c r="BF27" s="11">
        <f>BF23</f>
        <v>-200</v>
      </c>
      <c r="BG27" s="12">
        <f>IF(BF27&gt;0,BF27*AQ36,BF27*BG18)</f>
        <v>-125</v>
      </c>
      <c r="BI27" s="5" t="s">
        <v>51</v>
      </c>
      <c r="BJ27" s="13" t="s">
        <v>12</v>
      </c>
      <c r="BK27" s="4" t="s">
        <v>12</v>
      </c>
      <c r="BL27" s="1">
        <f>AR27+X27+D27</f>
        <v>350</v>
      </c>
      <c r="BM27" s="3">
        <f>AS27+Y27+E27</f>
        <v>113.66478491478492</v>
      </c>
      <c r="BN27" s="11">
        <f>BN23</f>
        <v>-800</v>
      </c>
      <c r="BO27" s="11">
        <f>IF(BN27&gt;0,BN$27*BK$36,BN27*BO18)</f>
        <v>-378.75</v>
      </c>
      <c r="BP27" s="11">
        <f>BP23</f>
        <v>-100</v>
      </c>
      <c r="BQ27" s="11">
        <f>IF(BP27&gt;0,BP27*BK36,BP27*$B$2)</f>
        <v>-45</v>
      </c>
      <c r="BR27" s="1">
        <f>BR23</f>
        <v>1850</v>
      </c>
      <c r="BS27" s="3">
        <f>IF(BR27&gt;0,BR27*BK36,BR27*BS18)</f>
        <v>720.42083333333335</v>
      </c>
      <c r="BT27" s="18">
        <f>BT25-BT26</f>
        <v>1700</v>
      </c>
      <c r="BU27" s="19">
        <f>IF(BT27&gt;0,BT27*BK$36,BT27*BU18)</f>
        <v>662.00833333333333</v>
      </c>
      <c r="BV27" s="97">
        <f>BV25-BV26</f>
        <v>350</v>
      </c>
      <c r="BW27" s="97">
        <f>IF(BV27&gt;0,BV27*BK$36,BV27*BW18)</f>
        <v>136.29583333333335</v>
      </c>
      <c r="BX27" s="18">
        <f>BT27+BV27</f>
        <v>2050</v>
      </c>
      <c r="BY27" s="19">
        <f>BU27+BW27</f>
        <v>798.30416666666667</v>
      </c>
      <c r="BZ27" s="11">
        <f>BZ23</f>
        <v>600</v>
      </c>
      <c r="CA27" s="12">
        <f>IF(BZ27&gt;0,BZ27*BK36,BZ27*CA18)</f>
        <v>233.65</v>
      </c>
    </row>
    <row r="28" spans="1:79" ht="15.75" thickBot="1" x14ac:dyDescent="0.3">
      <c r="A28" s="72" t="s">
        <v>47</v>
      </c>
      <c r="B28" s="73">
        <f>B22</f>
        <v>6800</v>
      </c>
      <c r="C28" s="74">
        <f>C17</f>
        <v>2510</v>
      </c>
      <c r="D28" s="75" t="s">
        <v>12</v>
      </c>
      <c r="E28" s="76">
        <f>E20</f>
        <v>45.759379509379514</v>
      </c>
      <c r="F28" s="45">
        <f t="shared" ref="F28:K28" si="35">F17+F27</f>
        <v>800</v>
      </c>
      <c r="G28" s="45">
        <f t="shared" si="35"/>
        <v>356.36363636363637</v>
      </c>
      <c r="H28" s="77">
        <f t="shared" si="35"/>
        <v>1000</v>
      </c>
      <c r="I28" s="78">
        <f t="shared" si="35"/>
        <v>225</v>
      </c>
      <c r="J28" s="45">
        <f t="shared" si="35"/>
        <v>1000</v>
      </c>
      <c r="K28" s="45">
        <f t="shared" si="35"/>
        <v>274.55627705627705</v>
      </c>
      <c r="L28" s="90">
        <f>L17+L26+L27</f>
        <v>1000</v>
      </c>
      <c r="M28" s="90">
        <f>M17+M26+M27</f>
        <v>255.79689754689755</v>
      </c>
      <c r="N28" s="90">
        <f>N17+N26+N27</f>
        <v>900</v>
      </c>
      <c r="O28" s="91">
        <f>O17++O26+O27</f>
        <v>243</v>
      </c>
      <c r="P28" s="90">
        <f>P17+P27</f>
        <v>1900</v>
      </c>
      <c r="Q28" s="91">
        <f>Q17+Q27</f>
        <v>498.79689754689753</v>
      </c>
      <c r="R28" s="45">
        <f>R17+R27</f>
        <v>2000</v>
      </c>
      <c r="S28" s="79">
        <f>S17+S27</f>
        <v>1109.5238095238096</v>
      </c>
      <c r="T28" s="9"/>
      <c r="U28" s="72" t="s">
        <v>47</v>
      </c>
      <c r="V28" s="73">
        <f>V22</f>
        <v>6850</v>
      </c>
      <c r="W28" s="74">
        <f>W17</f>
        <v>1812.5</v>
      </c>
      <c r="X28" s="75" t="s">
        <v>12</v>
      </c>
      <c r="Y28" s="105" t="s">
        <v>12</v>
      </c>
      <c r="Z28" s="45">
        <f t="shared" ref="Z28:AE28" si="36">Z17+Z27</f>
        <v>800</v>
      </c>
      <c r="AA28" s="45">
        <f t="shared" si="36"/>
        <v>280</v>
      </c>
      <c r="AB28" s="77">
        <f t="shared" si="36"/>
        <v>1000</v>
      </c>
      <c r="AC28" s="78">
        <f t="shared" si="36"/>
        <v>180</v>
      </c>
      <c r="AD28" s="45">
        <f t="shared" si="36"/>
        <v>1000</v>
      </c>
      <c r="AE28" s="45">
        <f t="shared" si="36"/>
        <v>135.81081081081081</v>
      </c>
      <c r="AF28" s="90">
        <f>AF17+AF26+AF27</f>
        <v>850</v>
      </c>
      <c r="AG28" s="119">
        <f>AG17+AG26+AG27</f>
        <v>40.743243243243242</v>
      </c>
      <c r="AH28" s="89">
        <f>AH17+AH26+AH27</f>
        <v>850</v>
      </c>
      <c r="AI28" s="89">
        <f>AI17++AI26+AI27</f>
        <v>148.58108108108109</v>
      </c>
      <c r="AJ28" s="90">
        <f>AJ17+AJ27</f>
        <v>1700</v>
      </c>
      <c r="AK28" s="91">
        <f>AK17+AK27</f>
        <v>189.32432432432432</v>
      </c>
      <c r="AL28" s="45">
        <f>AL17+AL27</f>
        <v>2000</v>
      </c>
      <c r="AM28" s="79">
        <f>AM17+AM27</f>
        <v>959.45945945945948</v>
      </c>
      <c r="AO28" s="72" t="s">
        <v>47</v>
      </c>
      <c r="AP28" s="73">
        <f>AP17</f>
        <v>6402.5</v>
      </c>
      <c r="AQ28" s="132">
        <f>AQ17</f>
        <v>3126.125</v>
      </c>
      <c r="AR28" s="75" t="s">
        <v>12</v>
      </c>
      <c r="AS28" s="105" t="s">
        <v>12</v>
      </c>
      <c r="AT28" s="45">
        <f t="shared" ref="AT28:AZ28" si="37">AT17+AT27</f>
        <v>800</v>
      </c>
      <c r="AU28" s="45">
        <f t="shared" si="37"/>
        <v>580.64303412672973</v>
      </c>
      <c r="AV28" s="77">
        <f t="shared" si="37"/>
        <v>1000</v>
      </c>
      <c r="AW28" s="78">
        <f t="shared" si="37"/>
        <v>361.28606825345958</v>
      </c>
      <c r="AX28" s="45">
        <f t="shared" si="37"/>
        <v>1000</v>
      </c>
      <c r="AY28" s="45">
        <f t="shared" si="37"/>
        <v>342.32275595047332</v>
      </c>
      <c r="AZ28" s="89">
        <f t="shared" si="37"/>
        <v>1000</v>
      </c>
      <c r="BA28" s="89">
        <f>BA17+BA26+BA27</f>
        <v>410.78730714056798</v>
      </c>
      <c r="BB28" s="90">
        <f>BB17+BB27</f>
        <v>900</v>
      </c>
      <c r="BC28" s="91">
        <f>BC17++BC26+BC27</f>
        <v>294.75061944355423</v>
      </c>
      <c r="BD28" s="90">
        <f>BD17+BD27</f>
        <v>1900</v>
      </c>
      <c r="BE28" s="91">
        <f>BE17+BE27</f>
        <v>705.53792658412226</v>
      </c>
      <c r="BF28" s="45">
        <f>BF17+BF27</f>
        <v>2000</v>
      </c>
      <c r="BG28" s="79">
        <f>BG17+BG27</f>
        <v>1250</v>
      </c>
      <c r="BI28" s="72" t="s">
        <v>47</v>
      </c>
      <c r="BJ28" s="73">
        <f>BJ17</f>
        <v>20052.5</v>
      </c>
      <c r="BK28" s="132">
        <f>BK17</f>
        <v>7448.625</v>
      </c>
      <c r="BL28" s="75" t="s">
        <v>12</v>
      </c>
      <c r="BM28" s="76">
        <f>BM20</f>
        <v>0</v>
      </c>
      <c r="BN28" s="45">
        <f t="shared" ref="BN28:BT28" si="38">BN17+BN27</f>
        <v>2400</v>
      </c>
      <c r="BO28" s="45">
        <f t="shared" si="38"/>
        <v>1136.25</v>
      </c>
      <c r="BP28" s="45">
        <f t="shared" si="38"/>
        <v>3000</v>
      </c>
      <c r="BQ28" s="45">
        <f t="shared" si="38"/>
        <v>765</v>
      </c>
      <c r="BR28" s="77">
        <f t="shared" si="38"/>
        <v>3000</v>
      </c>
      <c r="BS28" s="78">
        <f t="shared" si="38"/>
        <v>720.42083333333335</v>
      </c>
      <c r="BT28" s="89">
        <f t="shared" si="38"/>
        <v>2900</v>
      </c>
      <c r="BU28" s="89">
        <f>BU17+BU26+BU27</f>
        <v>662.00833333333333</v>
      </c>
      <c r="BV28" s="90">
        <f>BV17+BV27</f>
        <v>2700</v>
      </c>
      <c r="BW28" s="91">
        <f>BW17++BW26+BW27</f>
        <v>676.29583333333335</v>
      </c>
      <c r="BX28" s="90">
        <f>BX17+BX27</f>
        <v>5600</v>
      </c>
      <c r="BY28" s="91">
        <f>BY17+BY27</f>
        <v>1338.3041666666668</v>
      </c>
      <c r="BZ28" s="45">
        <f>BZ17+BZ27</f>
        <v>6000</v>
      </c>
      <c r="CA28" s="79">
        <f>CA17+CA27</f>
        <v>3488.65</v>
      </c>
    </row>
    <row r="29" spans="1:79" ht="15" customHeight="1" x14ac:dyDescent="0.25">
      <c r="A29" s="172" t="s">
        <v>30</v>
      </c>
      <c r="B29" s="173"/>
      <c r="C29" s="173"/>
      <c r="D29" s="173"/>
      <c r="E29" s="173"/>
      <c r="F29" s="173"/>
      <c r="G29" s="173"/>
      <c r="H29" s="173"/>
      <c r="I29" s="173"/>
      <c r="J29" s="173"/>
      <c r="K29" s="173"/>
      <c r="L29" s="173"/>
      <c r="M29" s="173"/>
      <c r="N29" s="173"/>
      <c r="O29" s="173"/>
      <c r="P29" s="173"/>
      <c r="Q29" s="173"/>
      <c r="R29" s="173"/>
      <c r="S29" s="174"/>
      <c r="U29" s="172" t="s">
        <v>30</v>
      </c>
      <c r="V29" s="173"/>
      <c r="W29" s="173"/>
      <c r="X29" s="173"/>
      <c r="Y29" s="173"/>
      <c r="Z29" s="173"/>
      <c r="AA29" s="173"/>
      <c r="AB29" s="173"/>
      <c r="AC29" s="173"/>
      <c r="AD29" s="173"/>
      <c r="AE29" s="173"/>
      <c r="AF29" s="173"/>
      <c r="AG29" s="173"/>
      <c r="AH29" s="173"/>
      <c r="AI29" s="173"/>
      <c r="AJ29" s="173"/>
      <c r="AK29" s="173"/>
      <c r="AL29" s="173"/>
      <c r="AM29" s="174"/>
      <c r="AO29" s="172" t="s">
        <v>30</v>
      </c>
      <c r="AP29" s="173"/>
      <c r="AQ29" s="173"/>
      <c r="AR29" s="173"/>
      <c r="AS29" s="173"/>
      <c r="AT29" s="173"/>
      <c r="AU29" s="173"/>
      <c r="AV29" s="173"/>
      <c r="AW29" s="173"/>
      <c r="AX29" s="173"/>
      <c r="AY29" s="173"/>
      <c r="AZ29" s="173"/>
      <c r="BA29" s="173"/>
      <c r="BB29" s="173"/>
      <c r="BC29" s="173"/>
      <c r="BD29" s="173"/>
      <c r="BE29" s="173"/>
      <c r="BF29" s="173"/>
      <c r="BG29" s="174"/>
      <c r="BI29" s="175" t="s">
        <v>30</v>
      </c>
      <c r="BJ29" s="176"/>
      <c r="BK29" s="176"/>
      <c r="BL29" s="176"/>
      <c r="BM29" s="176"/>
      <c r="BN29" s="176"/>
      <c r="BO29" s="176"/>
      <c r="BP29" s="176"/>
      <c r="BQ29" s="176"/>
      <c r="BR29" s="176"/>
      <c r="BS29" s="176"/>
      <c r="BT29" s="176"/>
      <c r="BU29" s="176"/>
      <c r="BV29" s="176"/>
      <c r="BW29" s="176"/>
      <c r="BX29" s="176"/>
      <c r="BY29" s="176"/>
      <c r="BZ29" s="176"/>
      <c r="CA29" s="177"/>
    </row>
    <row r="30" spans="1:79" x14ac:dyDescent="0.25">
      <c r="A30" s="5" t="s">
        <v>31</v>
      </c>
      <c r="F30" t="s">
        <v>29</v>
      </c>
      <c r="H30" t="s">
        <v>45</v>
      </c>
      <c r="J30" t="s">
        <v>32</v>
      </c>
      <c r="L30" t="s">
        <v>32</v>
      </c>
      <c r="N30" t="s">
        <v>32</v>
      </c>
      <c r="P30" s="47" t="s">
        <v>48</v>
      </c>
      <c r="Q30" s="47"/>
      <c r="R30" t="s">
        <v>32</v>
      </c>
      <c r="S30" s="28"/>
      <c r="U30" s="5" t="s">
        <v>31</v>
      </c>
      <c r="Z30" t="s">
        <v>29</v>
      </c>
      <c r="AB30" t="s">
        <v>45</v>
      </c>
      <c r="AD30" t="s">
        <v>32</v>
      </c>
      <c r="AF30" t="s">
        <v>32</v>
      </c>
      <c r="AH30" t="s">
        <v>32</v>
      </c>
      <c r="AJ30" s="47" t="s">
        <v>48</v>
      </c>
      <c r="AK30" s="47"/>
      <c r="AL30" t="s">
        <v>32</v>
      </c>
      <c r="AM30" s="28"/>
      <c r="AO30" s="5" t="s">
        <v>31</v>
      </c>
      <c r="AT30" t="s">
        <v>29</v>
      </c>
      <c r="AV30" t="s">
        <v>45</v>
      </c>
      <c r="AX30" t="s">
        <v>32</v>
      </c>
      <c r="AZ30" t="s">
        <v>32</v>
      </c>
      <c r="BB30" t="s">
        <v>32</v>
      </c>
      <c r="BD30" s="47" t="s">
        <v>48</v>
      </c>
      <c r="BE30" s="47"/>
      <c r="BF30" t="s">
        <v>32</v>
      </c>
      <c r="BG30" s="28"/>
      <c r="BI30" s="5" t="s">
        <v>31</v>
      </c>
      <c r="BJ30" s="178"/>
      <c r="BK30" s="178"/>
      <c r="BL30" s="178"/>
      <c r="BM30" s="178"/>
      <c r="BN30" s="178" t="s">
        <v>29</v>
      </c>
      <c r="BO30" s="178"/>
      <c r="BP30" s="178" t="s">
        <v>45</v>
      </c>
      <c r="BQ30" s="178"/>
      <c r="BR30" s="178" t="s">
        <v>32</v>
      </c>
      <c r="BS30" s="178"/>
      <c r="BT30" s="178" t="s">
        <v>32</v>
      </c>
      <c r="BU30" s="178"/>
      <c r="BV30" s="178" t="s">
        <v>32</v>
      </c>
      <c r="BW30" s="178"/>
      <c r="BX30" s="179" t="s">
        <v>48</v>
      </c>
      <c r="BY30" s="179"/>
      <c r="BZ30" s="178" t="s">
        <v>32</v>
      </c>
      <c r="CA30" s="28"/>
    </row>
    <row r="31" spans="1:79" x14ac:dyDescent="0.25">
      <c r="A31" s="44" t="s">
        <v>49</v>
      </c>
      <c r="E31" s="47"/>
      <c r="F31" s="112"/>
      <c r="G31" s="112"/>
      <c r="H31" s="112"/>
      <c r="I31" s="59">
        <f>H15</f>
        <v>200</v>
      </c>
      <c r="J31" s="112"/>
      <c r="K31" s="112">
        <f>J14+J15</f>
        <v>400</v>
      </c>
      <c r="L31" s="113"/>
      <c r="M31" s="113">
        <f>L14+L15</f>
        <v>400</v>
      </c>
      <c r="N31" s="113"/>
      <c r="O31" s="113">
        <f>N14+N15</f>
        <v>400</v>
      </c>
      <c r="P31" s="112"/>
      <c r="Q31" s="112"/>
      <c r="R31" s="112"/>
      <c r="S31" s="114"/>
      <c r="U31" s="44" t="s">
        <v>49</v>
      </c>
      <c r="Y31" s="47"/>
      <c r="Z31" s="112"/>
      <c r="AA31" s="112"/>
      <c r="AB31" s="112"/>
      <c r="AC31" s="59">
        <f>AB15</f>
        <v>300</v>
      </c>
      <c r="AD31" s="112"/>
      <c r="AE31" s="112">
        <f>AD14+AD15</f>
        <v>500</v>
      </c>
      <c r="AF31" s="113"/>
      <c r="AG31" s="113">
        <f>AF14+AF15</f>
        <v>700</v>
      </c>
      <c r="AH31" s="113"/>
      <c r="AI31" s="113">
        <f>AH14+AH15</f>
        <v>500</v>
      </c>
      <c r="AJ31" s="112"/>
      <c r="AK31" s="112"/>
      <c r="AL31" s="112"/>
      <c r="AM31" s="114"/>
      <c r="AO31" s="44" t="s">
        <v>49</v>
      </c>
      <c r="AS31" s="47"/>
      <c r="AT31" s="112"/>
      <c r="AU31" s="112"/>
      <c r="AV31" s="112"/>
      <c r="AW31" s="59">
        <f>AV15</f>
        <v>0</v>
      </c>
      <c r="AX31" s="112"/>
      <c r="AY31" s="112">
        <f>AX14+AX15</f>
        <v>250</v>
      </c>
      <c r="AZ31" s="113"/>
      <c r="BA31" s="113">
        <f>AZ14+AZ15</f>
        <v>100</v>
      </c>
      <c r="BB31" s="113"/>
      <c r="BC31" s="113">
        <f>BB14+BB15</f>
        <v>250</v>
      </c>
      <c r="BD31" s="112"/>
      <c r="BE31" s="112"/>
      <c r="BF31" s="112"/>
      <c r="BG31" s="114"/>
      <c r="BI31" s="44" t="s">
        <v>49</v>
      </c>
      <c r="BJ31" s="178"/>
      <c r="BK31" s="178"/>
      <c r="BL31" s="178"/>
      <c r="BM31" s="178"/>
      <c r="BN31" s="180"/>
      <c r="BO31" s="180"/>
      <c r="BP31" s="180"/>
      <c r="BQ31" s="180">
        <v>200</v>
      </c>
      <c r="BR31" s="180"/>
      <c r="BS31" s="180">
        <f>BR14+BR15</f>
        <v>1150</v>
      </c>
      <c r="BT31" s="181"/>
      <c r="BU31" s="181">
        <f>BT14+BT15</f>
        <v>1200</v>
      </c>
      <c r="BV31" s="181"/>
      <c r="BW31" s="181">
        <f>BV14+BV15</f>
        <v>1150</v>
      </c>
      <c r="BX31" s="180"/>
      <c r="BY31" s="180"/>
      <c r="BZ31" s="180"/>
      <c r="CA31" s="115"/>
    </row>
    <row r="32" spans="1:79" x14ac:dyDescent="0.25">
      <c r="A32" s="5"/>
      <c r="C32" t="s">
        <v>3</v>
      </c>
      <c r="D32" t="s">
        <v>6</v>
      </c>
      <c r="E32" s="47"/>
      <c r="F32" s="11">
        <f>IF(F27&gt;0,0,-F27)</f>
        <v>300</v>
      </c>
      <c r="G32" s="11">
        <f>F32*G18</f>
        <v>133.63636363636363</v>
      </c>
      <c r="H32" s="11">
        <f>IF(H27&gt;0,0,-H27)</f>
        <v>100</v>
      </c>
      <c r="I32" s="11">
        <f>H32*$B$2</f>
        <v>45</v>
      </c>
      <c r="J32" s="11">
        <f>IF(J27&gt;0,0,-J27)</f>
        <v>0</v>
      </c>
      <c r="K32" s="11">
        <f>J32*K18</f>
        <v>0</v>
      </c>
      <c r="L32" s="11">
        <f>IF(L27&gt;0,0,-L27)</f>
        <v>0</v>
      </c>
      <c r="M32" s="11">
        <f>L32*M18</f>
        <v>0</v>
      </c>
      <c r="N32" s="11">
        <f>IF(N27&gt;0,0,-N27)</f>
        <v>0</v>
      </c>
      <c r="O32" s="11">
        <f>N32*O18</f>
        <v>0</v>
      </c>
      <c r="P32" s="11">
        <f>IF(P27&gt;0,0,P27)</f>
        <v>0</v>
      </c>
      <c r="Q32" s="11">
        <f>P32*Q18</f>
        <v>0</v>
      </c>
      <c r="R32" s="11">
        <f>IF(R27&gt;0,0,-R27)</f>
        <v>100</v>
      </c>
      <c r="S32" s="12">
        <f>R32*S18</f>
        <v>55.476190476190482</v>
      </c>
      <c r="U32" s="5" t="s">
        <v>46</v>
      </c>
      <c r="W32" t="s">
        <v>3</v>
      </c>
      <c r="X32" t="s">
        <v>6</v>
      </c>
      <c r="Y32" s="47"/>
      <c r="Z32" s="11">
        <f>IF(Z27&gt;0,0,-Z27)</f>
        <v>600</v>
      </c>
      <c r="AA32" s="11">
        <f>Z32*AA18</f>
        <v>210</v>
      </c>
      <c r="AB32" s="11">
        <f>IF(AB27&gt;0,0,-AB27)</f>
        <v>200</v>
      </c>
      <c r="AC32" s="11">
        <f>AB32*$B$2</f>
        <v>90</v>
      </c>
      <c r="AD32" s="11">
        <f>IF(AD27&gt;0,0,-AD27)</f>
        <v>0</v>
      </c>
      <c r="AE32" s="11">
        <f>AD32*AE18</f>
        <v>0</v>
      </c>
      <c r="AF32" s="11">
        <f>IF(AF27&gt;0,0,-AF27)</f>
        <v>0</v>
      </c>
      <c r="AG32" s="11">
        <f>AF32*AG18</f>
        <v>0</v>
      </c>
      <c r="AH32" s="11">
        <f>IF(AH27&gt;0,0,-AH27)</f>
        <v>0</v>
      </c>
      <c r="AI32" s="11">
        <f>AH32*AI18</f>
        <v>0</v>
      </c>
      <c r="AJ32" s="11">
        <f>IF(AJ27&gt;0,0,AJ27)</f>
        <v>0</v>
      </c>
      <c r="AK32" s="11">
        <f>AJ32*AK18</f>
        <v>0</v>
      </c>
      <c r="AL32" s="11">
        <f>IF(AL27&gt;0,0,-AL27)</f>
        <v>0</v>
      </c>
      <c r="AM32" s="12">
        <f>AL32*AM18</f>
        <v>0</v>
      </c>
      <c r="AQ32" t="s">
        <v>3</v>
      </c>
      <c r="AR32" t="s">
        <v>6</v>
      </c>
      <c r="AS32" s="47"/>
      <c r="AT32" s="11">
        <f>IF(AT27&gt;0,0,-AT27)</f>
        <v>0</v>
      </c>
      <c r="AU32" s="11">
        <f>AT32*AU18</f>
        <v>0</v>
      </c>
      <c r="AV32" s="11">
        <f>IF(AV27&gt;0,0,-AV27)</f>
        <v>0</v>
      </c>
      <c r="AW32" s="11">
        <f>AV32*$B$2</f>
        <v>0</v>
      </c>
      <c r="AX32" s="11">
        <f>IF(AX27&gt;0,0,-AX27)</f>
        <v>0</v>
      </c>
      <c r="AY32" s="11">
        <f>AX32*AY18</f>
        <v>0</v>
      </c>
      <c r="AZ32" s="11">
        <f>IF(AZ27&gt;0,0,-AZ27)</f>
        <v>0</v>
      </c>
      <c r="BA32" s="11">
        <f>AZ32*BA18</f>
        <v>0</v>
      </c>
      <c r="BB32" s="11">
        <f>IF(BB27&gt;0,0,-BB27)</f>
        <v>0</v>
      </c>
      <c r="BC32" s="11">
        <f>BB32*BC18</f>
        <v>0</v>
      </c>
      <c r="BD32" s="11">
        <f>IF(BD27&gt;0,0,BD27)</f>
        <v>0</v>
      </c>
      <c r="BE32" s="11">
        <f>BD32*BE18</f>
        <v>0</v>
      </c>
      <c r="BF32" s="11">
        <f>IF(BF27&gt;0,0,-BF27)</f>
        <v>200</v>
      </c>
      <c r="BG32" s="12">
        <f>BF32*BG18</f>
        <v>125</v>
      </c>
      <c r="BI32" s="5"/>
      <c r="BJ32" s="178"/>
      <c r="BK32" s="178" t="s">
        <v>3</v>
      </c>
      <c r="BL32" s="178" t="s">
        <v>6</v>
      </c>
      <c r="BM32" s="182"/>
      <c r="BN32" s="183">
        <f>IF(BN27&gt;0,0,-BN27)</f>
        <v>800</v>
      </c>
      <c r="BO32" s="183">
        <f>BN32*BO18</f>
        <v>378.75</v>
      </c>
      <c r="BP32" s="183">
        <f>IF(BP27&gt;0,0,-BP27)</f>
        <v>100</v>
      </c>
      <c r="BQ32" s="183">
        <f>BP32*$B$2</f>
        <v>45</v>
      </c>
      <c r="BR32" s="183">
        <f>IF(BR27&gt;0,0,-BR27)</f>
        <v>0</v>
      </c>
      <c r="BS32" s="183">
        <f>BR32*BS18</f>
        <v>0</v>
      </c>
      <c r="BT32" s="183">
        <f>IF(BT27&gt;0,0,-BT27)</f>
        <v>0</v>
      </c>
      <c r="BU32" s="183">
        <f>BT32*BU18</f>
        <v>0</v>
      </c>
      <c r="BV32" s="183">
        <f>IF(BV27&gt;0,0,-BV27)</f>
        <v>0</v>
      </c>
      <c r="BW32" s="183">
        <f>BV32*BW18</f>
        <v>0</v>
      </c>
      <c r="BX32" s="183">
        <f>IF(BX27&gt;0,0,BX27)</f>
        <v>0</v>
      </c>
      <c r="BY32" s="183">
        <f>BX32*BY18</f>
        <v>0</v>
      </c>
      <c r="BZ32" s="183">
        <f>IF(BZ27&gt;0,0,-BZ27)</f>
        <v>0</v>
      </c>
      <c r="CA32" s="12">
        <f>BZ32*CA18</f>
        <v>0</v>
      </c>
    </row>
    <row r="33" spans="1:79" x14ac:dyDescent="0.25">
      <c r="A33" s="48" t="s">
        <v>56</v>
      </c>
      <c r="B33" s="49"/>
      <c r="C33" s="11">
        <f>(F32+H32+J32+L32+N32+R32)</f>
        <v>500</v>
      </c>
      <c r="D33" s="11">
        <f>(G32+I32+K32+M32+O32+S32)</f>
        <v>234.11255411255411</v>
      </c>
      <c r="J33" s="11"/>
      <c r="S33" s="6"/>
      <c r="U33" s="48" t="s">
        <v>11</v>
      </c>
      <c r="V33" s="49"/>
      <c r="W33" s="11">
        <f>(Z32+AB32+AD32+AF32+AH32+AL32)</f>
        <v>800</v>
      </c>
      <c r="X33" s="11">
        <f>(AA32+AC32+AE32+AG32+AI32+AM32)</f>
        <v>300</v>
      </c>
      <c r="AA33" s="11"/>
      <c r="AD33" s="11"/>
      <c r="AM33" s="6"/>
      <c r="AO33" s="5" t="s">
        <v>46</v>
      </c>
      <c r="AQ33" s="11">
        <f>(AT32+AV32+AX32+AZ32+BB32+BF32)</f>
        <v>200</v>
      </c>
      <c r="AR33" s="11">
        <f>(AU32+AW32+AY32+BA32+BC32+BG32)</f>
        <v>125</v>
      </c>
      <c r="AX33" s="11"/>
      <c r="BG33" s="6"/>
      <c r="BI33" s="5" t="s">
        <v>46</v>
      </c>
      <c r="BJ33" s="184"/>
      <c r="BK33" s="183">
        <f>(BN32+BP32+BR32+BT32+BV32+BZ32)</f>
        <v>900</v>
      </c>
      <c r="BL33" s="183">
        <f>(BO32+BQ32+BS32+BU32+BW32+CA32)</f>
        <v>423.75</v>
      </c>
      <c r="BM33" s="178">
        <f>BL33/BK33</f>
        <v>0.47083333333333333</v>
      </c>
      <c r="BN33" s="178"/>
      <c r="BO33" s="178"/>
      <c r="BP33" s="178"/>
      <c r="BQ33" s="178"/>
      <c r="BR33" s="183"/>
      <c r="BS33" s="178"/>
      <c r="BT33" s="178"/>
      <c r="BU33" s="178"/>
      <c r="BV33" s="178"/>
      <c r="BW33" s="178"/>
      <c r="BX33" s="178"/>
      <c r="BY33" s="178"/>
      <c r="BZ33" s="178"/>
      <c r="CA33" s="6"/>
    </row>
    <row r="34" spans="1:79" x14ac:dyDescent="0.25">
      <c r="A34" s="5" t="s">
        <v>54</v>
      </c>
      <c r="C34" s="11">
        <f>B20</f>
        <v>100</v>
      </c>
      <c r="I34" s="11"/>
      <c r="L34" s="46"/>
      <c r="M34" s="50"/>
      <c r="N34" s="46"/>
      <c r="O34" s="50"/>
      <c r="P34" s="51"/>
      <c r="Q34" s="50"/>
      <c r="S34" s="6"/>
      <c r="U34" s="5" t="s">
        <v>54</v>
      </c>
      <c r="W34" s="11">
        <f>V20</f>
        <v>250</v>
      </c>
      <c r="Z34" s="11"/>
      <c r="AC34" s="11"/>
      <c r="AF34" s="46"/>
      <c r="AG34" s="50"/>
      <c r="AH34" s="46"/>
      <c r="AI34" s="50"/>
      <c r="AJ34" s="51"/>
      <c r="AK34" s="50"/>
      <c r="AM34" s="6"/>
      <c r="AO34" s="5" t="s">
        <v>54</v>
      </c>
      <c r="AQ34" s="11">
        <f>AP20</f>
        <v>0</v>
      </c>
      <c r="AW34" s="11"/>
      <c r="AZ34" s="46"/>
      <c r="BA34" s="50"/>
      <c r="BB34" s="46"/>
      <c r="BC34" s="50"/>
      <c r="BD34" s="51"/>
      <c r="BE34" s="50"/>
      <c r="BG34" s="6"/>
      <c r="BI34" s="5" t="s">
        <v>54</v>
      </c>
      <c r="BJ34" s="178"/>
      <c r="BK34" s="183">
        <f>BJ20</f>
        <v>350</v>
      </c>
      <c r="BL34" s="178"/>
      <c r="BM34" s="178"/>
      <c r="BN34" s="178"/>
      <c r="BO34" s="178"/>
      <c r="BP34" s="178"/>
      <c r="BQ34" s="183"/>
      <c r="BR34" s="178"/>
      <c r="BS34" s="178"/>
      <c r="BT34" s="185"/>
      <c r="BU34" s="186"/>
      <c r="BV34" s="185"/>
      <c r="BW34" s="186"/>
      <c r="BX34" s="187"/>
      <c r="BY34" s="186"/>
      <c r="BZ34" s="178"/>
      <c r="CA34" s="6"/>
    </row>
    <row r="35" spans="1:79" x14ac:dyDescent="0.25">
      <c r="A35" s="5" t="s">
        <v>55</v>
      </c>
      <c r="C35" s="11">
        <f>D27</f>
        <v>100</v>
      </c>
      <c r="D35" s="11">
        <f>C35*C36</f>
        <v>45.759379509379514</v>
      </c>
      <c r="I35" s="11"/>
      <c r="L35" s="46"/>
      <c r="M35" s="50"/>
      <c r="N35" s="46"/>
      <c r="O35" s="50"/>
      <c r="P35" s="51"/>
      <c r="Q35" s="50"/>
      <c r="S35" s="6"/>
      <c r="U35" s="5" t="s">
        <v>55</v>
      </c>
      <c r="W35" s="11">
        <f>X27</f>
        <v>250</v>
      </c>
      <c r="X35" s="11">
        <f>W35*W36</f>
        <v>67.905405405405403</v>
      </c>
      <c r="Z35" s="11"/>
      <c r="AC35" s="11"/>
      <c r="AF35" s="46"/>
      <c r="AG35" s="50"/>
      <c r="AH35" s="46"/>
      <c r="AI35" s="50"/>
      <c r="AJ35" s="51"/>
      <c r="AK35" s="50"/>
      <c r="AM35" s="6"/>
      <c r="AO35" s="5" t="s">
        <v>55</v>
      </c>
      <c r="AP35" s="49"/>
      <c r="AQ35" s="11">
        <f>AR27</f>
        <v>0</v>
      </c>
      <c r="AR35" s="11">
        <f>AQ35*AQ36</f>
        <v>0</v>
      </c>
      <c r="AW35" s="11"/>
      <c r="AZ35" s="46"/>
      <c r="BA35" s="50"/>
      <c r="BB35" s="46"/>
      <c r="BC35" s="50"/>
      <c r="BD35" s="51"/>
      <c r="BE35" s="50"/>
      <c r="BG35" s="6"/>
      <c r="BI35" s="5" t="s">
        <v>55</v>
      </c>
      <c r="BJ35" s="178"/>
      <c r="BK35" s="183">
        <f>BL27</f>
        <v>350</v>
      </c>
      <c r="BL35" s="183"/>
      <c r="BM35" s="178"/>
      <c r="BN35" s="178"/>
      <c r="BO35" s="178"/>
      <c r="BP35" s="178"/>
      <c r="BQ35" s="183"/>
      <c r="BR35" s="178"/>
      <c r="BS35" s="178"/>
      <c r="BT35" s="185"/>
      <c r="BU35" s="186"/>
      <c r="BV35" s="185"/>
      <c r="BW35" s="186"/>
      <c r="BX35" s="187"/>
      <c r="BY35" s="186"/>
      <c r="BZ35" s="178"/>
      <c r="CA35" s="6"/>
    </row>
    <row r="36" spans="1:79" x14ac:dyDescent="0.25">
      <c r="A36" s="48" t="s">
        <v>53</v>
      </c>
      <c r="B36" s="49"/>
      <c r="C36" s="58">
        <f>(E17+D33)/(D17+C33-D21)</f>
        <v>0.45759379509379511</v>
      </c>
      <c r="D36" s="49"/>
      <c r="F36" s="11"/>
      <c r="L36" s="11"/>
      <c r="M36" s="11"/>
      <c r="N36" s="11"/>
      <c r="O36" s="11"/>
      <c r="P36" s="11"/>
      <c r="Q36" s="11"/>
      <c r="S36" s="6"/>
      <c r="U36" s="48" t="s">
        <v>53</v>
      </c>
      <c r="V36" s="49"/>
      <c r="W36" s="58">
        <f>(Y17+X33)/(X17+W33-X21)</f>
        <v>0.27162162162162162</v>
      </c>
      <c r="X36" s="49"/>
      <c r="AF36" s="11"/>
      <c r="AG36" s="11"/>
      <c r="AH36" s="11"/>
      <c r="AI36" s="11"/>
      <c r="AJ36" s="11"/>
      <c r="AK36" s="11"/>
      <c r="AM36" s="6"/>
      <c r="AO36" s="48" t="s">
        <v>53</v>
      </c>
      <c r="AP36" s="49"/>
      <c r="AQ36" s="58">
        <f>(AS17+AR33+AS21)/(AR17+AQ33-AR21)</f>
        <v>0.45643034126729776</v>
      </c>
      <c r="AR36" s="49"/>
      <c r="AT36" s="11"/>
      <c r="AZ36" s="11"/>
      <c r="BA36" s="11"/>
      <c r="BB36" s="11"/>
      <c r="BC36" s="11"/>
      <c r="BD36" s="11"/>
      <c r="BE36" s="11"/>
      <c r="BG36" s="6"/>
      <c r="BI36" s="48" t="s">
        <v>53</v>
      </c>
      <c r="BJ36" s="184"/>
      <c r="BK36" s="188">
        <f>(BM17+BL33)/(BL17+BK33-BL22)</f>
        <v>0.38941666666666669</v>
      </c>
      <c r="BL36" s="189"/>
      <c r="BM36" s="178"/>
      <c r="BN36" s="183"/>
      <c r="BO36" s="178"/>
      <c r="BP36" s="178"/>
      <c r="BQ36" s="178"/>
      <c r="BR36" s="178"/>
      <c r="BS36" s="178"/>
      <c r="BT36" s="183"/>
      <c r="BU36" s="183"/>
      <c r="BV36" s="183"/>
      <c r="BW36" s="183"/>
      <c r="BX36" s="183"/>
      <c r="BY36" s="183"/>
      <c r="BZ36" s="178"/>
      <c r="CA36" s="6"/>
    </row>
    <row r="37" spans="1:79" x14ac:dyDescent="0.25">
      <c r="A37" s="48" t="s">
        <v>44</v>
      </c>
      <c r="B37" s="49"/>
      <c r="C37" s="52">
        <f>G37+I37+K37+M37+O37</f>
        <v>100</v>
      </c>
      <c r="D37" s="49"/>
      <c r="F37" s="53"/>
      <c r="G37">
        <f>IF(AND(F32&gt;0,G31&gt;0),MIN(F32,G31),0)</f>
        <v>0</v>
      </c>
      <c r="I37">
        <f>IF(AND(H32&gt;0,I31&gt;0),MIN(H32,I31),0)</f>
        <v>100</v>
      </c>
      <c r="J37" s="11"/>
      <c r="K37">
        <f>IF(AND(J32&gt;0,K31&gt;0),MIN(J32,K31),0)</f>
        <v>0</v>
      </c>
      <c r="L37" s="11"/>
      <c r="M37">
        <f>IF(AND(L32&gt;0,M31&gt;0),MIN(L32,M31),0)</f>
        <v>0</v>
      </c>
      <c r="N37" s="11"/>
      <c r="O37">
        <f>IF(AND(N32&gt;0,O31&gt;0),MIN(N32,O31),0)</f>
        <v>0</v>
      </c>
      <c r="P37" s="11"/>
      <c r="Q37" s="11"/>
      <c r="S37" s="6"/>
      <c r="U37" s="48" t="s">
        <v>44</v>
      </c>
      <c r="V37" s="49"/>
      <c r="W37" s="52">
        <f>AA37+AC37+AE37+AG37+AI37</f>
        <v>200</v>
      </c>
      <c r="X37" s="49"/>
      <c r="Z37" s="53"/>
      <c r="AA37">
        <f>IF(AND(Z32&gt;0,AA31&gt;0),MIN(Z32,AA31),0)</f>
        <v>0</v>
      </c>
      <c r="AC37">
        <f>IF(AND(AB32&gt;0,AC31&gt;0),MIN(AB32,AC31),0)</f>
        <v>200</v>
      </c>
      <c r="AD37" s="11"/>
      <c r="AE37">
        <f>IF(AND(AD32&gt;0,AE31&gt;0),MIN(AD32,AE31),0)</f>
        <v>0</v>
      </c>
      <c r="AF37" s="11"/>
      <c r="AG37">
        <f>IF(AND(AF32&gt;0,AG31&gt;0),MIN(AF32,AG31),0)</f>
        <v>0</v>
      </c>
      <c r="AH37" s="11"/>
      <c r="AI37">
        <f>IF(AND(AH32&gt;0,AI31&gt;0),MIN(AH32,AI31),0)</f>
        <v>0</v>
      </c>
      <c r="AJ37" s="11"/>
      <c r="AK37" s="11"/>
      <c r="AM37" s="6"/>
      <c r="AO37" s="48" t="s">
        <v>44</v>
      </c>
      <c r="AP37" s="49"/>
      <c r="AQ37" s="52">
        <f>AU37+AW37+AY37+BA37+BC37</f>
        <v>0</v>
      </c>
      <c r="AR37" s="49"/>
      <c r="AT37" s="53"/>
      <c r="AU37">
        <f>IF(AND(AT32&gt;0,AU31&gt;0),MIN(AT32,AU31),0)</f>
        <v>0</v>
      </c>
      <c r="AW37">
        <f>IF(AND(AV32&gt;0,AW31&gt;0),MIN(AV32,AW31),0)</f>
        <v>0</v>
      </c>
      <c r="AX37" s="11"/>
      <c r="AY37">
        <f>IF(AND(AX32&gt;0,AY31&gt;0),MIN(AX32,AY31),0)</f>
        <v>0</v>
      </c>
      <c r="AZ37" s="11"/>
      <c r="BA37">
        <f>IF(AND(AZ32&gt;0,BA31&gt;0),MIN(AZ32,BA31),0)</f>
        <v>0</v>
      </c>
      <c r="BB37" s="11"/>
      <c r="BC37">
        <f>IF(AND(BB32&gt;0,BC31&gt;0),MIN(BB32,BC31),0)</f>
        <v>0</v>
      </c>
      <c r="BD37" s="11"/>
      <c r="BE37" s="11"/>
      <c r="BG37" s="6"/>
      <c r="BI37" s="48" t="s">
        <v>44</v>
      </c>
      <c r="BJ37" s="184"/>
      <c r="BK37" s="190">
        <f>BO37+BQ37+BS37+BU37+BW37</f>
        <v>100</v>
      </c>
      <c r="BL37" s="184"/>
      <c r="BM37" s="178"/>
      <c r="BN37" s="191"/>
      <c r="BO37" s="178">
        <f>IF(AND(BN32&gt;0,BO31&gt;0),MIN(BN32,BO31),0)</f>
        <v>0</v>
      </c>
      <c r="BP37" s="178"/>
      <c r="BQ37" s="178">
        <f>IF(AND(BP32&gt;0,BQ31&gt;0),MIN(BP32,BQ31),0)</f>
        <v>100</v>
      </c>
      <c r="BR37" s="183"/>
      <c r="BS37" s="178">
        <f>IF(AND(BR32&gt;0,BS31&gt;0),MIN(BR32,BS31),0)</f>
        <v>0</v>
      </c>
      <c r="BT37" s="183"/>
      <c r="BU37" s="178">
        <f>IF(AND(BT32&gt;0,BU31&gt;0),MIN(BT32,BU31),0)</f>
        <v>0</v>
      </c>
      <c r="BV37" s="183"/>
      <c r="BW37" s="178">
        <f>IF(AND(BV32&gt;0,BW31&gt;0),MIN(BV32,BW31),0)</f>
        <v>0</v>
      </c>
      <c r="BX37" s="183"/>
      <c r="BY37" s="183"/>
      <c r="BZ37" s="178"/>
      <c r="CA37" s="6"/>
    </row>
    <row r="38" spans="1:79" x14ac:dyDescent="0.25">
      <c r="A38" s="5" t="s">
        <v>52</v>
      </c>
      <c r="C38" s="9">
        <f>(E17+D33)/((D17+C33-D21-C37))</f>
        <v>0.49919323101141283</v>
      </c>
      <c r="F38" s="11"/>
      <c r="G38" s="54"/>
      <c r="H38" s="11"/>
      <c r="L38" s="11"/>
      <c r="M38" s="11"/>
      <c r="N38" s="11"/>
      <c r="O38" s="11"/>
      <c r="P38" s="55"/>
      <c r="Q38" s="11"/>
      <c r="S38" s="6"/>
      <c r="U38" s="5" t="s">
        <v>52</v>
      </c>
      <c r="W38" s="9">
        <f>(Y17+X33)/((X17+W33-X21-W37))</f>
        <v>0.30454545454545456</v>
      </c>
      <c r="Z38" s="11"/>
      <c r="AA38" s="54"/>
      <c r="AB38" s="11"/>
      <c r="AF38" s="11"/>
      <c r="AG38" s="11"/>
      <c r="AH38" s="11"/>
      <c r="AI38" s="11"/>
      <c r="AJ38" s="55"/>
      <c r="AK38" s="11"/>
      <c r="AM38" s="6"/>
      <c r="AO38" s="5" t="s">
        <v>52</v>
      </c>
      <c r="AQ38" s="9">
        <f>(AS17+AR33)/((AR17+AQ33-AR21-AQ37))</f>
        <v>0.40701086956521737</v>
      </c>
      <c r="AT38" s="11"/>
      <c r="AU38" s="54"/>
      <c r="AV38" s="11"/>
      <c r="AZ38" s="11"/>
      <c r="BA38" s="11"/>
      <c r="BB38" s="11"/>
      <c r="BC38" s="11"/>
      <c r="BD38" s="55"/>
      <c r="BE38" s="11"/>
      <c r="BG38" s="6"/>
      <c r="BI38" s="5" t="s">
        <v>52</v>
      </c>
      <c r="BJ38" s="178"/>
      <c r="BK38" s="192">
        <f>(BM17+BL33)/(BL17+BK33-BL22-BK37)</f>
        <v>0.39826704545454544</v>
      </c>
      <c r="BL38" s="178"/>
      <c r="BM38" s="178"/>
      <c r="BN38" s="183"/>
      <c r="BO38" s="193"/>
      <c r="BP38" s="183"/>
      <c r="BQ38" s="178"/>
      <c r="BR38" s="178"/>
      <c r="BS38" s="178"/>
      <c r="BT38" s="183"/>
      <c r="BU38" s="183"/>
      <c r="BV38" s="183"/>
      <c r="BW38" s="183"/>
      <c r="BX38" s="55"/>
      <c r="BY38" s="183"/>
      <c r="BZ38" s="178"/>
      <c r="CA38" s="6"/>
    </row>
    <row r="39" spans="1:79" ht="15.75" thickBot="1" x14ac:dyDescent="0.3">
      <c r="A39" s="42"/>
      <c r="B39" s="56" t="s">
        <v>20</v>
      </c>
      <c r="C39" s="56"/>
      <c r="D39" s="56"/>
      <c r="E39" s="7"/>
      <c r="F39" s="7"/>
      <c r="G39" s="57">
        <f>G28+I28+K28+M28+O28+S28+E27</f>
        <v>2510</v>
      </c>
      <c r="H39" s="45"/>
      <c r="I39" s="45"/>
      <c r="J39" s="45"/>
      <c r="K39" s="7"/>
      <c r="L39" s="7"/>
      <c r="M39" s="7"/>
      <c r="N39" s="7"/>
      <c r="O39" s="7"/>
      <c r="P39" s="7"/>
      <c r="Q39" s="7"/>
      <c r="R39" s="7"/>
      <c r="S39" s="8"/>
      <c r="U39" s="42"/>
      <c r="V39" s="56" t="s">
        <v>20</v>
      </c>
      <c r="W39" s="56"/>
      <c r="X39" s="56"/>
      <c r="Y39" s="7"/>
      <c r="Z39" s="7"/>
      <c r="AA39" s="57">
        <f>Y27+AA28+AC28+AE28+AG28+AI28+AM28</f>
        <v>1812.5</v>
      </c>
      <c r="AB39" s="45"/>
      <c r="AC39" s="45"/>
      <c r="AD39" s="45"/>
      <c r="AE39" s="7"/>
      <c r="AF39" s="7"/>
      <c r="AG39" s="7"/>
      <c r="AH39" s="7"/>
      <c r="AI39" s="7"/>
      <c r="AJ39" s="7"/>
      <c r="AK39" s="7"/>
      <c r="AL39" s="7"/>
      <c r="AM39" s="8"/>
      <c r="AO39" s="42"/>
      <c r="AP39" s="56" t="s">
        <v>20</v>
      </c>
      <c r="AQ39" s="56"/>
      <c r="AR39" s="56"/>
      <c r="AS39" s="7"/>
      <c r="AT39" s="7"/>
      <c r="AU39" s="57">
        <f>-AS21+AU28+AW28+AY28+BA28+BC28+BG28</f>
        <v>3126.125</v>
      </c>
      <c r="AV39" s="45"/>
      <c r="AW39" s="45"/>
      <c r="AX39" s="45"/>
      <c r="AY39" s="7"/>
      <c r="AZ39" s="7"/>
      <c r="BA39" s="7"/>
      <c r="BB39" s="7"/>
      <c r="BC39" s="7"/>
      <c r="BD39" s="7"/>
      <c r="BE39" s="7"/>
      <c r="BF39" s="7"/>
      <c r="BG39" s="8"/>
      <c r="BI39" s="42"/>
      <c r="BJ39" s="56" t="s">
        <v>20</v>
      </c>
      <c r="BK39" s="56"/>
      <c r="BL39" s="56"/>
      <c r="BM39" s="7"/>
      <c r="BN39" s="7"/>
      <c r="BO39" s="57">
        <f>BO28+BQ28+BS28+BU28+BW28+CA28</f>
        <v>7448.625</v>
      </c>
      <c r="BP39" s="45"/>
      <c r="BQ39" s="80"/>
      <c r="BR39" s="45"/>
      <c r="BS39" s="7"/>
      <c r="BT39" s="7"/>
      <c r="BU39" s="7"/>
      <c r="BV39" s="7"/>
      <c r="BW39" s="7"/>
      <c r="BX39" s="7"/>
      <c r="BY39" s="7"/>
      <c r="BZ39" s="7"/>
      <c r="CA39" s="8"/>
    </row>
    <row r="41" spans="1:79" x14ac:dyDescent="0.25">
      <c r="BO41" s="11"/>
    </row>
    <row r="42" spans="1:79" x14ac:dyDescent="0.25">
      <c r="I42" s="24" t="s">
        <v>23</v>
      </c>
      <c r="J42" s="24" t="s">
        <v>23</v>
      </c>
      <c r="X42" s="11"/>
      <c r="Y42" s="11"/>
      <c r="AR42" s="11"/>
      <c r="BJ42" s="11"/>
      <c r="BM42" s="11"/>
    </row>
    <row r="43" spans="1:79" ht="15" customHeight="1" x14ac:dyDescent="0.25">
      <c r="O43" s="24"/>
      <c r="AR43" s="11"/>
    </row>
    <row r="44" spans="1:79" x14ac:dyDescent="0.25">
      <c r="Y44" s="11"/>
    </row>
    <row r="45" spans="1:79" x14ac:dyDescent="0.25">
      <c r="S45" t="s">
        <v>22</v>
      </c>
      <c r="Y45" s="11"/>
      <c r="BJ45" s="111"/>
    </row>
    <row r="47" spans="1:79" x14ac:dyDescent="0.25">
      <c r="Y47" s="53"/>
      <c r="BJ47" s="16"/>
    </row>
  </sheetData>
  <mergeCells count="72">
    <mergeCell ref="A29:S29"/>
    <mergeCell ref="U29:AM29"/>
    <mergeCell ref="AO29:BG29"/>
    <mergeCell ref="BI29:CA29"/>
    <mergeCell ref="BP10:BQ10"/>
    <mergeCell ref="BR10:BS10"/>
    <mergeCell ref="BT10:BU10"/>
    <mergeCell ref="BV10:BW10"/>
    <mergeCell ref="BX10:BY10"/>
    <mergeCell ref="BZ10:CA10"/>
    <mergeCell ref="AB10:AC10"/>
    <mergeCell ref="AD10:AE10"/>
    <mergeCell ref="AF10:AG10"/>
    <mergeCell ref="AH10:AI10"/>
    <mergeCell ref="AJ10:AK10"/>
    <mergeCell ref="AL10:AM10"/>
    <mergeCell ref="BZ9:CA9"/>
    <mergeCell ref="BB9:BC9"/>
    <mergeCell ref="BD9:BE9"/>
    <mergeCell ref="BF9:BG9"/>
    <mergeCell ref="BJ9:BK10"/>
    <mergeCell ref="BL9:BM10"/>
    <mergeCell ref="BN9:BO9"/>
    <mergeCell ref="BB10:BC10"/>
    <mergeCell ref="BD10:BE10"/>
    <mergeCell ref="BF10:BG10"/>
    <mergeCell ref="BN10:BO10"/>
    <mergeCell ref="BP9:BQ9"/>
    <mergeCell ref="BR9:BS9"/>
    <mergeCell ref="BT9:BU9"/>
    <mergeCell ref="BV9:BW9"/>
    <mergeCell ref="BX9:BY9"/>
    <mergeCell ref="AP9:AQ10"/>
    <mergeCell ref="AR9:AS10"/>
    <mergeCell ref="AT9:AU9"/>
    <mergeCell ref="AV9:AW9"/>
    <mergeCell ref="AX9:AY9"/>
    <mergeCell ref="AZ9:BA9"/>
    <mergeCell ref="AT10:AU10"/>
    <mergeCell ref="AV10:AW10"/>
    <mergeCell ref="AX10:AY10"/>
    <mergeCell ref="AZ10:BA10"/>
    <mergeCell ref="AB9:AC9"/>
    <mergeCell ref="AD9:AE9"/>
    <mergeCell ref="AF9:AG9"/>
    <mergeCell ref="AH9:AI9"/>
    <mergeCell ref="AJ9:AK9"/>
    <mergeCell ref="F10:G10"/>
    <mergeCell ref="H10:I10"/>
    <mergeCell ref="J10:K10"/>
    <mergeCell ref="L10:M10"/>
    <mergeCell ref="B9:C10"/>
    <mergeCell ref="D9:E10"/>
    <mergeCell ref="F9:G9"/>
    <mergeCell ref="H9:I9"/>
    <mergeCell ref="J9:K9"/>
    <mergeCell ref="A8:S8"/>
    <mergeCell ref="U8:AM8"/>
    <mergeCell ref="AO8:BG8"/>
    <mergeCell ref="BI8:CA8"/>
    <mergeCell ref="L9:M9"/>
    <mergeCell ref="AL9:AM9"/>
    <mergeCell ref="N9:O9"/>
    <mergeCell ref="P9:Q9"/>
    <mergeCell ref="R9:S9"/>
    <mergeCell ref="V9:W10"/>
    <mergeCell ref="X9:Y10"/>
    <mergeCell ref="Z9:AA9"/>
    <mergeCell ref="N10:O10"/>
    <mergeCell ref="P10:Q10"/>
    <mergeCell ref="R10:S10"/>
    <mergeCell ref="Z10:AA1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4558D17C5424438ED9E058A452A00D" ma:contentTypeVersion="1" ma:contentTypeDescription="Create a new document." ma:contentTypeScope="" ma:versionID="58968a46a1bad65155eeaa79ec003be2">
  <xsd:schema xmlns:xsd="http://www.w3.org/2001/XMLSchema" xmlns:xs="http://www.w3.org/2001/XMLSchema" xmlns:p="http://schemas.microsoft.com/office/2006/metadata/properties" xmlns:ns2="2613f182-e424-487f-ac7f-33bed2fc986a" targetNamespace="http://schemas.microsoft.com/office/2006/metadata/properties" ma:root="true" ma:fieldsID="6c900d0cb3a38c97dc51f7485df35394" ns2:_="">
    <xsd:import namespace="2613f182-e424-487f-ac7f-33bed2fc986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907D622-2655-4A3A-8960-A351CE97F3A5}"/>
</file>

<file path=customXml/itemProps2.xml><?xml version="1.0" encoding="utf-8"?>
<ds:datastoreItem xmlns:ds="http://schemas.openxmlformats.org/officeDocument/2006/customXml" ds:itemID="{3C3D661D-1DF7-4B3B-B09D-94156A0D151D}"/>
</file>

<file path=customXml/itemProps3.xml><?xml version="1.0" encoding="utf-8"?>
<ds:datastoreItem xmlns:ds="http://schemas.openxmlformats.org/officeDocument/2006/customXml" ds:itemID="{64FCBC0C-87F4-4749-8568-56F3CFE802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Explanation</vt:lpstr>
      <vt:lpstr>Illustration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 Breidenich</dc:creator>
  <cp:lastModifiedBy>Clare Breidenich</cp:lastModifiedBy>
  <cp:lastPrinted>2024-04-10T22:05:00Z</cp:lastPrinted>
  <dcterms:created xsi:type="dcterms:W3CDTF">2024-02-27T18:09:12Z</dcterms:created>
  <dcterms:modified xsi:type="dcterms:W3CDTF">2024-04-16T21:27:40Z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11ac0a8-6b99-444d-a60f-7336bfe397d8_Enabled">
    <vt:lpwstr>true</vt:lpwstr>
  </property>
  <property fmtid="{D5CDD505-2E9C-101B-9397-08002B2CF9AE}" pid="3" name="MSIP_Label_611ac0a8-6b99-444d-a60f-7336bfe397d8_SetDate">
    <vt:lpwstr>2024-03-05T19:06:40Z</vt:lpwstr>
  </property>
  <property fmtid="{D5CDD505-2E9C-101B-9397-08002B2CF9AE}" pid="4" name="MSIP_Label_611ac0a8-6b99-444d-a60f-7336bfe397d8_Method">
    <vt:lpwstr>Standard</vt:lpwstr>
  </property>
  <property fmtid="{D5CDD505-2E9C-101B-9397-08002B2CF9AE}" pid="5" name="MSIP_Label_611ac0a8-6b99-444d-a60f-7336bfe397d8_Name">
    <vt:lpwstr>II - Internal Information</vt:lpwstr>
  </property>
  <property fmtid="{D5CDD505-2E9C-101B-9397-08002B2CF9AE}" pid="6" name="MSIP_Label_611ac0a8-6b99-444d-a60f-7336bfe397d8_SiteId">
    <vt:lpwstr>24b2a583-5c05-4b6a-b4e9-4e12dc0025ad</vt:lpwstr>
  </property>
  <property fmtid="{D5CDD505-2E9C-101B-9397-08002B2CF9AE}" pid="7" name="MSIP_Label_611ac0a8-6b99-444d-a60f-7336bfe397d8_ActionId">
    <vt:lpwstr>35e22e13-6f22-4b0a-a352-8765f6117217</vt:lpwstr>
  </property>
  <property fmtid="{D5CDD505-2E9C-101B-9397-08002B2CF9AE}" pid="8" name="MSIP_Label_611ac0a8-6b99-444d-a60f-7336bfe397d8_ContentBits">
    <vt:lpwstr>0</vt:lpwstr>
  </property>
  <property fmtid="{D5CDD505-2E9C-101B-9397-08002B2CF9AE}" pid="9" name="ContentTypeId">
    <vt:lpwstr>0x0101003C4558D17C5424438ED9E058A452A00D</vt:lpwstr>
  </property>
</Properties>
</file>