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homefiles\home\jbishara\profile\Desktop\"/>
    </mc:Choice>
  </mc:AlternateContent>
  <bookViews>
    <workbookView xWindow="0" yWindow="0" windowWidth="28800" windowHeight="12300" tabRatio="723" activeTab="11"/>
  </bookViews>
  <sheets>
    <sheet name="Summary" sheetId="5" r:id="rId1"/>
    <sheet name="Existing" sheetId="21" r:id="rId2"/>
    <sheet name="Reliability" sheetId="2" r:id="rId3"/>
    <sheet name="2018-19 Policy and Econ" sheetId="13" r:id="rId4"/>
    <sheet name="WOD" sheetId="15" r:id="rId5"/>
    <sheet name="ClrdoRvr" sheetId="9" r:id="rId6"/>
    <sheet name="Red Bluff 2AA Bank" sheetId="10" r:id="rId7"/>
    <sheet name="Calcite" sheetId="18" r:id="rId8"/>
    <sheet name="New Project 10" sheetId="11" r:id="rId9"/>
    <sheet name="New Project 11" sheetId="12" r:id="rId10"/>
    <sheet name="New Project 12" sheetId="20" r:id="rId11"/>
    <sheet name="Tehachapi" sheetId="17" r:id="rId12"/>
    <sheet name="CW-Lugo" sheetId="14" r:id="rId13"/>
    <sheet name="South CC" sheetId="19" r:id="rId14"/>
  </sheets>
  <definedNames>
    <definedName name="_xlnm._FilterDatabase" localSheetId="0" hidden="1">Summary!$I$1:$W$79</definedName>
    <definedName name="CIQWBGuid" hidden="1">"0c0e6f01-36d0-4b48-9c14-a99f9f3d7915"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'2018-19 Policy and Econ'!$I$1:$R$89</definedName>
    <definedName name="_xlnm.Print_Area" localSheetId="7">Calcite!$I$1:$R$89</definedName>
    <definedName name="_xlnm.Print_Area" localSheetId="5">ClrdoRvr!$I$1:$R$89</definedName>
    <definedName name="_xlnm.Print_Area" localSheetId="12">'CW-Lugo'!$I$1:$R$89</definedName>
    <definedName name="_xlnm.Print_Area" localSheetId="1">Existing!$I$1:$R$186</definedName>
    <definedName name="_xlnm.Print_Area" localSheetId="8">'New Project 10'!$I$1:$R$89</definedName>
    <definedName name="_xlnm.Print_Area" localSheetId="9">'New Project 11'!$I$1:$R$89</definedName>
    <definedName name="_xlnm.Print_Area" localSheetId="10">'New Project 12'!$I$1:$R$89</definedName>
    <definedName name="_xlnm.Print_Area" localSheetId="6">'Red Bluff 2AA Bank'!$I$1:$R$89</definedName>
    <definedName name="_xlnm.Print_Area" localSheetId="2">Reliability!$I$1:$R$89</definedName>
    <definedName name="_xlnm.Print_Area" localSheetId="13">'South CC'!$I$1:$R$89</definedName>
    <definedName name="_xlnm.Print_Area" localSheetId="0">Summary!$I$1:$R$79</definedName>
    <definedName name="_xlnm.Print_Area" localSheetId="11">Tehachapi!$I$1:$R$89</definedName>
    <definedName name="_xlnm.Print_Area" localSheetId="4">WOD!$I$1:$R$89</definedName>
    <definedName name="_xlnm.Print_Titles" localSheetId="3">'2018-19 Policy and Econ'!$A:$G,'2018-19 Policy and Econ'!$1:$5</definedName>
    <definedName name="_xlnm.Print_Titles" localSheetId="7">Calcite!$A:$G,Calcite!$1:$5</definedName>
    <definedName name="_xlnm.Print_Titles" localSheetId="5">ClrdoRvr!$A:$G,ClrdoRvr!$1:$5</definedName>
    <definedName name="_xlnm.Print_Titles" localSheetId="12">'CW-Lugo'!$A:$G,'CW-Lugo'!$1:$5</definedName>
    <definedName name="_xlnm.Print_Titles" localSheetId="1">Existing!$A:$G,Existing!$1:$5</definedName>
    <definedName name="_xlnm.Print_Titles" localSheetId="8">'New Project 10'!$A:$G,'New Project 10'!$1:$5</definedName>
    <definedName name="_xlnm.Print_Titles" localSheetId="9">'New Project 11'!$A:$G,'New Project 11'!$1:$5</definedName>
    <definedName name="_xlnm.Print_Titles" localSheetId="10">'New Project 12'!$A:$G,'New Project 12'!$1:$5</definedName>
    <definedName name="_xlnm.Print_Titles" localSheetId="6">'Red Bluff 2AA Bank'!$A:$G,'Red Bluff 2AA Bank'!$1:$5</definedName>
    <definedName name="_xlnm.Print_Titles" localSheetId="2">Reliability!$A:$G,Reliability!$1:$5</definedName>
    <definedName name="_xlnm.Print_Titles" localSheetId="13">'South CC'!$A:$G,'South CC'!$1:$5</definedName>
    <definedName name="_xlnm.Print_Titles" localSheetId="0">Summary!$A:$G,Summary!$1:$5</definedName>
    <definedName name="_xlnm.Print_Titles" localSheetId="11">Tehachapi!$A:$G,Tehachapi!$1:$5</definedName>
    <definedName name="_xlnm.Print_Titles" localSheetId="4">WOD!$A:$G,WOD!$1:$5</definedName>
  </definedNames>
  <calcPr calcId="162913"/>
</workbook>
</file>

<file path=xl/calcChain.xml><?xml version="1.0" encoding="utf-8"?>
<calcChain xmlns="http://schemas.openxmlformats.org/spreadsheetml/2006/main">
  <c r="K38" i="9" l="1"/>
  <c r="I8" i="5" l="1"/>
  <c r="J13" i="5" l="1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I13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23" i="2" l="1"/>
  <c r="I30" i="21" l="1"/>
  <c r="I3" i="18"/>
  <c r="J3" i="18"/>
  <c r="K3" i="18"/>
  <c r="L3" i="18"/>
  <c r="M3" i="18"/>
  <c r="N3" i="18"/>
  <c r="O3" i="18"/>
  <c r="P3" i="18"/>
  <c r="Q3" i="18"/>
  <c r="R3" i="18"/>
  <c r="S3" i="18"/>
  <c r="T3" i="18"/>
  <c r="U3" i="18"/>
  <c r="V3" i="18"/>
  <c r="W3" i="18"/>
  <c r="H3" i="18"/>
  <c r="D9" i="5"/>
  <c r="D12" i="5"/>
  <c r="H3" i="10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H3" i="9"/>
  <c r="W23" i="2"/>
  <c r="X2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H3" i="15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H3" i="13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H3" i="2"/>
  <c r="F142" i="21" l="1"/>
  <c r="F140" i="21"/>
  <c r="F144" i="21" s="1"/>
  <c r="F139" i="21"/>
  <c r="F136" i="21"/>
  <c r="F134" i="21"/>
  <c r="F133" i="21"/>
  <c r="F132" i="21"/>
  <c r="F130" i="21"/>
  <c r="F129" i="21"/>
  <c r="F123" i="21"/>
  <c r="F120" i="21"/>
  <c r="F119" i="21"/>
  <c r="I3" i="5"/>
  <c r="J3" i="5" l="1"/>
  <c r="I3" i="10"/>
  <c r="F143" i="21"/>
  <c r="K3" i="5" l="1"/>
  <c r="J3" i="10"/>
  <c r="D37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R21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W18" i="20"/>
  <c r="U18" i="20"/>
  <c r="R18" i="20"/>
  <c r="Q18" i="20"/>
  <c r="O18" i="20"/>
  <c r="N18" i="20"/>
  <c r="L18" i="20"/>
  <c r="I18" i="20"/>
  <c r="W16" i="20"/>
  <c r="V16" i="20"/>
  <c r="U16" i="20"/>
  <c r="T16" i="20"/>
  <c r="S16" i="20"/>
  <c r="R16" i="20"/>
  <c r="Q16" i="20"/>
  <c r="P16" i="20"/>
  <c r="O16" i="20"/>
  <c r="O21" i="20" s="1"/>
  <c r="N16" i="20"/>
  <c r="M16" i="20"/>
  <c r="L16" i="20"/>
  <c r="K16" i="20"/>
  <c r="J16" i="20"/>
  <c r="I16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A10" i="20"/>
  <c r="A11" i="20" s="1"/>
  <c r="A13" i="20" s="1"/>
  <c r="A15" i="20" s="1"/>
  <c r="A16" i="20" s="1"/>
  <c r="A18" i="20" s="1"/>
  <c r="A19" i="20" s="1"/>
  <c r="A21" i="20" s="1"/>
  <c r="A23" i="20" s="1"/>
  <c r="A24" i="20" s="1"/>
  <c r="A25" i="20" s="1"/>
  <c r="A27" i="20" s="1"/>
  <c r="A28" i="20" s="1"/>
  <c r="A29" i="20" s="1"/>
  <c r="A31" i="20" s="1"/>
  <c r="A32" i="20" s="1"/>
  <c r="A35" i="20" s="1"/>
  <c r="A36" i="20" s="1"/>
  <c r="A37" i="20" s="1"/>
  <c r="A38" i="20" s="1"/>
  <c r="A39" i="20" s="1"/>
  <c r="A40" i="20" s="1"/>
  <c r="A43" i="20" s="1"/>
  <c r="A44" i="20" s="1"/>
  <c r="A45" i="20" s="1"/>
  <c r="A46" i="20" s="1"/>
  <c r="A47" i="20" s="1"/>
  <c r="A50" i="20" s="1"/>
  <c r="A51" i="20" s="1"/>
  <c r="A52" i="20" s="1"/>
  <c r="A53" i="20" s="1"/>
  <c r="A54" i="20" s="1"/>
  <c r="A57" i="20" s="1"/>
  <c r="A58" i="20" s="1"/>
  <c r="A59" i="20" s="1"/>
  <c r="A60" i="20" s="1"/>
  <c r="A63" i="20" s="1"/>
  <c r="A64" i="20" s="1"/>
  <c r="A65" i="20" s="1"/>
  <c r="A66" i="20" s="1"/>
  <c r="A69" i="20" s="1"/>
  <c r="A70" i="20" s="1"/>
  <c r="A71" i="20" s="1"/>
  <c r="A72" i="20" s="1"/>
  <c r="A73" i="20" s="1"/>
  <c r="A76" i="20" s="1"/>
  <c r="A77" i="20" s="1"/>
  <c r="A78" i="20" s="1"/>
  <c r="A79" i="20" s="1"/>
  <c r="A80" i="20" s="1"/>
  <c r="A83" i="20" s="1"/>
  <c r="A84" i="20" s="1"/>
  <c r="A85" i="20" s="1"/>
  <c r="A86" i="20" s="1"/>
  <c r="A87" i="20" s="1"/>
  <c r="A88" i="20" s="1"/>
  <c r="A89" i="20" s="1"/>
  <c r="A8" i="20"/>
  <c r="M4" i="20"/>
  <c r="L4" i="20"/>
  <c r="J4" i="20"/>
  <c r="K4" i="20" s="1"/>
  <c r="L3" i="20"/>
  <c r="K3" i="20"/>
  <c r="J3" i="20"/>
  <c r="D37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S21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V18" i="12"/>
  <c r="S18" i="12"/>
  <c r="R18" i="12"/>
  <c r="P18" i="12"/>
  <c r="O18" i="12"/>
  <c r="M18" i="12"/>
  <c r="J18" i="12"/>
  <c r="I18" i="12"/>
  <c r="W16" i="12"/>
  <c r="V16" i="12"/>
  <c r="V21" i="12" s="1"/>
  <c r="U16" i="12"/>
  <c r="T16" i="12"/>
  <c r="S16" i="12"/>
  <c r="R16" i="12"/>
  <c r="Q16" i="12"/>
  <c r="P16" i="12"/>
  <c r="P21" i="12" s="1"/>
  <c r="O16" i="12"/>
  <c r="N16" i="12"/>
  <c r="M16" i="12"/>
  <c r="L16" i="12"/>
  <c r="K16" i="12"/>
  <c r="J16" i="12"/>
  <c r="J21" i="12" s="1"/>
  <c r="I16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A15" i="12"/>
  <c r="A16" i="12" s="1"/>
  <c r="A18" i="12" s="1"/>
  <c r="A19" i="12" s="1"/>
  <c r="A21" i="12" s="1"/>
  <c r="A23" i="12" s="1"/>
  <c r="A24" i="12" s="1"/>
  <c r="A25" i="12" s="1"/>
  <c r="A27" i="12" s="1"/>
  <c r="A28" i="12" s="1"/>
  <c r="A29" i="12" s="1"/>
  <c r="A31" i="12" s="1"/>
  <c r="A32" i="12" s="1"/>
  <c r="A35" i="12" s="1"/>
  <c r="A36" i="12" s="1"/>
  <c r="A37" i="12" s="1"/>
  <c r="A38" i="12" s="1"/>
  <c r="A39" i="12" s="1"/>
  <c r="A40" i="12" s="1"/>
  <c r="A43" i="12" s="1"/>
  <c r="A44" i="12" s="1"/>
  <c r="A45" i="12" s="1"/>
  <c r="A46" i="12" s="1"/>
  <c r="A47" i="12" s="1"/>
  <c r="A50" i="12" s="1"/>
  <c r="A51" i="12" s="1"/>
  <c r="A52" i="12" s="1"/>
  <c r="A53" i="12" s="1"/>
  <c r="A54" i="12" s="1"/>
  <c r="A57" i="12" s="1"/>
  <c r="A58" i="12" s="1"/>
  <c r="A59" i="12" s="1"/>
  <c r="A60" i="12" s="1"/>
  <c r="A63" i="12" s="1"/>
  <c r="A64" i="12" s="1"/>
  <c r="A65" i="12" s="1"/>
  <c r="A66" i="12" s="1"/>
  <c r="A69" i="12" s="1"/>
  <c r="A70" i="12" s="1"/>
  <c r="A71" i="12" s="1"/>
  <c r="A72" i="12" s="1"/>
  <c r="A73" i="12" s="1"/>
  <c r="A76" i="12" s="1"/>
  <c r="A77" i="12" s="1"/>
  <c r="A78" i="12" s="1"/>
  <c r="A79" i="12" s="1"/>
  <c r="A80" i="12" s="1"/>
  <c r="A83" i="12" s="1"/>
  <c r="A84" i="12" s="1"/>
  <c r="A85" i="12" s="1"/>
  <c r="A86" i="12" s="1"/>
  <c r="A87" i="12" s="1"/>
  <c r="A88" i="12" s="1"/>
  <c r="A89" i="12" s="1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A11" i="12"/>
  <c r="A13" i="12" s="1"/>
  <c r="A10" i="12"/>
  <c r="A8" i="12"/>
  <c r="K4" i="12"/>
  <c r="J4" i="12"/>
  <c r="J23" i="12" s="1"/>
  <c r="J3" i="12"/>
  <c r="D37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W21" i="11"/>
  <c r="P21" i="11"/>
  <c r="J21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V18" i="11"/>
  <c r="S18" i="11"/>
  <c r="R18" i="11"/>
  <c r="P18" i="11"/>
  <c r="O18" i="11"/>
  <c r="M18" i="11"/>
  <c r="J18" i="11"/>
  <c r="I18" i="11"/>
  <c r="W16" i="11"/>
  <c r="V16" i="11"/>
  <c r="V21" i="11" s="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W15" i="11"/>
  <c r="W18" i="11" s="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A15" i="11"/>
  <c r="A16" i="11" s="1"/>
  <c r="A18" i="11" s="1"/>
  <c r="A19" i="11" s="1"/>
  <c r="A21" i="11" s="1"/>
  <c r="A23" i="11" s="1"/>
  <c r="A24" i="11" s="1"/>
  <c r="A25" i="11" s="1"/>
  <c r="A27" i="11" s="1"/>
  <c r="A28" i="11" s="1"/>
  <c r="A29" i="11" s="1"/>
  <c r="A31" i="11" s="1"/>
  <c r="A32" i="11" s="1"/>
  <c r="A35" i="11" s="1"/>
  <c r="A36" i="11" s="1"/>
  <c r="A37" i="11" s="1"/>
  <c r="A38" i="11" s="1"/>
  <c r="A39" i="11" s="1"/>
  <c r="A40" i="11" s="1"/>
  <c r="A43" i="11" s="1"/>
  <c r="A44" i="11" s="1"/>
  <c r="A45" i="11" s="1"/>
  <c r="A46" i="11" s="1"/>
  <c r="A47" i="11" s="1"/>
  <c r="A50" i="11" s="1"/>
  <c r="A51" i="11" s="1"/>
  <c r="A52" i="11" s="1"/>
  <c r="A53" i="11" s="1"/>
  <c r="A54" i="11" s="1"/>
  <c r="A57" i="11" s="1"/>
  <c r="A58" i="11" s="1"/>
  <c r="A59" i="11" s="1"/>
  <c r="A60" i="11" s="1"/>
  <c r="A63" i="11" s="1"/>
  <c r="A64" i="11" s="1"/>
  <c r="A65" i="11" s="1"/>
  <c r="A66" i="11" s="1"/>
  <c r="A69" i="11" s="1"/>
  <c r="A70" i="11" s="1"/>
  <c r="A71" i="11" s="1"/>
  <c r="A72" i="11" s="1"/>
  <c r="A73" i="11" s="1"/>
  <c r="A76" i="11" s="1"/>
  <c r="A77" i="11" s="1"/>
  <c r="A78" i="11" s="1"/>
  <c r="A79" i="11" s="1"/>
  <c r="A80" i="11" s="1"/>
  <c r="A83" i="11" s="1"/>
  <c r="A84" i="11" s="1"/>
  <c r="A85" i="11" s="1"/>
  <c r="A86" i="11" s="1"/>
  <c r="A87" i="11" s="1"/>
  <c r="A88" i="11" s="1"/>
  <c r="A89" i="11" s="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A11" i="11"/>
  <c r="A13" i="11" s="1"/>
  <c r="A10" i="11"/>
  <c r="A8" i="11"/>
  <c r="K4" i="11"/>
  <c r="J4" i="11"/>
  <c r="J23" i="11" s="1"/>
  <c r="J3" i="11"/>
  <c r="A39" i="18"/>
  <c r="A40" i="18" s="1"/>
  <c r="A43" i="18" s="1"/>
  <c r="A44" i="18" s="1"/>
  <c r="A45" i="18" s="1"/>
  <c r="A46" i="18" s="1"/>
  <c r="A47" i="18" s="1"/>
  <c r="A50" i="18" s="1"/>
  <c r="A51" i="18" s="1"/>
  <c r="A52" i="18" s="1"/>
  <c r="A53" i="18" s="1"/>
  <c r="A54" i="18" s="1"/>
  <c r="A57" i="18" s="1"/>
  <c r="A58" i="18" s="1"/>
  <c r="A59" i="18" s="1"/>
  <c r="A60" i="18" s="1"/>
  <c r="A63" i="18" s="1"/>
  <c r="A64" i="18" s="1"/>
  <c r="A65" i="18" s="1"/>
  <c r="A66" i="18" s="1"/>
  <c r="A69" i="18" s="1"/>
  <c r="A70" i="18" s="1"/>
  <c r="A71" i="18" s="1"/>
  <c r="A72" i="18" s="1"/>
  <c r="A73" i="18" s="1"/>
  <c r="A76" i="18" s="1"/>
  <c r="A77" i="18" s="1"/>
  <c r="A78" i="18" s="1"/>
  <c r="A79" i="18" s="1"/>
  <c r="A80" i="18" s="1"/>
  <c r="A83" i="18" s="1"/>
  <c r="A84" i="18" s="1"/>
  <c r="A85" i="18" s="1"/>
  <c r="A86" i="18" s="1"/>
  <c r="A87" i="18" s="1"/>
  <c r="A88" i="18" s="1"/>
  <c r="A89" i="18" s="1"/>
  <c r="D37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Q21" i="18"/>
  <c r="L21" i="18"/>
  <c r="K21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W18" i="18"/>
  <c r="T18" i="18"/>
  <c r="T21" i="18" s="1"/>
  <c r="S18" i="18"/>
  <c r="Q18" i="18"/>
  <c r="P18" i="18"/>
  <c r="N18" i="18"/>
  <c r="K18" i="18"/>
  <c r="J18" i="18"/>
  <c r="W16" i="18"/>
  <c r="V16" i="18"/>
  <c r="U16" i="18"/>
  <c r="T16" i="18"/>
  <c r="S16" i="18"/>
  <c r="R16" i="18"/>
  <c r="Q16" i="18"/>
  <c r="P16" i="18"/>
  <c r="O16" i="18"/>
  <c r="N16" i="18"/>
  <c r="N21" i="18" s="1"/>
  <c r="M16" i="18"/>
  <c r="L16" i="18"/>
  <c r="K16" i="18"/>
  <c r="J16" i="18"/>
  <c r="I16" i="18"/>
  <c r="W15" i="18"/>
  <c r="V15" i="18"/>
  <c r="U15" i="18"/>
  <c r="U18" i="18" s="1"/>
  <c r="T15" i="18"/>
  <c r="S15" i="18"/>
  <c r="R15" i="18"/>
  <c r="Q15" i="18"/>
  <c r="P15" i="18"/>
  <c r="O15" i="18"/>
  <c r="O18" i="18" s="1"/>
  <c r="N15" i="18"/>
  <c r="M15" i="18"/>
  <c r="L15" i="18"/>
  <c r="L18" i="18" s="1"/>
  <c r="K15" i="18"/>
  <c r="J15" i="18"/>
  <c r="I15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A8" i="18"/>
  <c r="A10" i="18" s="1"/>
  <c r="A11" i="18" s="1"/>
  <c r="A13" i="18" s="1"/>
  <c r="A15" i="18" s="1"/>
  <c r="A16" i="18" s="1"/>
  <c r="A18" i="18" s="1"/>
  <c r="A19" i="18" s="1"/>
  <c r="A21" i="18" s="1"/>
  <c r="A23" i="18" s="1"/>
  <c r="A24" i="18" s="1"/>
  <c r="A25" i="18" s="1"/>
  <c r="A27" i="18" s="1"/>
  <c r="A28" i="18" s="1"/>
  <c r="A29" i="18" s="1"/>
  <c r="A31" i="18" s="1"/>
  <c r="A32" i="18" s="1"/>
  <c r="A35" i="18" s="1"/>
  <c r="A36" i="18" s="1"/>
  <c r="A37" i="18" s="1"/>
  <c r="A38" i="18" s="1"/>
  <c r="K4" i="18"/>
  <c r="J4" i="18"/>
  <c r="J23" i="18" s="1"/>
  <c r="A43" i="10"/>
  <c r="A44" i="10" s="1"/>
  <c r="A45" i="10" s="1"/>
  <c r="A46" i="10" s="1"/>
  <c r="A47" i="10" s="1"/>
  <c r="A50" i="10" s="1"/>
  <c r="A51" i="10" s="1"/>
  <c r="A52" i="10" s="1"/>
  <c r="A53" i="10" s="1"/>
  <c r="A54" i="10" s="1"/>
  <c r="A57" i="10" s="1"/>
  <c r="A58" i="10" s="1"/>
  <c r="A59" i="10" s="1"/>
  <c r="A60" i="10" s="1"/>
  <c r="A63" i="10" s="1"/>
  <c r="A64" i="10" s="1"/>
  <c r="A65" i="10" s="1"/>
  <c r="A66" i="10" s="1"/>
  <c r="A69" i="10" s="1"/>
  <c r="A70" i="10" s="1"/>
  <c r="A71" i="10" s="1"/>
  <c r="A72" i="10" s="1"/>
  <c r="A73" i="10" s="1"/>
  <c r="A76" i="10" s="1"/>
  <c r="A77" i="10" s="1"/>
  <c r="A78" i="10" s="1"/>
  <c r="A79" i="10" s="1"/>
  <c r="A80" i="10" s="1"/>
  <c r="A83" i="10" s="1"/>
  <c r="A84" i="10" s="1"/>
  <c r="A85" i="10" s="1"/>
  <c r="A86" i="10" s="1"/>
  <c r="A87" i="10" s="1"/>
  <c r="A88" i="10" s="1"/>
  <c r="A89" i="10" s="1"/>
  <c r="D37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L21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W18" i="10"/>
  <c r="T18" i="10"/>
  <c r="Q18" i="10"/>
  <c r="P18" i="10"/>
  <c r="N18" i="10"/>
  <c r="K18" i="10"/>
  <c r="W16" i="10"/>
  <c r="W21" i="10" s="1"/>
  <c r="V16" i="10"/>
  <c r="U16" i="10"/>
  <c r="T16" i="10"/>
  <c r="S16" i="10"/>
  <c r="R16" i="10"/>
  <c r="Q16" i="10"/>
  <c r="Q21" i="10" s="1"/>
  <c r="P16" i="10"/>
  <c r="O16" i="10"/>
  <c r="N16" i="10"/>
  <c r="N21" i="10" s="1"/>
  <c r="M16" i="10"/>
  <c r="L16" i="10"/>
  <c r="K16" i="10"/>
  <c r="K21" i="10" s="1"/>
  <c r="J16" i="10"/>
  <c r="I16" i="10"/>
  <c r="W15" i="10"/>
  <c r="V15" i="10"/>
  <c r="U15" i="10"/>
  <c r="U18" i="10" s="1"/>
  <c r="T15" i="10"/>
  <c r="S15" i="10"/>
  <c r="R15" i="10"/>
  <c r="Q15" i="10"/>
  <c r="P15" i="10"/>
  <c r="O15" i="10"/>
  <c r="N15" i="10"/>
  <c r="M15" i="10"/>
  <c r="L15" i="10"/>
  <c r="L18" i="10" s="1"/>
  <c r="K15" i="10"/>
  <c r="J15" i="10"/>
  <c r="I15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A8" i="10"/>
  <c r="A10" i="10" s="1"/>
  <c r="A11" i="10" s="1"/>
  <c r="A13" i="10" s="1"/>
  <c r="A15" i="10" s="1"/>
  <c r="A16" i="10" s="1"/>
  <c r="A18" i="10" s="1"/>
  <c r="A19" i="10" s="1"/>
  <c r="A21" i="10" s="1"/>
  <c r="A23" i="10" s="1"/>
  <c r="A24" i="10" s="1"/>
  <c r="A25" i="10" s="1"/>
  <c r="A27" i="10" s="1"/>
  <c r="A28" i="10" s="1"/>
  <c r="A29" i="10" s="1"/>
  <c r="A31" i="10" s="1"/>
  <c r="A32" i="10" s="1"/>
  <c r="A35" i="10" s="1"/>
  <c r="A36" i="10" s="1"/>
  <c r="A37" i="10" s="1"/>
  <c r="A38" i="10" s="1"/>
  <c r="A39" i="10" s="1"/>
  <c r="A40" i="10" s="1"/>
  <c r="K4" i="10"/>
  <c r="L4" i="10" s="1"/>
  <c r="J4" i="10"/>
  <c r="J23" i="10" s="1"/>
  <c r="D37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V21" i="13"/>
  <c r="U21" i="13"/>
  <c r="P21" i="13"/>
  <c r="M21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U18" i="13"/>
  <c r="T18" i="13"/>
  <c r="R18" i="13"/>
  <c r="O18" i="13"/>
  <c r="L18" i="13"/>
  <c r="I18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W15" i="13"/>
  <c r="V15" i="13"/>
  <c r="V18" i="13" s="1"/>
  <c r="U15" i="13"/>
  <c r="T15" i="13"/>
  <c r="S15" i="13"/>
  <c r="S18" i="13" s="1"/>
  <c r="R15" i="13"/>
  <c r="Q15" i="13"/>
  <c r="P15" i="13"/>
  <c r="P18" i="13" s="1"/>
  <c r="O15" i="13"/>
  <c r="N15" i="13"/>
  <c r="M15" i="13"/>
  <c r="M18" i="13" s="1"/>
  <c r="L15" i="13"/>
  <c r="K15" i="13"/>
  <c r="J15" i="13"/>
  <c r="J18" i="13" s="1"/>
  <c r="I15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A11" i="13"/>
  <c r="A13" i="13" s="1"/>
  <c r="A15" i="13" s="1"/>
  <c r="A16" i="13" s="1"/>
  <c r="A18" i="13" s="1"/>
  <c r="A19" i="13" s="1"/>
  <c r="A21" i="13" s="1"/>
  <c r="A23" i="13" s="1"/>
  <c r="A24" i="13" s="1"/>
  <c r="A25" i="13" s="1"/>
  <c r="A27" i="13" s="1"/>
  <c r="A28" i="13" s="1"/>
  <c r="A29" i="13" s="1"/>
  <c r="A31" i="13" s="1"/>
  <c r="A32" i="13" s="1"/>
  <c r="A35" i="13" s="1"/>
  <c r="A36" i="13" s="1"/>
  <c r="A37" i="13" s="1"/>
  <c r="A38" i="13" s="1"/>
  <c r="A39" i="13" s="1"/>
  <c r="A40" i="13" s="1"/>
  <c r="A43" i="13" s="1"/>
  <c r="A44" i="13" s="1"/>
  <c r="A45" i="13" s="1"/>
  <c r="A46" i="13" s="1"/>
  <c r="A47" i="13" s="1"/>
  <c r="A50" i="13" s="1"/>
  <c r="A51" i="13" s="1"/>
  <c r="A52" i="13" s="1"/>
  <c r="A53" i="13" s="1"/>
  <c r="A54" i="13" s="1"/>
  <c r="A57" i="13" s="1"/>
  <c r="A58" i="13" s="1"/>
  <c r="A59" i="13" s="1"/>
  <c r="A60" i="13" s="1"/>
  <c r="A63" i="13" s="1"/>
  <c r="A64" i="13" s="1"/>
  <c r="A65" i="13" s="1"/>
  <c r="A66" i="13" s="1"/>
  <c r="A69" i="13" s="1"/>
  <c r="A70" i="13" s="1"/>
  <c r="A71" i="13" s="1"/>
  <c r="A72" i="13" s="1"/>
  <c r="A73" i="13" s="1"/>
  <c r="A76" i="13" s="1"/>
  <c r="A77" i="13" s="1"/>
  <c r="A78" i="13" s="1"/>
  <c r="A79" i="13" s="1"/>
  <c r="A80" i="13" s="1"/>
  <c r="A83" i="13" s="1"/>
  <c r="A84" i="13" s="1"/>
  <c r="A85" i="13" s="1"/>
  <c r="A86" i="13" s="1"/>
  <c r="A87" i="13" s="1"/>
  <c r="A88" i="13" s="1"/>
  <c r="A89" i="13" s="1"/>
  <c r="A10" i="13"/>
  <c r="A8" i="13"/>
  <c r="J4" i="13"/>
  <c r="J38" i="9"/>
  <c r="I38" i="9"/>
  <c r="I44" i="9" s="1"/>
  <c r="D37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W21" i="9"/>
  <c r="S21" i="9"/>
  <c r="M21" i="9"/>
  <c r="J21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V18" i="9"/>
  <c r="V21" i="9" s="1"/>
  <c r="U18" i="9"/>
  <c r="S18" i="9"/>
  <c r="P18" i="9"/>
  <c r="M18" i="9"/>
  <c r="J18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W15" i="9"/>
  <c r="W18" i="9" s="1"/>
  <c r="V15" i="9"/>
  <c r="U15" i="9"/>
  <c r="T15" i="9"/>
  <c r="T18" i="9" s="1"/>
  <c r="S15" i="9"/>
  <c r="R15" i="9"/>
  <c r="Q15" i="9"/>
  <c r="Q18" i="9" s="1"/>
  <c r="P15" i="9"/>
  <c r="O15" i="9"/>
  <c r="N15" i="9"/>
  <c r="M15" i="9"/>
  <c r="L15" i="9"/>
  <c r="K15" i="9"/>
  <c r="J15" i="9"/>
  <c r="I15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A10" i="9"/>
  <c r="A11" i="9" s="1"/>
  <c r="A13" i="9" s="1"/>
  <c r="A15" i="9" s="1"/>
  <c r="A16" i="9" s="1"/>
  <c r="A18" i="9" s="1"/>
  <c r="A19" i="9" s="1"/>
  <c r="A21" i="9" s="1"/>
  <c r="A23" i="9" s="1"/>
  <c r="A24" i="9" s="1"/>
  <c r="A25" i="9" s="1"/>
  <c r="A27" i="9" s="1"/>
  <c r="A28" i="9" s="1"/>
  <c r="A29" i="9" s="1"/>
  <c r="A31" i="9" s="1"/>
  <c r="A32" i="9" s="1"/>
  <c r="A35" i="9" s="1"/>
  <c r="A36" i="9" s="1"/>
  <c r="A37" i="9" s="1"/>
  <c r="A38" i="9" s="1"/>
  <c r="A39" i="9" s="1"/>
  <c r="A40" i="9" s="1"/>
  <c r="A43" i="9" s="1"/>
  <c r="A44" i="9" s="1"/>
  <c r="A45" i="9" s="1"/>
  <c r="A46" i="9" s="1"/>
  <c r="A47" i="9" s="1"/>
  <c r="A50" i="9" s="1"/>
  <c r="A51" i="9" s="1"/>
  <c r="A52" i="9" s="1"/>
  <c r="A53" i="9" s="1"/>
  <c r="A54" i="9" s="1"/>
  <c r="A57" i="9" s="1"/>
  <c r="A58" i="9" s="1"/>
  <c r="A59" i="9" s="1"/>
  <c r="A60" i="9" s="1"/>
  <c r="A63" i="9" s="1"/>
  <c r="A64" i="9" s="1"/>
  <c r="A65" i="9" s="1"/>
  <c r="A66" i="9" s="1"/>
  <c r="A69" i="9" s="1"/>
  <c r="A70" i="9" s="1"/>
  <c r="A71" i="9" s="1"/>
  <c r="A72" i="9" s="1"/>
  <c r="A73" i="9" s="1"/>
  <c r="A76" i="9" s="1"/>
  <c r="A77" i="9" s="1"/>
  <c r="A78" i="9" s="1"/>
  <c r="A79" i="9" s="1"/>
  <c r="A80" i="9" s="1"/>
  <c r="A83" i="9" s="1"/>
  <c r="A84" i="9" s="1"/>
  <c r="A85" i="9" s="1"/>
  <c r="A86" i="9" s="1"/>
  <c r="A87" i="9" s="1"/>
  <c r="A88" i="9" s="1"/>
  <c r="A89" i="9" s="1"/>
  <c r="A8" i="9"/>
  <c r="K4" i="9"/>
  <c r="J4" i="9"/>
  <c r="J23" i="9" s="1"/>
  <c r="H65" i="14"/>
  <c r="H71" i="14" s="1"/>
  <c r="H64" i="14"/>
  <c r="H60" i="14"/>
  <c r="I57" i="14" s="1"/>
  <c r="H58" i="14"/>
  <c r="H59" i="14" s="1"/>
  <c r="H44" i="14"/>
  <c r="I38" i="14"/>
  <c r="I64" i="14" s="1"/>
  <c r="H38" i="14"/>
  <c r="D37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J23" i="14"/>
  <c r="V21" i="14"/>
  <c r="U21" i="14"/>
  <c r="P21" i="14"/>
  <c r="M21" i="14"/>
  <c r="L21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U18" i="14"/>
  <c r="R18" i="14"/>
  <c r="O18" i="14"/>
  <c r="L18" i="14"/>
  <c r="I18" i="14"/>
  <c r="W16" i="14"/>
  <c r="V16" i="14"/>
  <c r="U16" i="14"/>
  <c r="T16" i="14"/>
  <c r="S16" i="14"/>
  <c r="R16" i="14"/>
  <c r="R21" i="14" s="1"/>
  <c r="Q16" i="14"/>
  <c r="P16" i="14"/>
  <c r="O16" i="14"/>
  <c r="O21" i="14" s="1"/>
  <c r="N16" i="14"/>
  <c r="M16" i="14"/>
  <c r="L16" i="14"/>
  <c r="K16" i="14"/>
  <c r="J16" i="14"/>
  <c r="I16" i="14"/>
  <c r="W15" i="14"/>
  <c r="V15" i="14"/>
  <c r="V18" i="14" s="1"/>
  <c r="U15" i="14"/>
  <c r="T15" i="14"/>
  <c r="S15" i="14"/>
  <c r="S18" i="14" s="1"/>
  <c r="R15" i="14"/>
  <c r="Q15" i="14"/>
  <c r="P15" i="14"/>
  <c r="P18" i="14" s="1"/>
  <c r="O15" i="14"/>
  <c r="N15" i="14"/>
  <c r="M15" i="14"/>
  <c r="M18" i="14" s="1"/>
  <c r="L15" i="14"/>
  <c r="K15" i="14"/>
  <c r="K18" i="14" s="1"/>
  <c r="J15" i="14"/>
  <c r="J18" i="14" s="1"/>
  <c r="I15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H51" i="14" s="1"/>
  <c r="A10" i="14"/>
  <c r="A11" i="14" s="1"/>
  <c r="A13" i="14" s="1"/>
  <c r="A15" i="14" s="1"/>
  <c r="A16" i="14" s="1"/>
  <c r="A18" i="14" s="1"/>
  <c r="A19" i="14" s="1"/>
  <c r="A21" i="14" s="1"/>
  <c r="A23" i="14" s="1"/>
  <c r="A24" i="14" s="1"/>
  <c r="A25" i="14" s="1"/>
  <c r="A27" i="14" s="1"/>
  <c r="A28" i="14" s="1"/>
  <c r="A29" i="14" s="1"/>
  <c r="A31" i="14" s="1"/>
  <c r="A32" i="14" s="1"/>
  <c r="A35" i="14" s="1"/>
  <c r="A36" i="14" s="1"/>
  <c r="A37" i="14" s="1"/>
  <c r="A38" i="14" s="1"/>
  <c r="A39" i="14" s="1"/>
  <c r="A40" i="14" s="1"/>
  <c r="A43" i="14" s="1"/>
  <c r="A44" i="14" s="1"/>
  <c r="A45" i="14" s="1"/>
  <c r="A46" i="14" s="1"/>
  <c r="A47" i="14" s="1"/>
  <c r="A50" i="14" s="1"/>
  <c r="A51" i="14" s="1"/>
  <c r="A52" i="14" s="1"/>
  <c r="A53" i="14" s="1"/>
  <c r="A54" i="14" s="1"/>
  <c r="A57" i="14" s="1"/>
  <c r="A58" i="14" s="1"/>
  <c r="A59" i="14" s="1"/>
  <c r="A60" i="14" s="1"/>
  <c r="A63" i="14" s="1"/>
  <c r="A64" i="14" s="1"/>
  <c r="A65" i="14" s="1"/>
  <c r="A66" i="14" s="1"/>
  <c r="A69" i="14" s="1"/>
  <c r="A70" i="14" s="1"/>
  <c r="A71" i="14" s="1"/>
  <c r="A72" i="14" s="1"/>
  <c r="A73" i="14" s="1"/>
  <c r="A76" i="14" s="1"/>
  <c r="A77" i="14" s="1"/>
  <c r="A78" i="14" s="1"/>
  <c r="A79" i="14" s="1"/>
  <c r="A80" i="14" s="1"/>
  <c r="A83" i="14" s="1"/>
  <c r="A84" i="14" s="1"/>
  <c r="A85" i="14" s="1"/>
  <c r="A86" i="14" s="1"/>
  <c r="A87" i="14" s="1"/>
  <c r="A88" i="14" s="1"/>
  <c r="A89" i="14" s="1"/>
  <c r="A8" i="14"/>
  <c r="J4" i="14"/>
  <c r="K4" i="14" s="1"/>
  <c r="J3" i="14"/>
  <c r="K38" i="15"/>
  <c r="J38" i="15"/>
  <c r="J64" i="15" s="1"/>
  <c r="I38" i="15"/>
  <c r="I58" i="15" s="1"/>
  <c r="H38" i="15"/>
  <c r="D37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W18" i="15"/>
  <c r="V18" i="15"/>
  <c r="T18" i="15"/>
  <c r="S18" i="15"/>
  <c r="Q18" i="15"/>
  <c r="P18" i="15"/>
  <c r="N18" i="15"/>
  <c r="M18" i="15"/>
  <c r="K18" i="15"/>
  <c r="J18" i="15"/>
  <c r="W16" i="15"/>
  <c r="W21" i="15" s="1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W15" i="15"/>
  <c r="V15" i="15"/>
  <c r="U15" i="15"/>
  <c r="T15" i="15"/>
  <c r="S15" i="15"/>
  <c r="S21" i="15" s="1"/>
  <c r="R15" i="15"/>
  <c r="Q15" i="15"/>
  <c r="P15" i="15"/>
  <c r="O15" i="15"/>
  <c r="N15" i="15"/>
  <c r="M15" i="15"/>
  <c r="L15" i="15"/>
  <c r="K15" i="15"/>
  <c r="J15" i="15"/>
  <c r="J21" i="15" s="1"/>
  <c r="I15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A8" i="15"/>
  <c r="A10" i="15" s="1"/>
  <c r="A11" i="15" s="1"/>
  <c r="A13" i="15" s="1"/>
  <c r="A15" i="15" s="1"/>
  <c r="A16" i="15" s="1"/>
  <c r="A18" i="15" s="1"/>
  <c r="A19" i="15" s="1"/>
  <c r="A21" i="15" s="1"/>
  <c r="A23" i="15" s="1"/>
  <c r="A24" i="15" s="1"/>
  <c r="A25" i="15" s="1"/>
  <c r="A27" i="15" s="1"/>
  <c r="A28" i="15" s="1"/>
  <c r="A29" i="15" s="1"/>
  <c r="A31" i="15" s="1"/>
  <c r="A32" i="15" s="1"/>
  <c r="A35" i="15" s="1"/>
  <c r="A36" i="15" s="1"/>
  <c r="A37" i="15" s="1"/>
  <c r="A38" i="15" s="1"/>
  <c r="A39" i="15" s="1"/>
  <c r="A40" i="15" s="1"/>
  <c r="A43" i="15" s="1"/>
  <c r="A44" i="15" s="1"/>
  <c r="A45" i="15" s="1"/>
  <c r="A46" i="15" s="1"/>
  <c r="A47" i="15" s="1"/>
  <c r="A50" i="15" s="1"/>
  <c r="A51" i="15" s="1"/>
  <c r="A52" i="15" s="1"/>
  <c r="A53" i="15" s="1"/>
  <c r="A54" i="15" s="1"/>
  <c r="A57" i="15" s="1"/>
  <c r="A58" i="15" s="1"/>
  <c r="A59" i="15" s="1"/>
  <c r="A60" i="15" s="1"/>
  <c r="A63" i="15" s="1"/>
  <c r="A64" i="15" s="1"/>
  <c r="A65" i="15" s="1"/>
  <c r="A66" i="15" s="1"/>
  <c r="A69" i="15" s="1"/>
  <c r="A70" i="15" s="1"/>
  <c r="A71" i="15" s="1"/>
  <c r="A72" i="15" s="1"/>
  <c r="A73" i="15" s="1"/>
  <c r="A76" i="15" s="1"/>
  <c r="A77" i="15" s="1"/>
  <c r="A78" i="15" s="1"/>
  <c r="A79" i="15" s="1"/>
  <c r="A80" i="15" s="1"/>
  <c r="A83" i="15" s="1"/>
  <c r="A84" i="15" s="1"/>
  <c r="A85" i="15" s="1"/>
  <c r="A86" i="15" s="1"/>
  <c r="A87" i="15" s="1"/>
  <c r="A88" i="15" s="1"/>
  <c r="A89" i="15" s="1"/>
  <c r="J4" i="15"/>
  <c r="J23" i="15" s="1"/>
  <c r="D37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W21" i="17"/>
  <c r="N21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W18" i="17"/>
  <c r="T18" i="17"/>
  <c r="Q18" i="17"/>
  <c r="N18" i="17"/>
  <c r="K18" i="17"/>
  <c r="W16" i="17"/>
  <c r="V16" i="17"/>
  <c r="U16" i="17"/>
  <c r="T16" i="17"/>
  <c r="T21" i="17" s="1"/>
  <c r="S16" i="17"/>
  <c r="R16" i="17"/>
  <c r="Q16" i="17"/>
  <c r="P16" i="17"/>
  <c r="O16" i="17"/>
  <c r="N16" i="17"/>
  <c r="M16" i="17"/>
  <c r="L16" i="17"/>
  <c r="K16" i="17"/>
  <c r="K21" i="17" s="1"/>
  <c r="J16" i="17"/>
  <c r="I16" i="17"/>
  <c r="W15" i="17"/>
  <c r="V15" i="17"/>
  <c r="V18" i="17" s="1"/>
  <c r="U15" i="17"/>
  <c r="U18" i="17" s="1"/>
  <c r="T15" i="17"/>
  <c r="S15" i="17"/>
  <c r="S18" i="17" s="1"/>
  <c r="R15" i="17"/>
  <c r="R18" i="17" s="1"/>
  <c r="Q15" i="17"/>
  <c r="P15" i="17"/>
  <c r="O15" i="17"/>
  <c r="O18" i="17" s="1"/>
  <c r="N15" i="17"/>
  <c r="M15" i="17"/>
  <c r="M18" i="17" s="1"/>
  <c r="L15" i="17"/>
  <c r="L18" i="17" s="1"/>
  <c r="K15" i="17"/>
  <c r="J15" i="17"/>
  <c r="I15" i="17"/>
  <c r="I18" i="17" s="1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A13" i="17"/>
  <c r="A15" i="17" s="1"/>
  <c r="A16" i="17" s="1"/>
  <c r="A18" i="17" s="1"/>
  <c r="A19" i="17" s="1"/>
  <c r="A21" i="17" s="1"/>
  <c r="A23" i="17" s="1"/>
  <c r="A24" i="17" s="1"/>
  <c r="A25" i="17" s="1"/>
  <c r="A27" i="17" s="1"/>
  <c r="A28" i="17" s="1"/>
  <c r="A29" i="17" s="1"/>
  <c r="A31" i="17" s="1"/>
  <c r="A32" i="17" s="1"/>
  <c r="A35" i="17" s="1"/>
  <c r="A36" i="17" s="1"/>
  <c r="A37" i="17" s="1"/>
  <c r="A38" i="17" s="1"/>
  <c r="A39" i="17" s="1"/>
  <c r="A40" i="17" s="1"/>
  <c r="A43" i="17" s="1"/>
  <c r="A44" i="17" s="1"/>
  <c r="A45" i="17" s="1"/>
  <c r="A46" i="17" s="1"/>
  <c r="A47" i="17" s="1"/>
  <c r="A50" i="17" s="1"/>
  <c r="A51" i="17" s="1"/>
  <c r="A52" i="17" s="1"/>
  <c r="A53" i="17" s="1"/>
  <c r="A54" i="17" s="1"/>
  <c r="A57" i="17" s="1"/>
  <c r="A58" i="17" s="1"/>
  <c r="A59" i="17" s="1"/>
  <c r="A60" i="17" s="1"/>
  <c r="A63" i="17" s="1"/>
  <c r="A64" i="17" s="1"/>
  <c r="A65" i="17" s="1"/>
  <c r="A66" i="17" s="1"/>
  <c r="A69" i="17" s="1"/>
  <c r="A70" i="17" s="1"/>
  <c r="A71" i="17" s="1"/>
  <c r="A72" i="17" s="1"/>
  <c r="A73" i="17" s="1"/>
  <c r="A76" i="17" s="1"/>
  <c r="A77" i="17" s="1"/>
  <c r="A78" i="17" s="1"/>
  <c r="A79" i="17" s="1"/>
  <c r="A80" i="17" s="1"/>
  <c r="A83" i="17" s="1"/>
  <c r="A84" i="17" s="1"/>
  <c r="A85" i="17" s="1"/>
  <c r="A86" i="17" s="1"/>
  <c r="A87" i="17" s="1"/>
  <c r="A88" i="17" s="1"/>
  <c r="A89" i="17" s="1"/>
  <c r="A10" i="17"/>
  <c r="A11" i="17" s="1"/>
  <c r="A8" i="17"/>
  <c r="J4" i="17"/>
  <c r="D37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W18" i="19"/>
  <c r="T18" i="19"/>
  <c r="Q18" i="19"/>
  <c r="N18" i="19"/>
  <c r="K18" i="19"/>
  <c r="W16" i="19"/>
  <c r="W21" i="19" s="1"/>
  <c r="V16" i="19"/>
  <c r="U16" i="19"/>
  <c r="T16" i="19"/>
  <c r="T21" i="19" s="1"/>
  <c r="S16" i="19"/>
  <c r="R16" i="19"/>
  <c r="Q16" i="19"/>
  <c r="Q21" i="19" s="1"/>
  <c r="P16" i="19"/>
  <c r="O16" i="19"/>
  <c r="N16" i="19"/>
  <c r="N21" i="19" s="1"/>
  <c r="M16" i="19"/>
  <c r="L16" i="19"/>
  <c r="K16" i="19"/>
  <c r="K21" i="19" s="1"/>
  <c r="J16" i="19"/>
  <c r="I16" i="19"/>
  <c r="W15" i="19"/>
  <c r="V15" i="19"/>
  <c r="V18" i="19" s="1"/>
  <c r="U15" i="19"/>
  <c r="U18" i="19" s="1"/>
  <c r="T15" i="19"/>
  <c r="S15" i="19"/>
  <c r="S18" i="19" s="1"/>
  <c r="R15" i="19"/>
  <c r="R18" i="19" s="1"/>
  <c r="Q15" i="19"/>
  <c r="P15" i="19"/>
  <c r="P18" i="19" s="1"/>
  <c r="O15" i="19"/>
  <c r="O18" i="19" s="1"/>
  <c r="N15" i="19"/>
  <c r="M15" i="19"/>
  <c r="M18" i="19" s="1"/>
  <c r="L15" i="19"/>
  <c r="L18" i="19" s="1"/>
  <c r="K15" i="19"/>
  <c r="J15" i="19"/>
  <c r="J18" i="19" s="1"/>
  <c r="I15" i="19"/>
  <c r="I18" i="19" s="1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A10" i="19"/>
  <c r="A11" i="19" s="1"/>
  <c r="A13" i="19" s="1"/>
  <c r="A15" i="19" s="1"/>
  <c r="A16" i="19" s="1"/>
  <c r="A18" i="19" s="1"/>
  <c r="A19" i="19" s="1"/>
  <c r="A21" i="19" s="1"/>
  <c r="A23" i="19" s="1"/>
  <c r="A24" i="19" s="1"/>
  <c r="A25" i="19" s="1"/>
  <c r="A27" i="19" s="1"/>
  <c r="A28" i="19" s="1"/>
  <c r="A29" i="19" s="1"/>
  <c r="A31" i="19" s="1"/>
  <c r="A32" i="19" s="1"/>
  <c r="A35" i="19" s="1"/>
  <c r="A36" i="19" s="1"/>
  <c r="A37" i="19" s="1"/>
  <c r="A38" i="19" s="1"/>
  <c r="A39" i="19" s="1"/>
  <c r="A40" i="19" s="1"/>
  <c r="A43" i="19" s="1"/>
  <c r="A44" i="19" s="1"/>
  <c r="A45" i="19" s="1"/>
  <c r="A46" i="19" s="1"/>
  <c r="A47" i="19" s="1"/>
  <c r="A50" i="19" s="1"/>
  <c r="A51" i="19" s="1"/>
  <c r="A52" i="19" s="1"/>
  <c r="A53" i="19" s="1"/>
  <c r="A54" i="19" s="1"/>
  <c r="A57" i="19" s="1"/>
  <c r="A58" i="19" s="1"/>
  <c r="A59" i="19" s="1"/>
  <c r="A60" i="19" s="1"/>
  <c r="A63" i="19" s="1"/>
  <c r="A64" i="19" s="1"/>
  <c r="A65" i="19" s="1"/>
  <c r="A66" i="19" s="1"/>
  <c r="A69" i="19" s="1"/>
  <c r="A70" i="19" s="1"/>
  <c r="A71" i="19" s="1"/>
  <c r="A72" i="19" s="1"/>
  <c r="A73" i="19" s="1"/>
  <c r="A76" i="19" s="1"/>
  <c r="A77" i="19" s="1"/>
  <c r="A78" i="19" s="1"/>
  <c r="A79" i="19" s="1"/>
  <c r="A80" i="19" s="1"/>
  <c r="A83" i="19" s="1"/>
  <c r="A84" i="19" s="1"/>
  <c r="A85" i="19" s="1"/>
  <c r="A86" i="19" s="1"/>
  <c r="A87" i="19" s="1"/>
  <c r="A88" i="19" s="1"/>
  <c r="A89" i="19" s="1"/>
  <c r="A8" i="19"/>
  <c r="J4" i="19"/>
  <c r="J23" i="19" s="1"/>
  <c r="L3" i="19"/>
  <c r="K3" i="19"/>
  <c r="J3" i="19"/>
  <c r="D37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H37" i="2" s="1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K23" i="2"/>
  <c r="J23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V18" i="2"/>
  <c r="S18" i="2"/>
  <c r="P18" i="2"/>
  <c r="M18" i="2"/>
  <c r="J18" i="2"/>
  <c r="W16" i="2"/>
  <c r="V16" i="2"/>
  <c r="V21" i="2" s="1"/>
  <c r="U16" i="2"/>
  <c r="T16" i="2"/>
  <c r="S16" i="2"/>
  <c r="S21" i="2" s="1"/>
  <c r="R16" i="2"/>
  <c r="Q16" i="2"/>
  <c r="P16" i="2"/>
  <c r="P21" i="2" s="1"/>
  <c r="O16" i="2"/>
  <c r="N16" i="2"/>
  <c r="M16" i="2"/>
  <c r="M21" i="2" s="1"/>
  <c r="L16" i="2"/>
  <c r="K16" i="2"/>
  <c r="J16" i="2"/>
  <c r="J21" i="2" s="1"/>
  <c r="I16" i="2"/>
  <c r="W15" i="2"/>
  <c r="W18" i="2" s="1"/>
  <c r="V15" i="2"/>
  <c r="U15" i="2"/>
  <c r="U18" i="2" s="1"/>
  <c r="T15" i="2"/>
  <c r="T18" i="2" s="1"/>
  <c r="S15" i="2"/>
  <c r="R15" i="2"/>
  <c r="R18" i="2" s="1"/>
  <c r="Q15" i="2"/>
  <c r="Q18" i="2" s="1"/>
  <c r="P15" i="2"/>
  <c r="O15" i="2"/>
  <c r="O18" i="2" s="1"/>
  <c r="N15" i="2"/>
  <c r="N18" i="2" s="1"/>
  <c r="M15" i="2"/>
  <c r="L15" i="2"/>
  <c r="L18" i="2" s="1"/>
  <c r="K15" i="2"/>
  <c r="K18" i="2" s="1"/>
  <c r="J15" i="2"/>
  <c r="I15" i="2"/>
  <c r="I18" i="2" s="1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A8" i="2"/>
  <c r="A10" i="2" s="1"/>
  <c r="A11" i="2" s="1"/>
  <c r="A13" i="2" s="1"/>
  <c r="A15" i="2" s="1"/>
  <c r="A16" i="2" s="1"/>
  <c r="A18" i="2" s="1"/>
  <c r="A19" i="2" s="1"/>
  <c r="A21" i="2" s="1"/>
  <c r="A23" i="2" s="1"/>
  <c r="A24" i="2" s="1"/>
  <c r="A25" i="2" s="1"/>
  <c r="A27" i="2" s="1"/>
  <c r="A28" i="2" s="1"/>
  <c r="A29" i="2" s="1"/>
  <c r="A31" i="2" s="1"/>
  <c r="A32" i="2" s="1"/>
  <c r="A35" i="2" s="1"/>
  <c r="A36" i="2" s="1"/>
  <c r="A37" i="2" s="1"/>
  <c r="A38" i="2" s="1"/>
  <c r="A39" i="2" s="1"/>
  <c r="A40" i="2" s="1"/>
  <c r="A43" i="2" s="1"/>
  <c r="A44" i="2" s="1"/>
  <c r="A45" i="2" s="1"/>
  <c r="A46" i="2" s="1"/>
  <c r="A47" i="2" s="1"/>
  <c r="A50" i="2" s="1"/>
  <c r="A51" i="2" s="1"/>
  <c r="A52" i="2" s="1"/>
  <c r="A53" i="2" s="1"/>
  <c r="A54" i="2" s="1"/>
  <c r="A57" i="2" s="1"/>
  <c r="A58" i="2" s="1"/>
  <c r="A59" i="2" s="1"/>
  <c r="A60" i="2" s="1"/>
  <c r="A63" i="2" s="1"/>
  <c r="A64" i="2" s="1"/>
  <c r="A65" i="2" s="1"/>
  <c r="A66" i="2" s="1"/>
  <c r="A69" i="2" s="1"/>
  <c r="A70" i="2" s="1"/>
  <c r="A71" i="2" s="1"/>
  <c r="A72" i="2" s="1"/>
  <c r="A73" i="2" s="1"/>
  <c r="A76" i="2" s="1"/>
  <c r="A77" i="2" s="1"/>
  <c r="A78" i="2" s="1"/>
  <c r="A79" i="2" s="1"/>
  <c r="A80" i="2" s="1"/>
  <c r="A83" i="2" s="1"/>
  <c r="A84" i="2" s="1"/>
  <c r="A85" i="2" s="1"/>
  <c r="A86" i="2" s="1"/>
  <c r="A87" i="2" s="1"/>
  <c r="A88" i="2" s="1"/>
  <c r="A89" i="2" s="1"/>
  <c r="L4" i="2"/>
  <c r="L23" i="2" s="1"/>
  <c r="K4" i="2"/>
  <c r="J4" i="2"/>
  <c r="I177" i="21"/>
  <c r="I166" i="21"/>
  <c r="I164" i="21" s="1"/>
  <c r="F165" i="21"/>
  <c r="I163" i="21"/>
  <c r="I162" i="21"/>
  <c r="I159" i="21"/>
  <c r="I156" i="21"/>
  <c r="I154" i="21" s="1"/>
  <c r="F155" i="21"/>
  <c r="I146" i="21"/>
  <c r="I144" i="21" s="1"/>
  <c r="F145" i="21"/>
  <c r="I143" i="21"/>
  <c r="I139" i="21"/>
  <c r="I136" i="21"/>
  <c r="I134" i="21" s="1"/>
  <c r="F135" i="21"/>
  <c r="I126" i="21"/>
  <c r="F125" i="21"/>
  <c r="I124" i="21"/>
  <c r="I123" i="21"/>
  <c r="I120" i="21"/>
  <c r="D116" i="21"/>
  <c r="D115" i="21"/>
  <c r="D114" i="21"/>
  <c r="D113" i="21"/>
  <c r="D112" i="21"/>
  <c r="D111" i="21"/>
  <c r="D110" i="21"/>
  <c r="D109" i="21"/>
  <c r="D108" i="21"/>
  <c r="D107" i="21"/>
  <c r="D106" i="21"/>
  <c r="I101" i="21"/>
  <c r="J101" i="21" s="1"/>
  <c r="D100" i="21"/>
  <c r="D99" i="21"/>
  <c r="D98" i="21"/>
  <c r="D97" i="21"/>
  <c r="D96" i="21"/>
  <c r="D95" i="21"/>
  <c r="D94" i="21"/>
  <c r="D93" i="21"/>
  <c r="D92" i="21"/>
  <c r="D91" i="21"/>
  <c r="D90" i="21"/>
  <c r="D89" i="21"/>
  <c r="D88" i="21"/>
  <c r="D87" i="21"/>
  <c r="D86" i="21"/>
  <c r="I82" i="21"/>
  <c r="I116" i="21" s="1"/>
  <c r="D82" i="21"/>
  <c r="I81" i="21"/>
  <c r="I115" i="21" s="1"/>
  <c r="D81" i="21"/>
  <c r="I80" i="21"/>
  <c r="D80" i="21"/>
  <c r="I79" i="21"/>
  <c r="D79" i="21"/>
  <c r="I78" i="21"/>
  <c r="D78" i="21"/>
  <c r="I77" i="21"/>
  <c r="D77" i="21"/>
  <c r="I76" i="21"/>
  <c r="I114" i="21" s="1"/>
  <c r="D76" i="21"/>
  <c r="I75" i="21"/>
  <c r="I113" i="21" s="1"/>
  <c r="D75" i="21"/>
  <c r="I74" i="21"/>
  <c r="I112" i="21" s="1"/>
  <c r="D74" i="21"/>
  <c r="I73" i="21"/>
  <c r="I111" i="21" s="1"/>
  <c r="D73" i="21"/>
  <c r="I72" i="21"/>
  <c r="I110" i="21" s="1"/>
  <c r="D72" i="21"/>
  <c r="I71" i="21"/>
  <c r="I109" i="21" s="1"/>
  <c r="D71" i="21"/>
  <c r="I70" i="21"/>
  <c r="I108" i="21" s="1"/>
  <c r="D70" i="21"/>
  <c r="I69" i="21"/>
  <c r="I107" i="21" s="1"/>
  <c r="D69" i="21"/>
  <c r="I68" i="21"/>
  <c r="I106" i="21" s="1"/>
  <c r="D68" i="21"/>
  <c r="I65" i="21"/>
  <c r="J65" i="21" s="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I47" i="21"/>
  <c r="J47" i="21" s="1"/>
  <c r="K47" i="21" s="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I29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A8" i="21"/>
  <c r="A9" i="21" s="1"/>
  <c r="A10" i="21" s="1"/>
  <c r="A11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3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9" i="21" s="1"/>
  <c r="A120" i="21" s="1"/>
  <c r="A122" i="21" s="1"/>
  <c r="A123" i="21" s="1"/>
  <c r="A124" i="21" s="1"/>
  <c r="A125" i="21" s="1"/>
  <c r="A126" i="21" s="1"/>
  <c r="A129" i="21" s="1"/>
  <c r="A130" i="21" s="1"/>
  <c r="A132" i="21" s="1"/>
  <c r="A133" i="21" s="1"/>
  <c r="A134" i="21" s="1"/>
  <c r="A135" i="21" s="1"/>
  <c r="A136" i="21" s="1"/>
  <c r="A139" i="21" s="1"/>
  <c r="A140" i="21" s="1"/>
  <c r="A142" i="21" s="1"/>
  <c r="A143" i="21" s="1"/>
  <c r="A144" i="21" s="1"/>
  <c r="A145" i="21" s="1"/>
  <c r="A146" i="21" s="1"/>
  <c r="A149" i="21" s="1"/>
  <c r="A150" i="21" s="1"/>
  <c r="A152" i="21" s="1"/>
  <c r="A153" i="21" s="1"/>
  <c r="A154" i="21" s="1"/>
  <c r="A155" i="21" s="1"/>
  <c r="A156" i="21" s="1"/>
  <c r="A159" i="21" s="1"/>
  <c r="A160" i="21" s="1"/>
  <c r="A162" i="21" s="1"/>
  <c r="A163" i="21" s="1"/>
  <c r="A164" i="21" s="1"/>
  <c r="A165" i="21" s="1"/>
  <c r="A166" i="21" s="1"/>
  <c r="A169" i="21" s="1"/>
  <c r="A170" i="21" s="1"/>
  <c r="A172" i="21" s="1"/>
  <c r="A173" i="21" s="1"/>
  <c r="A174" i="21" s="1"/>
  <c r="A175" i="21" s="1"/>
  <c r="A176" i="21" s="1"/>
  <c r="A177" i="21" s="1"/>
  <c r="A178" i="21" s="1"/>
  <c r="A181" i="21" s="1"/>
  <c r="A182" i="21" s="1"/>
  <c r="A183" i="21" s="1"/>
  <c r="A184" i="21" s="1"/>
  <c r="A185" i="21" s="1"/>
  <c r="A186" i="21" s="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K4" i="21"/>
  <c r="L4" i="21" s="1"/>
  <c r="M4" i="21" s="1"/>
  <c r="N4" i="21" s="1"/>
  <c r="O4" i="21" s="1"/>
  <c r="P4" i="21" s="1"/>
  <c r="Q4" i="21" s="1"/>
  <c r="R4" i="21" s="1"/>
  <c r="S4" i="21" s="1"/>
  <c r="T4" i="21" s="1"/>
  <c r="U4" i="21" s="1"/>
  <c r="V4" i="21" s="1"/>
  <c r="W4" i="21" s="1"/>
  <c r="J4" i="21"/>
  <c r="I3" i="21"/>
  <c r="J3" i="21" s="1"/>
  <c r="K3" i="21" s="1"/>
  <c r="L3" i="21" s="1"/>
  <c r="M3" i="21" s="1"/>
  <c r="N3" i="21" s="1"/>
  <c r="O3" i="21" s="1"/>
  <c r="P3" i="21" s="1"/>
  <c r="Q3" i="21" s="1"/>
  <c r="R3" i="21" s="1"/>
  <c r="S3" i="21" s="1"/>
  <c r="T3" i="21" s="1"/>
  <c r="U3" i="21" s="1"/>
  <c r="V3" i="21" s="1"/>
  <c r="W3" i="21" s="1"/>
  <c r="D78" i="5"/>
  <c r="I77" i="5"/>
  <c r="D77" i="5"/>
  <c r="I76" i="5"/>
  <c r="I75" i="5"/>
  <c r="I74" i="5"/>
  <c r="I73" i="5"/>
  <c r="I72" i="5"/>
  <c r="D71" i="5"/>
  <c r="D65" i="5"/>
  <c r="D61" i="5"/>
  <c r="D53" i="5"/>
  <c r="D51" i="5"/>
  <c r="D50" i="5"/>
  <c r="D48" i="5"/>
  <c r="D44" i="5"/>
  <c r="D43" i="5"/>
  <c r="D31" i="5"/>
  <c r="D19" i="5"/>
  <c r="D18" i="5"/>
  <c r="D42" i="5" s="1"/>
  <c r="D17" i="5"/>
  <c r="D16" i="5"/>
  <c r="D74" i="5" s="1"/>
  <c r="D15" i="5"/>
  <c r="D39" i="5" s="1"/>
  <c r="D14" i="5"/>
  <c r="D13" i="5"/>
  <c r="D70" i="5"/>
  <c r="D11" i="5"/>
  <c r="D10" i="5"/>
  <c r="D68" i="5" s="1"/>
  <c r="D67" i="5"/>
  <c r="D8" i="5"/>
  <c r="D49" i="5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3" i="5" s="1"/>
  <c r="A24" i="5" s="1"/>
  <c r="A26" i="5" s="1"/>
  <c r="A27" i="5" s="1"/>
  <c r="A28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J4" i="5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L3" i="5" l="1"/>
  <c r="K3" i="10"/>
  <c r="D40" i="5"/>
  <c r="I64" i="9"/>
  <c r="I65" i="9" s="1"/>
  <c r="I58" i="9"/>
  <c r="I59" i="9" s="1"/>
  <c r="J58" i="15"/>
  <c r="I64" i="15"/>
  <c r="J44" i="15"/>
  <c r="H38" i="2"/>
  <c r="H39" i="2" s="1"/>
  <c r="I21" i="19"/>
  <c r="L21" i="19"/>
  <c r="O21" i="19"/>
  <c r="R21" i="19"/>
  <c r="U21" i="19"/>
  <c r="D32" i="5"/>
  <c r="K21" i="2"/>
  <c r="N21" i="2"/>
  <c r="Q21" i="2"/>
  <c r="T21" i="2"/>
  <c r="W21" i="2"/>
  <c r="R21" i="17"/>
  <c r="H37" i="17"/>
  <c r="I18" i="15"/>
  <c r="I21" i="15"/>
  <c r="L18" i="15"/>
  <c r="L21" i="15" s="1"/>
  <c r="O18" i="15"/>
  <c r="O21" i="15" s="1"/>
  <c r="R18" i="15"/>
  <c r="R21" i="15"/>
  <c r="U18" i="15"/>
  <c r="U21" i="15" s="1"/>
  <c r="K21" i="15"/>
  <c r="T21" i="15"/>
  <c r="K4" i="13"/>
  <c r="J23" i="13"/>
  <c r="M4" i="10"/>
  <c r="L23" i="10"/>
  <c r="K23" i="10"/>
  <c r="K18" i="11"/>
  <c r="K21" i="11" s="1"/>
  <c r="N18" i="11"/>
  <c r="N21" i="11" s="1"/>
  <c r="Q18" i="11"/>
  <c r="Q21" i="11"/>
  <c r="T18" i="11"/>
  <c r="T21" i="11" s="1"/>
  <c r="D34" i="5"/>
  <c r="D52" i="5"/>
  <c r="D57" i="5"/>
  <c r="D60" i="5"/>
  <c r="I176" i="21"/>
  <c r="I178" i="21" s="1"/>
  <c r="I142" i="21"/>
  <c r="I160" i="21"/>
  <c r="M4" i="2"/>
  <c r="I21" i="2"/>
  <c r="L21" i="2"/>
  <c r="O21" i="2"/>
  <c r="R21" i="2"/>
  <c r="U21" i="2"/>
  <c r="M3" i="19"/>
  <c r="K4" i="19"/>
  <c r="J21" i="19"/>
  <c r="M21" i="19"/>
  <c r="P21" i="19"/>
  <c r="S21" i="19"/>
  <c r="V21" i="19"/>
  <c r="J23" i="17"/>
  <c r="K4" i="17"/>
  <c r="J18" i="17"/>
  <c r="J21" i="17" s="1"/>
  <c r="O21" i="17"/>
  <c r="H38" i="17"/>
  <c r="H39" i="17" s="1"/>
  <c r="M21" i="15"/>
  <c r="P21" i="15"/>
  <c r="V21" i="15"/>
  <c r="N21" i="15"/>
  <c r="H64" i="15"/>
  <c r="H58" i="15"/>
  <c r="H44" i="15"/>
  <c r="K64" i="15"/>
  <c r="K58" i="15"/>
  <c r="K44" i="15"/>
  <c r="K23" i="14"/>
  <c r="L4" i="14"/>
  <c r="H45" i="14"/>
  <c r="H52" i="14" s="1"/>
  <c r="H53" i="14" s="1"/>
  <c r="K18" i="9"/>
  <c r="K21" i="9" s="1"/>
  <c r="N18" i="9"/>
  <c r="N21" i="9" s="1"/>
  <c r="Q21" i="9"/>
  <c r="I51" i="9"/>
  <c r="I21" i="13"/>
  <c r="L21" i="13"/>
  <c r="O21" i="13"/>
  <c r="R21" i="13"/>
  <c r="D35" i="5"/>
  <c r="D55" i="5"/>
  <c r="D58" i="5"/>
  <c r="L47" i="21"/>
  <c r="M47" i="21" s="1"/>
  <c r="N47" i="21" s="1"/>
  <c r="O47" i="21" s="1"/>
  <c r="P47" i="21" s="1"/>
  <c r="Q47" i="21" s="1"/>
  <c r="R47" i="21" s="1"/>
  <c r="S47" i="21" s="1"/>
  <c r="T47" i="21" s="1"/>
  <c r="U47" i="21" s="1"/>
  <c r="V47" i="21" s="1"/>
  <c r="W47" i="21" s="1"/>
  <c r="H37" i="19"/>
  <c r="M21" i="17"/>
  <c r="S21" i="17"/>
  <c r="V21" i="17"/>
  <c r="I21" i="17"/>
  <c r="D33" i="5"/>
  <c r="D36" i="5"/>
  <c r="D38" i="5"/>
  <c r="D41" i="5"/>
  <c r="D56" i="5"/>
  <c r="D59" i="5"/>
  <c r="D66" i="5"/>
  <c r="D69" i="5"/>
  <c r="D72" i="5"/>
  <c r="D73" i="5"/>
  <c r="D75" i="5"/>
  <c r="D76" i="5"/>
  <c r="K65" i="21"/>
  <c r="L65" i="21" s="1"/>
  <c r="M65" i="21" s="1"/>
  <c r="N65" i="21" s="1"/>
  <c r="O65" i="21" s="1"/>
  <c r="P65" i="21" s="1"/>
  <c r="Q65" i="21" s="1"/>
  <c r="R65" i="21" s="1"/>
  <c r="S65" i="21" s="1"/>
  <c r="T65" i="21" s="1"/>
  <c r="U65" i="21" s="1"/>
  <c r="V65" i="21" s="1"/>
  <c r="W65" i="21" s="1"/>
  <c r="I140" i="21"/>
  <c r="J177" i="21"/>
  <c r="K177" i="21" s="1"/>
  <c r="L177" i="21" s="1"/>
  <c r="M177" i="21" s="1"/>
  <c r="N177" i="21" s="1"/>
  <c r="O177" i="21" s="1"/>
  <c r="P177" i="21" s="1"/>
  <c r="Q177" i="21" s="1"/>
  <c r="R177" i="21" s="1"/>
  <c r="S177" i="21" s="1"/>
  <c r="T177" i="21" s="1"/>
  <c r="U177" i="21" s="1"/>
  <c r="V177" i="21" s="1"/>
  <c r="W177" i="21" s="1"/>
  <c r="P18" i="17"/>
  <c r="P21" i="17" s="1"/>
  <c r="L21" i="17"/>
  <c r="Q21" i="17"/>
  <c r="U21" i="17"/>
  <c r="H65" i="15"/>
  <c r="Q21" i="15"/>
  <c r="K21" i="14"/>
  <c r="N18" i="14"/>
  <c r="N21" i="14" s="1"/>
  <c r="Q21" i="14"/>
  <c r="Q18" i="14"/>
  <c r="W21" i="14"/>
  <c r="W18" i="14"/>
  <c r="T18" i="14"/>
  <c r="T21" i="14" s="1"/>
  <c r="H37" i="14"/>
  <c r="H39" i="14" s="1"/>
  <c r="I60" i="14"/>
  <c r="J57" i="14" s="1"/>
  <c r="L4" i="9"/>
  <c r="K23" i="9"/>
  <c r="H37" i="13"/>
  <c r="H38" i="13" s="1"/>
  <c r="J18" i="20"/>
  <c r="J21" i="20" s="1"/>
  <c r="M18" i="20"/>
  <c r="M21" i="20" s="1"/>
  <c r="P18" i="20"/>
  <c r="P21" i="20"/>
  <c r="S18" i="20"/>
  <c r="S21" i="20" s="1"/>
  <c r="V18" i="20"/>
  <c r="V21" i="20" s="1"/>
  <c r="H37" i="15"/>
  <c r="H39" i="15" s="1"/>
  <c r="H51" i="15"/>
  <c r="K3" i="14"/>
  <c r="I21" i="14"/>
  <c r="I44" i="14"/>
  <c r="H66" i="14"/>
  <c r="I63" i="14" s="1"/>
  <c r="I21" i="9"/>
  <c r="I37" i="9" s="1"/>
  <c r="I39" i="9" s="1"/>
  <c r="L21" i="9"/>
  <c r="O18" i="9"/>
  <c r="O21" i="9" s="1"/>
  <c r="U21" i="9"/>
  <c r="L18" i="9"/>
  <c r="R18" i="9"/>
  <c r="R21" i="9" s="1"/>
  <c r="I18" i="10"/>
  <c r="I21" i="10" s="1"/>
  <c r="I37" i="10" s="1"/>
  <c r="O18" i="10"/>
  <c r="O21" i="10" s="1"/>
  <c r="R18" i="10"/>
  <c r="R21" i="10"/>
  <c r="T21" i="10"/>
  <c r="K4" i="15"/>
  <c r="I44" i="15"/>
  <c r="J21" i="14"/>
  <c r="S21" i="14"/>
  <c r="H70" i="14"/>
  <c r="H72" i="14" s="1"/>
  <c r="H73" i="14" s="1"/>
  <c r="H79" i="14" s="1"/>
  <c r="J38" i="14"/>
  <c r="I58" i="14"/>
  <c r="I59" i="14" s="1"/>
  <c r="I18" i="9"/>
  <c r="I45" i="9"/>
  <c r="I52" i="9" s="1"/>
  <c r="N21" i="13"/>
  <c r="N18" i="13"/>
  <c r="T21" i="13"/>
  <c r="W21" i="13"/>
  <c r="W18" i="13"/>
  <c r="K18" i="13"/>
  <c r="K21" i="13" s="1"/>
  <c r="Q18" i="13"/>
  <c r="Q21" i="13" s="1"/>
  <c r="U21" i="10"/>
  <c r="L4" i="18"/>
  <c r="K23" i="18"/>
  <c r="J21" i="10"/>
  <c r="M21" i="10"/>
  <c r="P21" i="10"/>
  <c r="S21" i="10"/>
  <c r="M18" i="10"/>
  <c r="V18" i="10"/>
  <c r="V21" i="10" s="1"/>
  <c r="K18" i="12"/>
  <c r="K21" i="12"/>
  <c r="N18" i="12"/>
  <c r="N21" i="12" s="1"/>
  <c r="Q18" i="12"/>
  <c r="Q21" i="12" s="1"/>
  <c r="T18" i="12"/>
  <c r="T21" i="12"/>
  <c r="W18" i="12"/>
  <c r="W21" i="12" s="1"/>
  <c r="P21" i="9"/>
  <c r="T21" i="9"/>
  <c r="J64" i="9"/>
  <c r="J58" i="9"/>
  <c r="J44" i="9"/>
  <c r="J21" i="13"/>
  <c r="S21" i="13"/>
  <c r="J18" i="10"/>
  <c r="S18" i="10"/>
  <c r="I18" i="18"/>
  <c r="I21" i="18" s="1"/>
  <c r="I37" i="18" s="1"/>
  <c r="R18" i="18"/>
  <c r="R21" i="18" s="1"/>
  <c r="W21" i="18"/>
  <c r="O21" i="18"/>
  <c r="U21" i="18"/>
  <c r="L4" i="11"/>
  <c r="K23" i="11"/>
  <c r="S21" i="11"/>
  <c r="K3" i="12"/>
  <c r="K3" i="11"/>
  <c r="M21" i="11"/>
  <c r="L4" i="12"/>
  <c r="K23" i="12"/>
  <c r="M21" i="12"/>
  <c r="M3" i="20"/>
  <c r="N4" i="20"/>
  <c r="J21" i="18"/>
  <c r="P21" i="18"/>
  <c r="S21" i="18"/>
  <c r="M18" i="18"/>
  <c r="M21" i="18" s="1"/>
  <c r="V18" i="18"/>
  <c r="V21" i="18" s="1"/>
  <c r="I21" i="11"/>
  <c r="I37" i="11" s="1"/>
  <c r="L21" i="11"/>
  <c r="O21" i="11"/>
  <c r="R21" i="11"/>
  <c r="U21" i="11"/>
  <c r="L18" i="11"/>
  <c r="U18" i="11"/>
  <c r="I21" i="12"/>
  <c r="I37" i="12" s="1"/>
  <c r="I38" i="12" s="1"/>
  <c r="O21" i="12"/>
  <c r="R21" i="12"/>
  <c r="L18" i="12"/>
  <c r="L21" i="12" s="1"/>
  <c r="U18" i="12"/>
  <c r="U21" i="12" s="1"/>
  <c r="L21" i="20"/>
  <c r="U21" i="20"/>
  <c r="I21" i="20"/>
  <c r="I37" i="20" s="1"/>
  <c r="N21" i="20"/>
  <c r="Q21" i="20"/>
  <c r="W21" i="20"/>
  <c r="K18" i="20"/>
  <c r="K21" i="20" s="1"/>
  <c r="T18" i="20"/>
  <c r="T21" i="20" s="1"/>
  <c r="J23" i="20"/>
  <c r="I165" i="21"/>
  <c r="I145" i="21"/>
  <c r="I174" i="21"/>
  <c r="K101" i="21"/>
  <c r="J23" i="5"/>
  <c r="I23" i="5"/>
  <c r="I130" i="21"/>
  <c r="I133" i="21"/>
  <c r="I173" i="21" s="1"/>
  <c r="I150" i="21"/>
  <c r="I153" i="21"/>
  <c r="I83" i="21"/>
  <c r="I135" i="21"/>
  <c r="I155" i="21"/>
  <c r="I119" i="21"/>
  <c r="I122" i="21"/>
  <c r="I125" i="21"/>
  <c r="I129" i="21"/>
  <c r="I132" i="21"/>
  <c r="I149" i="21"/>
  <c r="I152" i="21"/>
  <c r="I69" i="14"/>
  <c r="D37" i="5"/>
  <c r="D54" i="5"/>
  <c r="I60" i="9" l="1"/>
  <c r="J57" i="9" s="1"/>
  <c r="M3" i="5"/>
  <c r="L3" i="10"/>
  <c r="I71" i="9"/>
  <c r="I70" i="9" s="1"/>
  <c r="I72" i="9" s="1"/>
  <c r="J69" i="9" s="1"/>
  <c r="J59" i="9"/>
  <c r="I66" i="9"/>
  <c r="J63" i="9" s="1"/>
  <c r="J65" i="9" s="1"/>
  <c r="I38" i="20"/>
  <c r="I39" i="20"/>
  <c r="H44" i="13"/>
  <c r="H64" i="13"/>
  <c r="H58" i="13"/>
  <c r="H39" i="13"/>
  <c r="I37" i="17"/>
  <c r="I44" i="12"/>
  <c r="I64" i="12"/>
  <c r="I58" i="12"/>
  <c r="I35" i="14"/>
  <c r="H40" i="14"/>
  <c r="H78" i="14" s="1"/>
  <c r="I73" i="9"/>
  <c r="I79" i="9" s="1"/>
  <c r="I38" i="18"/>
  <c r="I39" i="18" s="1"/>
  <c r="I38" i="10"/>
  <c r="I39" i="10" s="1"/>
  <c r="I37" i="14"/>
  <c r="H40" i="15"/>
  <c r="H78" i="15" s="1"/>
  <c r="I35" i="15"/>
  <c r="I50" i="14"/>
  <c r="H54" i="14"/>
  <c r="H77" i="14" s="1"/>
  <c r="L23" i="12"/>
  <c r="M4" i="12"/>
  <c r="J35" i="9"/>
  <c r="I40" i="9"/>
  <c r="I78" i="9" s="1"/>
  <c r="I66" i="14"/>
  <c r="J63" i="14" s="1"/>
  <c r="K23" i="19"/>
  <c r="L4" i="19"/>
  <c r="M23" i="10"/>
  <c r="N4" i="10"/>
  <c r="H40" i="17"/>
  <c r="H78" i="17" s="1"/>
  <c r="I35" i="17"/>
  <c r="I35" i="2"/>
  <c r="H40" i="2"/>
  <c r="H78" i="2" s="1"/>
  <c r="H38" i="19"/>
  <c r="I175" i="21"/>
  <c r="J175" i="21" s="1"/>
  <c r="I170" i="21"/>
  <c r="F174" i="21" s="1"/>
  <c r="K23" i="20"/>
  <c r="M23" i="20" s="1"/>
  <c r="I39" i="11"/>
  <c r="N3" i="20"/>
  <c r="I38" i="11"/>
  <c r="M4" i="18"/>
  <c r="L23" i="18"/>
  <c r="I46" i="9"/>
  <c r="K38" i="14"/>
  <c r="L3" i="14"/>
  <c r="L23" i="9"/>
  <c r="M4" i="9"/>
  <c r="L23" i="14"/>
  <c r="M4" i="14"/>
  <c r="H66" i="15"/>
  <c r="I63" i="15" s="1"/>
  <c r="N3" i="19"/>
  <c r="M23" i="2"/>
  <c r="N4" i="2"/>
  <c r="L23" i="20"/>
  <c r="J58" i="14"/>
  <c r="J59" i="14" s="1"/>
  <c r="J44" i="14"/>
  <c r="J64" i="14"/>
  <c r="K23" i="15"/>
  <c r="L4" i="15"/>
  <c r="H59" i="15"/>
  <c r="H60" i="15" s="1"/>
  <c r="I57" i="15" s="1"/>
  <c r="I39" i="12"/>
  <c r="O4" i="20"/>
  <c r="L3" i="11"/>
  <c r="L3" i="12"/>
  <c r="L23" i="11"/>
  <c r="M4" i="11"/>
  <c r="I65" i="14"/>
  <c r="I59" i="15"/>
  <c r="H71" i="15"/>
  <c r="I53" i="9"/>
  <c r="I83" i="9"/>
  <c r="H46" i="14"/>
  <c r="H45" i="15"/>
  <c r="H52" i="15" s="1"/>
  <c r="H53" i="15" s="1"/>
  <c r="H64" i="17"/>
  <c r="H58" i="17"/>
  <c r="H44" i="17"/>
  <c r="K23" i="17"/>
  <c r="L4" i="17"/>
  <c r="K23" i="13"/>
  <c r="L4" i="13"/>
  <c r="H64" i="2"/>
  <c r="H58" i="2"/>
  <c r="H44" i="2"/>
  <c r="I169" i="21"/>
  <c r="I31" i="5" s="1"/>
  <c r="F173" i="21"/>
  <c r="K23" i="5"/>
  <c r="K24" i="5" s="1"/>
  <c r="L101" i="21"/>
  <c r="J24" i="5"/>
  <c r="I172" i="21"/>
  <c r="I103" i="21"/>
  <c r="I7" i="5"/>
  <c r="J169" i="21"/>
  <c r="I48" i="5"/>
  <c r="J60" i="9" l="1"/>
  <c r="K57" i="9" s="1"/>
  <c r="N3" i="5"/>
  <c r="M3" i="10"/>
  <c r="I60" i="15"/>
  <c r="J57" i="15" s="1"/>
  <c r="H54" i="15"/>
  <c r="H77" i="15" s="1"/>
  <c r="I50" i="15"/>
  <c r="H59" i="2"/>
  <c r="L23" i="17"/>
  <c r="M4" i="17"/>
  <c r="H59" i="17"/>
  <c r="M3" i="12"/>
  <c r="M3" i="11"/>
  <c r="O23" i="20"/>
  <c r="P4" i="20"/>
  <c r="L23" i="15"/>
  <c r="K59" i="15" s="1"/>
  <c r="M4" i="15"/>
  <c r="I65" i="15"/>
  <c r="K44" i="14"/>
  <c r="K64" i="14"/>
  <c r="K58" i="14"/>
  <c r="K59" i="14" s="1"/>
  <c r="J35" i="11"/>
  <c r="I40" i="11"/>
  <c r="I78" i="11" s="1"/>
  <c r="N23" i="10"/>
  <c r="O4" i="10"/>
  <c r="M4" i="19"/>
  <c r="L23" i="19"/>
  <c r="J37" i="9"/>
  <c r="J39" i="9" s="1"/>
  <c r="I40" i="10"/>
  <c r="I78" i="10" s="1"/>
  <c r="J35" i="10"/>
  <c r="J35" i="18"/>
  <c r="I40" i="18"/>
  <c r="I78" i="18" s="1"/>
  <c r="I45" i="12"/>
  <c r="I52" i="12" s="1"/>
  <c r="I46" i="12"/>
  <c r="I51" i="12"/>
  <c r="I35" i="13"/>
  <c r="H40" i="13"/>
  <c r="H78" i="13" s="1"/>
  <c r="H51" i="13"/>
  <c r="I65" i="5"/>
  <c r="H65" i="2"/>
  <c r="H66" i="2" s="1"/>
  <c r="I63" i="2" s="1"/>
  <c r="H65" i="17"/>
  <c r="H46" i="15"/>
  <c r="I54" i="9"/>
  <c r="I77" i="9" s="1"/>
  <c r="J50" i="9"/>
  <c r="M23" i="11"/>
  <c r="N4" i="11"/>
  <c r="N23" i="20"/>
  <c r="J59" i="15"/>
  <c r="N23" i="2"/>
  <c r="O4" i="2"/>
  <c r="M23" i="14"/>
  <c r="N4" i="14"/>
  <c r="M3" i="14"/>
  <c r="M23" i="18"/>
  <c r="N4" i="18"/>
  <c r="O3" i="20"/>
  <c r="H64" i="19"/>
  <c r="H58" i="19"/>
  <c r="H44" i="19"/>
  <c r="I38" i="17"/>
  <c r="I39" i="17"/>
  <c r="J35" i="17" s="1"/>
  <c r="J65" i="14"/>
  <c r="I58" i="18"/>
  <c r="I64" i="18"/>
  <c r="I44" i="18"/>
  <c r="H39" i="19"/>
  <c r="I39" i="14"/>
  <c r="J35" i="14" s="1"/>
  <c r="I40" i="14"/>
  <c r="I78" i="14" s="1"/>
  <c r="I59" i="12"/>
  <c r="I70" i="12" s="1"/>
  <c r="I72" i="12" s="1"/>
  <c r="H59" i="13"/>
  <c r="H60" i="13" s="1"/>
  <c r="I57" i="13" s="1"/>
  <c r="I40" i="20"/>
  <c r="I78" i="20" s="1"/>
  <c r="J35" i="20"/>
  <c r="H51" i="2"/>
  <c r="M4" i="13"/>
  <c r="L23" i="13"/>
  <c r="H45" i="17"/>
  <c r="H52" i="17" s="1"/>
  <c r="H51" i="17"/>
  <c r="I43" i="14"/>
  <c r="H47" i="14"/>
  <c r="H76" i="14" s="1"/>
  <c r="H80" i="14" s="1"/>
  <c r="J35" i="12"/>
  <c r="I40" i="12"/>
  <c r="I78" i="12" s="1"/>
  <c r="H70" i="15"/>
  <c r="H72" i="15" s="1"/>
  <c r="J60" i="14"/>
  <c r="K57" i="14" s="1"/>
  <c r="K60" i="14" s="1"/>
  <c r="L57" i="14" s="1"/>
  <c r="J66" i="9"/>
  <c r="K63" i="9" s="1"/>
  <c r="O3" i="19"/>
  <c r="M23" i="9"/>
  <c r="N4" i="9"/>
  <c r="I47" i="9"/>
  <c r="J43" i="9"/>
  <c r="I44" i="11"/>
  <c r="I64" i="11"/>
  <c r="I58" i="11"/>
  <c r="I37" i="2"/>
  <c r="N4" i="12"/>
  <c r="M23" i="12"/>
  <c r="I37" i="15"/>
  <c r="I39" i="15" s="1"/>
  <c r="I64" i="10"/>
  <c r="I58" i="10"/>
  <c r="I44" i="10"/>
  <c r="I66" i="12"/>
  <c r="J63" i="12" s="1"/>
  <c r="I65" i="12"/>
  <c r="I71" i="12" s="1"/>
  <c r="H65" i="13"/>
  <c r="I58" i="20"/>
  <c r="I44" i="20"/>
  <c r="I64" i="20"/>
  <c r="F172" i="21"/>
  <c r="M101" i="21"/>
  <c r="L23" i="5"/>
  <c r="L24" i="5" s="1"/>
  <c r="J172" i="21"/>
  <c r="K169" i="21"/>
  <c r="K172" i="21" s="1"/>
  <c r="J31" i="5"/>
  <c r="K175" i="21"/>
  <c r="J65" i="5"/>
  <c r="O3" i="5" l="1"/>
  <c r="N3" i="10"/>
  <c r="H71" i="13"/>
  <c r="H71" i="17"/>
  <c r="I40" i="17"/>
  <c r="I78" i="17" s="1"/>
  <c r="J35" i="15"/>
  <c r="I40" i="15"/>
  <c r="I78" i="15" s="1"/>
  <c r="K35" i="9"/>
  <c r="J40" i="9"/>
  <c r="J78" i="9" s="1"/>
  <c r="I65" i="20"/>
  <c r="I65" i="10"/>
  <c r="I66" i="10" s="1"/>
  <c r="J63" i="10" s="1"/>
  <c r="I45" i="11"/>
  <c r="I52" i="11" s="1"/>
  <c r="I51" i="11"/>
  <c r="O4" i="9"/>
  <c r="N23" i="9"/>
  <c r="M23" i="13"/>
  <c r="N4" i="13"/>
  <c r="I73" i="12"/>
  <c r="I79" i="12" s="1"/>
  <c r="J69" i="12"/>
  <c r="I35" i="19"/>
  <c r="H40" i="19"/>
  <c r="H78" i="19" s="1"/>
  <c r="I65" i="18"/>
  <c r="I66" i="18" s="1"/>
  <c r="J63" i="18" s="1"/>
  <c r="H66" i="19"/>
  <c r="I63" i="19" s="1"/>
  <c r="H65" i="19"/>
  <c r="O23" i="2"/>
  <c r="P4" i="2"/>
  <c r="O4" i="11"/>
  <c r="N23" i="11"/>
  <c r="I47" i="12"/>
  <c r="J43" i="12"/>
  <c r="J37" i="18"/>
  <c r="J38" i="18" s="1"/>
  <c r="P4" i="10"/>
  <c r="O23" i="10"/>
  <c r="I38" i="2"/>
  <c r="I39" i="2" s="1"/>
  <c r="J37" i="11"/>
  <c r="M23" i="15"/>
  <c r="N4" i="15"/>
  <c r="Q4" i="20"/>
  <c r="P23" i="20"/>
  <c r="N3" i="11"/>
  <c r="N3" i="12"/>
  <c r="H70" i="17"/>
  <c r="H72" i="17" s="1"/>
  <c r="I51" i="20"/>
  <c r="H66" i="13"/>
  <c r="I63" i="13" s="1"/>
  <c r="I51" i="10"/>
  <c r="I45" i="10" s="1"/>
  <c r="I52" i="10" s="1"/>
  <c r="I59" i="11"/>
  <c r="I60" i="11"/>
  <c r="J57" i="11" s="1"/>
  <c r="J51" i="9"/>
  <c r="J45" i="9" s="1"/>
  <c r="J52" i="9" s="1"/>
  <c r="J37" i="12"/>
  <c r="J38" i="12" s="1"/>
  <c r="I45" i="14"/>
  <c r="I52" i="14" s="1"/>
  <c r="I51" i="14"/>
  <c r="H46" i="17"/>
  <c r="J37" i="20"/>
  <c r="J38" i="20" s="1"/>
  <c r="H70" i="13"/>
  <c r="H72" i="13" s="1"/>
  <c r="I59" i="18"/>
  <c r="I60" i="18" s="1"/>
  <c r="J57" i="18" s="1"/>
  <c r="J37" i="17"/>
  <c r="J38" i="17" s="1"/>
  <c r="H51" i="19"/>
  <c r="H45" i="19" s="1"/>
  <c r="P3" i="20"/>
  <c r="N23" i="18"/>
  <c r="O4" i="18"/>
  <c r="N3" i="14"/>
  <c r="N23" i="14"/>
  <c r="O4" i="14"/>
  <c r="H66" i="17"/>
  <c r="I63" i="17" s="1"/>
  <c r="I37" i="13"/>
  <c r="J37" i="10"/>
  <c r="J38" i="10" s="1"/>
  <c r="H60" i="17"/>
  <c r="I57" i="17" s="1"/>
  <c r="I59" i="20"/>
  <c r="I59" i="10"/>
  <c r="I60" i="10" s="1"/>
  <c r="J57" i="10" s="1"/>
  <c r="O4" i="12"/>
  <c r="N23" i="12"/>
  <c r="I66" i="11"/>
  <c r="J63" i="11" s="1"/>
  <c r="I65" i="11"/>
  <c r="I71" i="11" s="1"/>
  <c r="I76" i="9"/>
  <c r="I80" i="9" s="1"/>
  <c r="I38" i="5"/>
  <c r="P3" i="19"/>
  <c r="I69" i="15"/>
  <c r="H73" i="15"/>
  <c r="H79" i="15" s="1"/>
  <c r="H53" i="17"/>
  <c r="H45" i="2"/>
  <c r="I60" i="12"/>
  <c r="J57" i="12" s="1"/>
  <c r="J37" i="14"/>
  <c r="J39" i="14" s="1"/>
  <c r="I51" i="18"/>
  <c r="I45" i="18" s="1"/>
  <c r="J66" i="14"/>
  <c r="K63" i="14" s="1"/>
  <c r="I58" i="17"/>
  <c r="I59" i="17" s="1"/>
  <c r="I44" i="17"/>
  <c r="I64" i="17"/>
  <c r="H59" i="19"/>
  <c r="H47" i="15"/>
  <c r="H76" i="15" s="1"/>
  <c r="I43" i="15"/>
  <c r="H71" i="2"/>
  <c r="H70" i="2" s="1"/>
  <c r="H72" i="2" s="1"/>
  <c r="H45" i="13"/>
  <c r="I83" i="12"/>
  <c r="I53" i="12"/>
  <c r="M23" i="19"/>
  <c r="N4" i="19"/>
  <c r="I66" i="15"/>
  <c r="J63" i="15" s="1"/>
  <c r="J60" i="15"/>
  <c r="K57" i="15" s="1"/>
  <c r="K60" i="15" s="1"/>
  <c r="L57" i="15" s="1"/>
  <c r="M23" i="17"/>
  <c r="N4" i="17"/>
  <c r="H60" i="2"/>
  <c r="I57" i="2" s="1"/>
  <c r="N101" i="21"/>
  <c r="M23" i="5"/>
  <c r="M24" i="5" s="1"/>
  <c r="J170" i="21"/>
  <c r="L169" i="21"/>
  <c r="K31" i="5"/>
  <c r="L175" i="21"/>
  <c r="K65" i="5"/>
  <c r="P3" i="5" l="1"/>
  <c r="O3" i="10"/>
  <c r="H80" i="15"/>
  <c r="I38" i="13"/>
  <c r="I39" i="13" s="1"/>
  <c r="J35" i="13" s="1"/>
  <c r="J64" i="17"/>
  <c r="J58" i="17"/>
  <c r="J59" i="17" s="1"/>
  <c r="J44" i="17"/>
  <c r="I52" i="18"/>
  <c r="I53" i="18" s="1"/>
  <c r="I46" i="18"/>
  <c r="J44" i="10"/>
  <c r="J64" i="10"/>
  <c r="J65" i="10" s="1"/>
  <c r="J58" i="10"/>
  <c r="J59" i="10" s="1"/>
  <c r="J64" i="20"/>
  <c r="J58" i="20"/>
  <c r="J59" i="20" s="1"/>
  <c r="J44" i="20"/>
  <c r="J35" i="2"/>
  <c r="I40" i="2"/>
  <c r="I78" i="2" s="1"/>
  <c r="J44" i="18"/>
  <c r="J58" i="18"/>
  <c r="J59" i="18" s="1"/>
  <c r="J60" i="18" s="1"/>
  <c r="K57" i="18" s="1"/>
  <c r="J64" i="18"/>
  <c r="J65" i="18" s="1"/>
  <c r="I69" i="2"/>
  <c r="H73" i="2"/>
  <c r="H79" i="2" s="1"/>
  <c r="K35" i="14"/>
  <c r="J40" i="14"/>
  <c r="J78" i="14" s="1"/>
  <c r="H52" i="19"/>
  <c r="H46" i="19"/>
  <c r="J64" i="12"/>
  <c r="J58" i="12"/>
  <c r="J59" i="12" s="1"/>
  <c r="J44" i="12"/>
  <c r="H52" i="13"/>
  <c r="H53" i="13" s="1"/>
  <c r="H46" i="13"/>
  <c r="K66" i="14"/>
  <c r="L63" i="14" s="1"/>
  <c r="K65" i="14"/>
  <c r="H54" i="17"/>
  <c r="H77" i="17" s="1"/>
  <c r="I50" i="17"/>
  <c r="P4" i="14"/>
  <c r="O23" i="14"/>
  <c r="O3" i="14"/>
  <c r="J39" i="17"/>
  <c r="J39" i="20"/>
  <c r="I83" i="14"/>
  <c r="I71" i="14"/>
  <c r="I70" i="14" s="1"/>
  <c r="I72" i="14" s="1"/>
  <c r="I53" i="14"/>
  <c r="I46" i="14"/>
  <c r="J39" i="12"/>
  <c r="J83" i="9"/>
  <c r="J71" i="9"/>
  <c r="J70" i="9" s="1"/>
  <c r="J72" i="9" s="1"/>
  <c r="J46" i="9"/>
  <c r="I53" i="10"/>
  <c r="I83" i="10"/>
  <c r="O3" i="12"/>
  <c r="O3" i="11"/>
  <c r="Q23" i="20"/>
  <c r="R4" i="20"/>
  <c r="J38" i="11"/>
  <c r="J39" i="11" s="1"/>
  <c r="P23" i="10"/>
  <c r="Q4" i="10"/>
  <c r="I76" i="12"/>
  <c r="I42" i="5"/>
  <c r="J53" i="9"/>
  <c r="O23" i="11"/>
  <c r="P4" i="11"/>
  <c r="H71" i="19"/>
  <c r="N23" i="13"/>
  <c r="O4" i="13"/>
  <c r="I53" i="11"/>
  <c r="I83" i="11"/>
  <c r="I71" i="10"/>
  <c r="I70" i="10" s="1"/>
  <c r="I72" i="10" s="1"/>
  <c r="N23" i="17"/>
  <c r="O4" i="17"/>
  <c r="H70" i="19"/>
  <c r="H72" i="19" s="1"/>
  <c r="I83" i="18"/>
  <c r="J60" i="12"/>
  <c r="K57" i="12" s="1"/>
  <c r="I55" i="5"/>
  <c r="I85" i="9"/>
  <c r="I84" i="9"/>
  <c r="I65" i="17"/>
  <c r="I66" i="17" s="1"/>
  <c r="J63" i="17" s="1"/>
  <c r="I83" i="20"/>
  <c r="H73" i="17"/>
  <c r="H79" i="17" s="1"/>
  <c r="H80" i="17" s="1"/>
  <c r="I69" i="17"/>
  <c r="O4" i="15"/>
  <c r="N23" i="15"/>
  <c r="I58" i="2"/>
  <c r="I59" i="2" s="1"/>
  <c r="I44" i="2"/>
  <c r="I64" i="2"/>
  <c r="J39" i="18"/>
  <c r="P23" i="2"/>
  <c r="Q4" i="2"/>
  <c r="I71" i="20"/>
  <c r="I70" i="20" s="1"/>
  <c r="I72" i="20" s="1"/>
  <c r="K37" i="9"/>
  <c r="J65" i="15"/>
  <c r="J66" i="15" s="1"/>
  <c r="K63" i="15" s="1"/>
  <c r="I54" i="12"/>
  <c r="I77" i="12" s="1"/>
  <c r="I80" i="12" s="1"/>
  <c r="J50" i="12"/>
  <c r="J45" i="12" s="1"/>
  <c r="Q3" i="19"/>
  <c r="J39" i="10"/>
  <c r="H53" i="19"/>
  <c r="N23" i="19"/>
  <c r="O4" i="19"/>
  <c r="I51" i="15"/>
  <c r="I45" i="15" s="1"/>
  <c r="I52" i="15" s="1"/>
  <c r="H60" i="19"/>
  <c r="I57" i="19" s="1"/>
  <c r="H52" i="2"/>
  <c r="H53" i="2" s="1"/>
  <c r="H46" i="2"/>
  <c r="O23" i="12"/>
  <c r="P4" i="12"/>
  <c r="I60" i="20"/>
  <c r="J57" i="20" s="1"/>
  <c r="J60" i="20" s="1"/>
  <c r="K57" i="20" s="1"/>
  <c r="I60" i="17"/>
  <c r="J57" i="17" s="1"/>
  <c r="J60" i="17" s="1"/>
  <c r="K57" i="17" s="1"/>
  <c r="P4" i="18"/>
  <c r="O23" i="18"/>
  <c r="Q3" i="20"/>
  <c r="H73" i="13"/>
  <c r="H79" i="13" s="1"/>
  <c r="I69" i="13"/>
  <c r="H47" i="17"/>
  <c r="H76" i="17" s="1"/>
  <c r="I43" i="17"/>
  <c r="I70" i="11"/>
  <c r="I72" i="11" s="1"/>
  <c r="I46" i="10"/>
  <c r="I45" i="20"/>
  <c r="J51" i="12"/>
  <c r="J83" i="12" s="1"/>
  <c r="I71" i="18"/>
  <c r="I70" i="18" s="1"/>
  <c r="I72" i="18" s="1"/>
  <c r="I38" i="19"/>
  <c r="I37" i="19"/>
  <c r="I39" i="19" s="1"/>
  <c r="O23" i="9"/>
  <c r="P4" i="9"/>
  <c r="I46" i="11"/>
  <c r="I66" i="20"/>
  <c r="J63" i="20" s="1"/>
  <c r="J37" i="15"/>
  <c r="J39" i="15" s="1"/>
  <c r="K35" i="15" s="1"/>
  <c r="N23" i="5"/>
  <c r="N24" i="5" s="1"/>
  <c r="O101" i="21"/>
  <c r="M169" i="21"/>
  <c r="L31" i="5"/>
  <c r="L172" i="21"/>
  <c r="K170" i="21"/>
  <c r="J48" i="5"/>
  <c r="J173" i="21"/>
  <c r="J174" i="21"/>
  <c r="M175" i="21"/>
  <c r="L65" i="5"/>
  <c r="Q3" i="5" l="1"/>
  <c r="P3" i="10"/>
  <c r="I44" i="13"/>
  <c r="I58" i="13"/>
  <c r="I64" i="13"/>
  <c r="I65" i="13" s="1"/>
  <c r="I66" i="13" s="1"/>
  <c r="J63" i="13" s="1"/>
  <c r="I40" i="13"/>
  <c r="I78" i="13" s="1"/>
  <c r="J69" i="18"/>
  <c r="I73" i="18"/>
  <c r="I79" i="18" s="1"/>
  <c r="J35" i="19"/>
  <c r="I40" i="19"/>
  <c r="I78" i="19" s="1"/>
  <c r="I59" i="5"/>
  <c r="I85" i="12"/>
  <c r="I84" i="12"/>
  <c r="J69" i="20"/>
  <c r="I73" i="20"/>
  <c r="I79" i="20" s="1"/>
  <c r="K35" i="11"/>
  <c r="J40" i="11"/>
  <c r="J78" i="11" s="1"/>
  <c r="K69" i="9"/>
  <c r="J73" i="9"/>
  <c r="J79" i="9" s="1"/>
  <c r="J52" i="12"/>
  <c r="J46" i="12"/>
  <c r="J69" i="14"/>
  <c r="I73" i="14"/>
  <c r="I79" i="14" s="1"/>
  <c r="J40" i="15"/>
  <c r="J78" i="15" s="1"/>
  <c r="J65" i="20"/>
  <c r="H47" i="2"/>
  <c r="H76" i="2" s="1"/>
  <c r="I43" i="2"/>
  <c r="R3" i="19"/>
  <c r="I47" i="11"/>
  <c r="J43" i="11"/>
  <c r="J43" i="10"/>
  <c r="I47" i="10"/>
  <c r="H54" i="2"/>
  <c r="H77" i="2" s="1"/>
  <c r="H80" i="2" s="1"/>
  <c r="I50" i="2"/>
  <c r="I83" i="15"/>
  <c r="I53" i="15"/>
  <c r="I71" i="15"/>
  <c r="I70" i="15" s="1"/>
  <c r="I72" i="15" s="1"/>
  <c r="K35" i="18"/>
  <c r="J40" i="18"/>
  <c r="J78" i="18" s="1"/>
  <c r="H73" i="19"/>
  <c r="H79" i="19" s="1"/>
  <c r="I69" i="19"/>
  <c r="P4" i="13"/>
  <c r="O23" i="13"/>
  <c r="K50" i="9"/>
  <c r="J54" i="9"/>
  <c r="J77" i="9" s="1"/>
  <c r="R4" i="10"/>
  <c r="Q23" i="10"/>
  <c r="S4" i="20"/>
  <c r="R23" i="20"/>
  <c r="P3" i="11"/>
  <c r="P3" i="12"/>
  <c r="K43" i="9"/>
  <c r="J47" i="9"/>
  <c r="J50" i="14"/>
  <c r="I54" i="14"/>
  <c r="I77" i="14" s="1"/>
  <c r="K35" i="17"/>
  <c r="J40" i="17"/>
  <c r="J78" i="17" s="1"/>
  <c r="P23" i="14"/>
  <c r="Q4" i="14"/>
  <c r="I50" i="13"/>
  <c r="H54" i="13"/>
  <c r="H77" i="13" s="1"/>
  <c r="I60" i="2"/>
  <c r="J57" i="2" s="1"/>
  <c r="J65" i="12"/>
  <c r="J71" i="12" s="1"/>
  <c r="J66" i="12"/>
  <c r="K63" i="12" s="1"/>
  <c r="K39" i="14"/>
  <c r="L35" i="14" s="1"/>
  <c r="K37" i="14"/>
  <c r="K37" i="15"/>
  <c r="K39" i="15" s="1"/>
  <c r="Q4" i="9"/>
  <c r="P23" i="9"/>
  <c r="I58" i="19"/>
  <c r="I59" i="19" s="1"/>
  <c r="I44" i="19"/>
  <c r="I64" i="19"/>
  <c r="J69" i="11"/>
  <c r="I73" i="11"/>
  <c r="I79" i="11" s="1"/>
  <c r="R3" i="20"/>
  <c r="P23" i="18"/>
  <c r="Q4" i="18"/>
  <c r="P23" i="12"/>
  <c r="Q4" i="12"/>
  <c r="I46" i="15"/>
  <c r="O23" i="19"/>
  <c r="P4" i="19"/>
  <c r="H54" i="19"/>
  <c r="H77" i="19" s="1"/>
  <c r="I50" i="19"/>
  <c r="J53" i="12"/>
  <c r="K50" i="12" s="1"/>
  <c r="K65" i="15"/>
  <c r="K66" i="15" s="1"/>
  <c r="L63" i="15" s="1"/>
  <c r="Q23" i="2"/>
  <c r="R4" i="2"/>
  <c r="I65" i="2"/>
  <c r="I66" i="2" s="1"/>
  <c r="J63" i="2" s="1"/>
  <c r="J65" i="17"/>
  <c r="J66" i="17" s="1"/>
  <c r="K63" i="17" s="1"/>
  <c r="I86" i="9"/>
  <c r="I87" i="9" s="1"/>
  <c r="I89" i="9" s="1"/>
  <c r="I14" i="5" s="1"/>
  <c r="O23" i="17"/>
  <c r="P4" i="17"/>
  <c r="P23" i="11"/>
  <c r="Q4" i="11"/>
  <c r="K35" i="12"/>
  <c r="J40" i="12"/>
  <c r="J78" i="12" s="1"/>
  <c r="K35" i="20"/>
  <c r="J40" i="20"/>
  <c r="J78" i="20" s="1"/>
  <c r="I43" i="19"/>
  <c r="H47" i="19"/>
  <c r="H76" i="19" s="1"/>
  <c r="J37" i="13"/>
  <c r="J37" i="2"/>
  <c r="J38" i="2" s="1"/>
  <c r="I52" i="20"/>
  <c r="I53" i="20" s="1"/>
  <c r="I46" i="20"/>
  <c r="I51" i="17"/>
  <c r="I71" i="17" s="1"/>
  <c r="I60" i="19"/>
  <c r="J57" i="19" s="1"/>
  <c r="K35" i="10"/>
  <c r="J40" i="10"/>
  <c r="J78" i="10" s="1"/>
  <c r="J66" i="10"/>
  <c r="K63" i="10" s="1"/>
  <c r="O23" i="15"/>
  <c r="P4" i="15"/>
  <c r="I73" i="10"/>
  <c r="I79" i="10" s="1"/>
  <c r="J69" i="10"/>
  <c r="I54" i="18"/>
  <c r="I77" i="18" s="1"/>
  <c r="J50" i="18"/>
  <c r="I54" i="11"/>
  <c r="I77" i="11" s="1"/>
  <c r="J50" i="11"/>
  <c r="J66" i="18"/>
  <c r="K63" i="18" s="1"/>
  <c r="J64" i="11"/>
  <c r="J58" i="11"/>
  <c r="J44" i="11"/>
  <c r="I54" i="10"/>
  <c r="I77" i="10" s="1"/>
  <c r="J50" i="10"/>
  <c r="J43" i="14"/>
  <c r="I47" i="14"/>
  <c r="P3" i="14"/>
  <c r="I59" i="13"/>
  <c r="I60" i="13" s="1"/>
  <c r="J57" i="13" s="1"/>
  <c r="I43" i="13"/>
  <c r="H47" i="13"/>
  <c r="H76" i="13" s="1"/>
  <c r="J70" i="12"/>
  <c r="J72" i="12" s="1"/>
  <c r="I47" i="18"/>
  <c r="J43" i="18"/>
  <c r="J60" i="10"/>
  <c r="K57" i="10" s="1"/>
  <c r="O23" i="5"/>
  <c r="O24" i="5" s="1"/>
  <c r="P101" i="21"/>
  <c r="N175" i="21"/>
  <c r="M65" i="5"/>
  <c r="L170" i="21"/>
  <c r="K48" i="5"/>
  <c r="K173" i="21"/>
  <c r="K174" i="21"/>
  <c r="J176" i="21"/>
  <c r="J178" i="21" s="1"/>
  <c r="J29" i="21" s="1"/>
  <c r="J83" i="21" s="1"/>
  <c r="J7" i="5" s="1"/>
  <c r="N169" i="21"/>
  <c r="M31" i="5"/>
  <c r="M172" i="21"/>
  <c r="R3" i="5" l="1"/>
  <c r="Q3" i="10"/>
  <c r="H80" i="13"/>
  <c r="J58" i="2"/>
  <c r="J59" i="2" s="1"/>
  <c r="J64" i="2"/>
  <c r="J65" i="2" s="1"/>
  <c r="J66" i="2" s="1"/>
  <c r="K63" i="2" s="1"/>
  <c r="J44" i="2"/>
  <c r="L35" i="15"/>
  <c r="K40" i="15"/>
  <c r="K78" i="15" s="1"/>
  <c r="J69" i="15"/>
  <c r="I73" i="15"/>
  <c r="I79" i="15" s="1"/>
  <c r="J51" i="18"/>
  <c r="J51" i="14"/>
  <c r="J45" i="14" s="1"/>
  <c r="J65" i="11"/>
  <c r="P23" i="15"/>
  <c r="Q4" i="15"/>
  <c r="I45" i="17"/>
  <c r="I54" i="20"/>
  <c r="I77" i="20" s="1"/>
  <c r="J50" i="20"/>
  <c r="J39" i="2"/>
  <c r="J38" i="13"/>
  <c r="I51" i="19"/>
  <c r="I83" i="19" s="1"/>
  <c r="K37" i="20"/>
  <c r="R23" i="2"/>
  <c r="S4" i="2"/>
  <c r="K44" i="9"/>
  <c r="K51" i="9" s="1"/>
  <c r="K83" i="9" s="1"/>
  <c r="K58" i="9"/>
  <c r="K64" i="9"/>
  <c r="J54" i="12"/>
  <c r="J77" i="12" s="1"/>
  <c r="J43" i="15"/>
  <c r="I47" i="15"/>
  <c r="Q23" i="18"/>
  <c r="R4" i="18"/>
  <c r="I65" i="19"/>
  <c r="I71" i="19" s="1"/>
  <c r="I66" i="19"/>
  <c r="J63" i="19" s="1"/>
  <c r="K40" i="14"/>
  <c r="K78" i="14" s="1"/>
  <c r="J51" i="10"/>
  <c r="J45" i="10" s="1"/>
  <c r="I76" i="11"/>
  <c r="I41" i="5"/>
  <c r="K43" i="12"/>
  <c r="J47" i="12"/>
  <c r="I86" i="12"/>
  <c r="I87" i="12"/>
  <c r="I89" i="12" s="1"/>
  <c r="J37" i="19"/>
  <c r="J38" i="19" s="1"/>
  <c r="I76" i="18"/>
  <c r="I40" i="5"/>
  <c r="K37" i="10"/>
  <c r="K38" i="10" s="1"/>
  <c r="I83" i="17"/>
  <c r="I70" i="17"/>
  <c r="I72" i="17" s="1"/>
  <c r="R4" i="11"/>
  <c r="Q23" i="11"/>
  <c r="P23" i="17"/>
  <c r="Q4" i="17"/>
  <c r="P23" i="19"/>
  <c r="Q4" i="19"/>
  <c r="R4" i="12"/>
  <c r="Q23" i="12"/>
  <c r="I80" i="11"/>
  <c r="R4" i="9"/>
  <c r="Q23" i="9"/>
  <c r="L37" i="14"/>
  <c r="L38" i="14" s="1"/>
  <c r="Q3" i="12"/>
  <c r="Q3" i="11"/>
  <c r="S4" i="10"/>
  <c r="R23" i="10"/>
  <c r="H80" i="19"/>
  <c r="S3" i="19"/>
  <c r="I51" i="2"/>
  <c r="I45" i="2" s="1"/>
  <c r="I52" i="2" s="1"/>
  <c r="I53" i="2" s="1"/>
  <c r="I80" i="18"/>
  <c r="K69" i="12"/>
  <c r="J73" i="12"/>
  <c r="J79" i="12" s="1"/>
  <c r="I51" i="13"/>
  <c r="I45" i="13" s="1"/>
  <c r="I52" i="13" s="1"/>
  <c r="Q3" i="14"/>
  <c r="I76" i="14"/>
  <c r="I80" i="14" s="1"/>
  <c r="I36" i="5"/>
  <c r="J59" i="11"/>
  <c r="J60" i="11"/>
  <c r="K57" i="11" s="1"/>
  <c r="I47" i="20"/>
  <c r="J43" i="20"/>
  <c r="K37" i="12"/>
  <c r="K38" i="12"/>
  <c r="S3" i="20"/>
  <c r="I70" i="19"/>
  <c r="I72" i="19" s="1"/>
  <c r="Q23" i="14"/>
  <c r="R4" i="14"/>
  <c r="K37" i="17"/>
  <c r="J76" i="9"/>
  <c r="J80" i="9" s="1"/>
  <c r="J38" i="5"/>
  <c r="T4" i="20"/>
  <c r="S23" i="20"/>
  <c r="P23" i="13"/>
  <c r="Q4" i="13"/>
  <c r="K37" i="18"/>
  <c r="K38" i="18" s="1"/>
  <c r="J50" i="15"/>
  <c r="I54" i="15"/>
  <c r="I77" i="15" s="1"/>
  <c r="I76" i="10"/>
  <c r="I80" i="10" s="1"/>
  <c r="I39" i="5"/>
  <c r="J45" i="11"/>
  <c r="J52" i="11" s="1"/>
  <c r="J51" i="11"/>
  <c r="J83" i="11" s="1"/>
  <c r="J66" i="20"/>
  <c r="K63" i="20" s="1"/>
  <c r="K39" i="9"/>
  <c r="K37" i="11"/>
  <c r="P23" i="5"/>
  <c r="P24" i="5" s="1"/>
  <c r="Q101" i="21"/>
  <c r="M170" i="21"/>
  <c r="L48" i="5"/>
  <c r="L173" i="21"/>
  <c r="L174" i="21"/>
  <c r="O169" i="21"/>
  <c r="N31" i="5"/>
  <c r="N172" i="21"/>
  <c r="K176" i="21"/>
  <c r="K178" i="21" s="1"/>
  <c r="K29" i="21" s="1"/>
  <c r="K83" i="21" s="1"/>
  <c r="K7" i="5" s="1"/>
  <c r="O175" i="21"/>
  <c r="N65" i="5"/>
  <c r="S3" i="5" l="1"/>
  <c r="R3" i="10"/>
  <c r="J60" i="2"/>
  <c r="K57" i="2" s="1"/>
  <c r="I85" i="10"/>
  <c r="I84" i="10"/>
  <c r="I56" i="5"/>
  <c r="K64" i="18"/>
  <c r="K58" i="18"/>
  <c r="K44" i="18"/>
  <c r="J69" i="19"/>
  <c r="I73" i="19"/>
  <c r="I79" i="19" s="1"/>
  <c r="J50" i="2"/>
  <c r="I54" i="2"/>
  <c r="I77" i="2" s="1"/>
  <c r="J52" i="14"/>
  <c r="J53" i="14" s="1"/>
  <c r="J46" i="14"/>
  <c r="I53" i="5"/>
  <c r="I84" i="14"/>
  <c r="I88" i="14"/>
  <c r="I70" i="5" s="1"/>
  <c r="I85" i="14"/>
  <c r="K58" i="10"/>
  <c r="K44" i="10"/>
  <c r="K64" i="10"/>
  <c r="J44" i="19"/>
  <c r="J64" i="19"/>
  <c r="J58" i="19"/>
  <c r="L64" i="14"/>
  <c r="L58" i="14"/>
  <c r="L44" i="14"/>
  <c r="J52" i="10"/>
  <c r="J53" i="10" s="1"/>
  <c r="J46" i="10"/>
  <c r="K38" i="11"/>
  <c r="K39" i="11" s="1"/>
  <c r="J46" i="11"/>
  <c r="K39" i="18"/>
  <c r="K38" i="17"/>
  <c r="R23" i="14"/>
  <c r="S4" i="14"/>
  <c r="J51" i="20"/>
  <c r="J53" i="11"/>
  <c r="R3" i="14"/>
  <c r="I83" i="2"/>
  <c r="S23" i="10"/>
  <c r="T4" i="10"/>
  <c r="R23" i="9"/>
  <c r="S4" i="9"/>
  <c r="R23" i="12"/>
  <c r="S4" i="12"/>
  <c r="I71" i="2"/>
  <c r="I70" i="2" s="1"/>
  <c r="I72" i="2" s="1"/>
  <c r="K39" i="10"/>
  <c r="J39" i="19"/>
  <c r="I53" i="13"/>
  <c r="I76" i="15"/>
  <c r="I80" i="15" s="1"/>
  <c r="I35" i="5"/>
  <c r="K65" i="9"/>
  <c r="K71" i="9" s="1"/>
  <c r="S23" i="2"/>
  <c r="T4" i="2"/>
  <c r="K38" i="20"/>
  <c r="K35" i="2"/>
  <c r="J40" i="2"/>
  <c r="J78" i="2" s="1"/>
  <c r="I52" i="17"/>
  <c r="I53" i="17" s="1"/>
  <c r="I46" i="17"/>
  <c r="J71" i="11"/>
  <c r="J83" i="18"/>
  <c r="J71" i="18"/>
  <c r="J70" i="18" s="1"/>
  <c r="J72" i="18" s="1"/>
  <c r="J85" i="9"/>
  <c r="J86" i="9" s="1"/>
  <c r="J87" i="9" s="1"/>
  <c r="J55" i="5"/>
  <c r="J84" i="9"/>
  <c r="J88" i="9"/>
  <c r="J72" i="5" s="1"/>
  <c r="I76" i="20"/>
  <c r="I80" i="20" s="1"/>
  <c r="I43" i="5"/>
  <c r="I57" i="5"/>
  <c r="I85" i="18"/>
  <c r="I84" i="18"/>
  <c r="T3" i="19"/>
  <c r="L39" i="14"/>
  <c r="I84" i="11"/>
  <c r="I58" i="5"/>
  <c r="I85" i="11"/>
  <c r="Q23" i="19"/>
  <c r="R4" i="19"/>
  <c r="Q23" i="17"/>
  <c r="R4" i="17"/>
  <c r="R23" i="11"/>
  <c r="S4" i="11"/>
  <c r="J76" i="12"/>
  <c r="J80" i="12" s="1"/>
  <c r="J42" i="5"/>
  <c r="K45" i="9"/>
  <c r="S4" i="18"/>
  <c r="R23" i="18"/>
  <c r="J51" i="15"/>
  <c r="K59" i="9"/>
  <c r="K60" i="9" s="1"/>
  <c r="L57" i="9" s="1"/>
  <c r="Q23" i="15"/>
  <c r="R4" i="15"/>
  <c r="J83" i="14"/>
  <c r="J71" i="14"/>
  <c r="J70" i="14" s="1"/>
  <c r="J72" i="14" s="1"/>
  <c r="L37" i="15"/>
  <c r="L35" i="9"/>
  <c r="K40" i="9"/>
  <c r="K78" i="9" s="1"/>
  <c r="Q23" i="13"/>
  <c r="R4" i="13"/>
  <c r="T23" i="20"/>
  <c r="U4" i="20"/>
  <c r="T3" i="20"/>
  <c r="K64" i="12"/>
  <c r="K58" i="12"/>
  <c r="K44" i="12"/>
  <c r="K39" i="12"/>
  <c r="J70" i="11"/>
  <c r="J72" i="11" s="1"/>
  <c r="I83" i="13"/>
  <c r="I71" i="13"/>
  <c r="I70" i="13" s="1"/>
  <c r="I72" i="13" s="1"/>
  <c r="I46" i="13"/>
  <c r="I46" i="2"/>
  <c r="R3" i="11"/>
  <c r="R3" i="12"/>
  <c r="J69" i="17"/>
  <c r="I73" i="17"/>
  <c r="I79" i="17" s="1"/>
  <c r="K51" i="12"/>
  <c r="J83" i="10"/>
  <c r="J71" i="10"/>
  <c r="J70" i="10" s="1"/>
  <c r="J72" i="10" s="1"/>
  <c r="J66" i="19"/>
  <c r="K63" i="19" s="1"/>
  <c r="J65" i="19"/>
  <c r="I45" i="19"/>
  <c r="J58" i="13"/>
  <c r="J44" i="13"/>
  <c r="J64" i="13"/>
  <c r="J66" i="11"/>
  <c r="K63" i="11" s="1"/>
  <c r="J45" i="18"/>
  <c r="J39" i="13"/>
  <c r="L176" i="21"/>
  <c r="L178" i="21" s="1"/>
  <c r="L29" i="21" s="1"/>
  <c r="L83" i="21" s="1"/>
  <c r="L7" i="5" s="1"/>
  <c r="R101" i="21"/>
  <c r="Q23" i="5"/>
  <c r="Q24" i="5" s="1"/>
  <c r="P175" i="21"/>
  <c r="O65" i="5"/>
  <c r="P169" i="21"/>
  <c r="O31" i="5"/>
  <c r="O172" i="21"/>
  <c r="N170" i="21"/>
  <c r="M48" i="5"/>
  <c r="M174" i="21"/>
  <c r="M173" i="21"/>
  <c r="T3" i="5" l="1"/>
  <c r="S3" i="10"/>
  <c r="K70" i="9"/>
  <c r="K72" i="9" s="1"/>
  <c r="L69" i="9" s="1"/>
  <c r="L38" i="15"/>
  <c r="K69" i="10"/>
  <c r="J73" i="10"/>
  <c r="J79" i="10" s="1"/>
  <c r="J69" i="13"/>
  <c r="I73" i="13"/>
  <c r="I79" i="13" s="1"/>
  <c r="J84" i="12"/>
  <c r="J88" i="12"/>
  <c r="J76" i="5" s="1"/>
  <c r="J85" i="12"/>
  <c r="J59" i="5"/>
  <c r="K69" i="18"/>
  <c r="J73" i="18"/>
  <c r="J79" i="18" s="1"/>
  <c r="K69" i="14"/>
  <c r="J73" i="14"/>
  <c r="J79" i="14" s="1"/>
  <c r="J69" i="2"/>
  <c r="I73" i="2"/>
  <c r="I79" i="2" s="1"/>
  <c r="L35" i="11"/>
  <c r="K40" i="11"/>
  <c r="K78" i="11" s="1"/>
  <c r="J65" i="13"/>
  <c r="J66" i="13" s="1"/>
  <c r="K63" i="13" s="1"/>
  <c r="I52" i="19"/>
  <c r="I53" i="19" s="1"/>
  <c r="I46" i="19"/>
  <c r="L35" i="12"/>
  <c r="K40" i="12"/>
  <c r="K78" i="12" s="1"/>
  <c r="K65" i="12"/>
  <c r="K71" i="12" s="1"/>
  <c r="U3" i="20"/>
  <c r="L37" i="9"/>
  <c r="L38" i="9" s="1"/>
  <c r="I88" i="15"/>
  <c r="I69" i="5" s="1"/>
  <c r="I52" i="5"/>
  <c r="I85" i="15"/>
  <c r="I84" i="15"/>
  <c r="S23" i="18"/>
  <c r="T4" i="18"/>
  <c r="R23" i="17"/>
  <c r="S4" i="17"/>
  <c r="U3" i="19"/>
  <c r="I86" i="18"/>
  <c r="I60" i="5"/>
  <c r="I85" i="20"/>
  <c r="I84" i="20"/>
  <c r="J89" i="9"/>
  <c r="J14" i="5" s="1"/>
  <c r="J50" i="17"/>
  <c r="I54" i="17"/>
  <c r="I77" i="17" s="1"/>
  <c r="K64" i="20"/>
  <c r="K58" i="20"/>
  <c r="K44" i="20"/>
  <c r="K66" i="9"/>
  <c r="L63" i="9" s="1"/>
  <c r="L35" i="10"/>
  <c r="K40" i="10"/>
  <c r="K78" i="10" s="1"/>
  <c r="T4" i="12"/>
  <c r="S23" i="12"/>
  <c r="K64" i="17"/>
  <c r="K58" i="17"/>
  <c r="K44" i="17"/>
  <c r="K39" i="20"/>
  <c r="J59" i="19"/>
  <c r="J60" i="19"/>
  <c r="K57" i="19" s="1"/>
  <c r="K65" i="10"/>
  <c r="K66" i="10" s="1"/>
  <c r="L63" i="10" s="1"/>
  <c r="I86" i="14"/>
  <c r="I87" i="14" s="1"/>
  <c r="I89" i="14" s="1"/>
  <c r="K50" i="14"/>
  <c r="J54" i="14"/>
  <c r="J77" i="14" s="1"/>
  <c r="K35" i="13"/>
  <c r="J40" i="13"/>
  <c r="J78" i="13" s="1"/>
  <c r="J52" i="18"/>
  <c r="J53" i="18" s="1"/>
  <c r="J46" i="18"/>
  <c r="K83" i="12"/>
  <c r="K45" i="12"/>
  <c r="J43" i="2"/>
  <c r="I47" i="2"/>
  <c r="R23" i="13"/>
  <c r="S4" i="13"/>
  <c r="R23" i="15"/>
  <c r="S4" i="15"/>
  <c r="J83" i="15"/>
  <c r="J71" i="15"/>
  <c r="J70" i="15" s="1"/>
  <c r="J72" i="15" s="1"/>
  <c r="J45" i="15"/>
  <c r="K52" i="9"/>
  <c r="K53" i="9" s="1"/>
  <c r="K46" i="9"/>
  <c r="S23" i="11"/>
  <c r="T4" i="11"/>
  <c r="I86" i="11"/>
  <c r="I87" i="11"/>
  <c r="M35" i="14"/>
  <c r="L40" i="14"/>
  <c r="L78" i="14" s="1"/>
  <c r="U4" i="2"/>
  <c r="T23" i="2"/>
  <c r="J50" i="13"/>
  <c r="I54" i="13"/>
  <c r="I77" i="13" s="1"/>
  <c r="K50" i="11"/>
  <c r="J54" i="11"/>
  <c r="J77" i="11" s="1"/>
  <c r="T4" i="14"/>
  <c r="S23" i="14"/>
  <c r="L35" i="18"/>
  <c r="K40" i="18"/>
  <c r="K78" i="18" s="1"/>
  <c r="K43" i="11"/>
  <c r="J47" i="11"/>
  <c r="K43" i="10"/>
  <c r="J47" i="10"/>
  <c r="L59" i="14"/>
  <c r="L60" i="14"/>
  <c r="M57" i="14" s="1"/>
  <c r="K39" i="17"/>
  <c r="K59" i="18"/>
  <c r="K60" i="18" s="1"/>
  <c r="L57" i="18" s="1"/>
  <c r="J59" i="13"/>
  <c r="J60" i="13" s="1"/>
  <c r="K57" i="13" s="1"/>
  <c r="S3" i="12"/>
  <c r="S3" i="11"/>
  <c r="J43" i="13"/>
  <c r="I47" i="13"/>
  <c r="K69" i="11"/>
  <c r="J73" i="11"/>
  <c r="J79" i="11" s="1"/>
  <c r="K59" i="12"/>
  <c r="K70" i="12" s="1"/>
  <c r="K72" i="12" s="1"/>
  <c r="K60" i="12"/>
  <c r="L57" i="12" s="1"/>
  <c r="U23" i="20"/>
  <c r="V4" i="20"/>
  <c r="S4" i="19"/>
  <c r="R23" i="19"/>
  <c r="J43" i="17"/>
  <c r="I47" i="17"/>
  <c r="K37" i="2"/>
  <c r="K38" i="2" s="1"/>
  <c r="K35" i="19"/>
  <c r="J40" i="19"/>
  <c r="J78" i="19" s="1"/>
  <c r="S23" i="9"/>
  <c r="T4" i="9"/>
  <c r="U4" i="10"/>
  <c r="T23" i="10"/>
  <c r="S3" i="14"/>
  <c r="J83" i="20"/>
  <c r="J71" i="20"/>
  <c r="J70" i="20" s="1"/>
  <c r="J72" i="20" s="1"/>
  <c r="J45" i="20"/>
  <c r="K58" i="11"/>
  <c r="K44" i="11"/>
  <c r="K64" i="11"/>
  <c r="K50" i="10"/>
  <c r="J54" i="10"/>
  <c r="J77" i="10" s="1"/>
  <c r="L66" i="14"/>
  <c r="M63" i="14" s="1"/>
  <c r="L65" i="14"/>
  <c r="K59" i="10"/>
  <c r="K60" i="10" s="1"/>
  <c r="L57" i="10" s="1"/>
  <c r="K43" i="14"/>
  <c r="J47" i="14"/>
  <c r="K65" i="18"/>
  <c r="K66" i="18" s="1"/>
  <c r="L63" i="18" s="1"/>
  <c r="I86" i="10"/>
  <c r="I87" i="10" s="1"/>
  <c r="M176" i="21"/>
  <c r="M178" i="21" s="1"/>
  <c r="M29" i="21" s="1"/>
  <c r="M83" i="21" s="1"/>
  <c r="M7" i="5" s="1"/>
  <c r="R23" i="5"/>
  <c r="R24" i="5" s="1"/>
  <c r="S101" i="21"/>
  <c r="Q169" i="21"/>
  <c r="P31" i="5"/>
  <c r="P172" i="21"/>
  <c r="O170" i="21"/>
  <c r="N48" i="5"/>
  <c r="N173" i="21"/>
  <c r="N174" i="21"/>
  <c r="Q175" i="21"/>
  <c r="P65" i="5"/>
  <c r="U3" i="5" l="1"/>
  <c r="T3" i="10"/>
  <c r="K73" i="9"/>
  <c r="K79" i="9" s="1"/>
  <c r="L58" i="15"/>
  <c r="L64" i="15"/>
  <c r="L65" i="15" s="1"/>
  <c r="L66" i="15" s="1"/>
  <c r="M63" i="15" s="1"/>
  <c r="L44" i="15"/>
  <c r="L39" i="15"/>
  <c r="K39" i="2"/>
  <c r="K40" i="2" s="1"/>
  <c r="K78" i="2" s="1"/>
  <c r="K69" i="20"/>
  <c r="J73" i="20"/>
  <c r="J79" i="20" s="1"/>
  <c r="L35" i="2"/>
  <c r="L44" i="9"/>
  <c r="L58" i="9"/>
  <c r="L64" i="9"/>
  <c r="L65" i="9" s="1"/>
  <c r="I89" i="10"/>
  <c r="I15" i="5" s="1"/>
  <c r="K45" i="14"/>
  <c r="K52" i="14" s="1"/>
  <c r="K51" i="14"/>
  <c r="K59" i="11"/>
  <c r="V4" i="10"/>
  <c r="U23" i="10"/>
  <c r="I34" i="5"/>
  <c r="I76" i="17"/>
  <c r="I80" i="17" s="1"/>
  <c r="S23" i="19"/>
  <c r="T4" i="19"/>
  <c r="W4" i="20"/>
  <c r="W23" i="20" s="1"/>
  <c r="X23" i="20" s="1"/>
  <c r="V23" i="20"/>
  <c r="L69" i="12"/>
  <c r="K73" i="12"/>
  <c r="K79" i="12" s="1"/>
  <c r="I76" i="13"/>
  <c r="I80" i="13" s="1"/>
  <c r="I37" i="5"/>
  <c r="J76" i="11"/>
  <c r="J41" i="5"/>
  <c r="L37" i="18"/>
  <c r="I89" i="11"/>
  <c r="L43" i="9"/>
  <c r="K47" i="9"/>
  <c r="K38" i="5" s="1"/>
  <c r="S23" i="15"/>
  <c r="T4" i="15"/>
  <c r="T4" i="13"/>
  <c r="S23" i="13"/>
  <c r="I32" i="5"/>
  <c r="I76" i="2"/>
  <c r="I80" i="2" s="1"/>
  <c r="K43" i="18"/>
  <c r="J47" i="18"/>
  <c r="K37" i="13"/>
  <c r="K38" i="13" s="1"/>
  <c r="L35" i="20"/>
  <c r="K40" i="20"/>
  <c r="K78" i="20" s="1"/>
  <c r="K65" i="17"/>
  <c r="V3" i="19"/>
  <c r="S23" i="17"/>
  <c r="T4" i="17"/>
  <c r="L39" i="9"/>
  <c r="J43" i="19"/>
  <c r="I47" i="19"/>
  <c r="J52" i="20"/>
  <c r="J53" i="20" s="1"/>
  <c r="J46" i="20"/>
  <c r="U4" i="9"/>
  <c r="T23" i="9"/>
  <c r="K37" i="19"/>
  <c r="K64" i="2"/>
  <c r="K58" i="2"/>
  <c r="K44" i="2"/>
  <c r="J51" i="17"/>
  <c r="J80" i="11"/>
  <c r="J51" i="13"/>
  <c r="J83" i="13" s="1"/>
  <c r="K65" i="11"/>
  <c r="L35" i="17"/>
  <c r="K40" i="17"/>
  <c r="K78" i="17" s="1"/>
  <c r="J76" i="10"/>
  <c r="J39" i="5"/>
  <c r="K51" i="11"/>
  <c r="K83" i="11" s="1"/>
  <c r="M37" i="14"/>
  <c r="M38" i="14" s="1"/>
  <c r="U4" i="11"/>
  <c r="T23" i="11"/>
  <c r="L50" i="9"/>
  <c r="K54" i="9"/>
  <c r="K77" i="9" s="1"/>
  <c r="K69" i="15"/>
  <c r="J73" i="15"/>
  <c r="J79" i="15" s="1"/>
  <c r="J51" i="2"/>
  <c r="K50" i="18"/>
  <c r="J54" i="18"/>
  <c r="J77" i="18" s="1"/>
  <c r="L37" i="10"/>
  <c r="L38" i="10" s="1"/>
  <c r="K59" i="20"/>
  <c r="I86" i="15"/>
  <c r="I87" i="15" s="1"/>
  <c r="I89" i="15" s="1"/>
  <c r="J50" i="19"/>
  <c r="I54" i="19"/>
  <c r="I77" i="19" s="1"/>
  <c r="J80" i="10"/>
  <c r="J76" i="14"/>
  <c r="J80" i="14" s="1"/>
  <c r="J36" i="5"/>
  <c r="T3" i="14"/>
  <c r="T3" i="11"/>
  <c r="T3" i="12"/>
  <c r="K51" i="10"/>
  <c r="K83" i="10" s="1"/>
  <c r="T23" i="14"/>
  <c r="U4" i="14"/>
  <c r="U23" i="2"/>
  <c r="V4" i="2"/>
  <c r="J52" i="15"/>
  <c r="J53" i="15" s="1"/>
  <c r="J46" i="15"/>
  <c r="K52" i="12"/>
  <c r="K53" i="12" s="1"/>
  <c r="K46" i="12"/>
  <c r="K53" i="14"/>
  <c r="L50" i="14" s="1"/>
  <c r="K59" i="17"/>
  <c r="U4" i="12"/>
  <c r="T23" i="12"/>
  <c r="K66" i="20"/>
  <c r="L63" i="20" s="1"/>
  <c r="K65" i="20"/>
  <c r="I86" i="20"/>
  <c r="I87" i="18"/>
  <c r="I89" i="18" s="1"/>
  <c r="I16" i="5" s="1"/>
  <c r="U4" i="18"/>
  <c r="T23" i="18"/>
  <c r="V3" i="20"/>
  <c r="K66" i="12"/>
  <c r="L63" i="12" s="1"/>
  <c r="L37" i="12"/>
  <c r="J71" i="13"/>
  <c r="L37" i="11"/>
  <c r="L38" i="11"/>
  <c r="L39" i="11" s="1"/>
  <c r="J86" i="12"/>
  <c r="S23" i="5"/>
  <c r="S24" i="5" s="1"/>
  <c r="T101" i="21"/>
  <c r="R175" i="21"/>
  <c r="Q65" i="5"/>
  <c r="R169" i="21"/>
  <c r="Q31" i="5"/>
  <c r="Q172" i="21"/>
  <c r="P170" i="21"/>
  <c r="O48" i="5"/>
  <c r="O173" i="21"/>
  <c r="O174" i="21"/>
  <c r="N176" i="21"/>
  <c r="N178" i="21" s="1"/>
  <c r="N29" i="21" s="1"/>
  <c r="N83" i="21" s="1"/>
  <c r="N7" i="5" s="1"/>
  <c r="K71" i="10" l="1"/>
  <c r="K70" i="10" s="1"/>
  <c r="K72" i="10" s="1"/>
  <c r="K73" i="10" s="1"/>
  <c r="K79" i="10" s="1"/>
  <c r="V3" i="5"/>
  <c r="U3" i="10"/>
  <c r="K45" i="10"/>
  <c r="K52" i="10" s="1"/>
  <c r="K53" i="10" s="1"/>
  <c r="M35" i="15"/>
  <c r="L40" i="15"/>
  <c r="L78" i="15" s="1"/>
  <c r="L59" i="15"/>
  <c r="L60" i="15" s="1"/>
  <c r="M57" i="15" s="1"/>
  <c r="J45" i="13"/>
  <c r="J70" i="13"/>
  <c r="J72" i="13" s="1"/>
  <c r="K69" i="13" s="1"/>
  <c r="L69" i="10"/>
  <c r="M35" i="11"/>
  <c r="L40" i="11"/>
  <c r="L78" i="11" s="1"/>
  <c r="M58" i="14"/>
  <c r="M44" i="14"/>
  <c r="M64" i="14"/>
  <c r="K64" i="13"/>
  <c r="K58" i="13"/>
  <c r="K44" i="13"/>
  <c r="L66" i="9"/>
  <c r="M63" i="9" s="1"/>
  <c r="J53" i="5"/>
  <c r="J85" i="14"/>
  <c r="J84" i="14"/>
  <c r="J88" i="14"/>
  <c r="J70" i="5" s="1"/>
  <c r="L64" i="10"/>
  <c r="L58" i="10"/>
  <c r="L44" i="10"/>
  <c r="L50" i="12"/>
  <c r="K54" i="12"/>
  <c r="K77" i="12" s="1"/>
  <c r="V23" i="2"/>
  <c r="W4" i="2"/>
  <c r="U3" i="11"/>
  <c r="U3" i="14"/>
  <c r="J84" i="10"/>
  <c r="J88" i="10"/>
  <c r="J73" i="5" s="1"/>
  <c r="J85" i="10"/>
  <c r="J86" i="10" s="1"/>
  <c r="J87" i="10" s="1"/>
  <c r="J56" i="5"/>
  <c r="L39" i="10"/>
  <c r="K45" i="11"/>
  <c r="K71" i="11"/>
  <c r="I84" i="13"/>
  <c r="I88" i="13"/>
  <c r="I71" i="5" s="1"/>
  <c r="I54" i="5"/>
  <c r="I85" i="13"/>
  <c r="I86" i="13" s="1"/>
  <c r="I87" i="13" s="1"/>
  <c r="L38" i="12"/>
  <c r="W3" i="20"/>
  <c r="K60" i="17"/>
  <c r="L57" i="17" s="1"/>
  <c r="L43" i="12"/>
  <c r="K47" i="12"/>
  <c r="K50" i="15"/>
  <c r="J54" i="15"/>
  <c r="J77" i="15" s="1"/>
  <c r="U23" i="14"/>
  <c r="V4" i="14"/>
  <c r="J83" i="2"/>
  <c r="J71" i="2"/>
  <c r="J70" i="2" s="1"/>
  <c r="J72" i="2" s="1"/>
  <c r="J45" i="2"/>
  <c r="U23" i="11"/>
  <c r="V4" i="11"/>
  <c r="M39" i="14"/>
  <c r="J85" i="11"/>
  <c r="J86" i="11" s="1"/>
  <c r="J87" i="11" s="1"/>
  <c r="J88" i="11"/>
  <c r="J75" i="5" s="1"/>
  <c r="J84" i="11"/>
  <c r="J58" i="5"/>
  <c r="K59" i="2"/>
  <c r="K60" i="2" s="1"/>
  <c r="L57" i="2" s="1"/>
  <c r="K43" i="20"/>
  <c r="J47" i="20"/>
  <c r="M35" i="9"/>
  <c r="L40" i="9"/>
  <c r="L78" i="9" s="1"/>
  <c r="K39" i="13"/>
  <c r="K51" i="18"/>
  <c r="L38" i="18"/>
  <c r="K70" i="11"/>
  <c r="K72" i="11" s="1"/>
  <c r="K83" i="14"/>
  <c r="K71" i="14"/>
  <c r="K70" i="14" s="1"/>
  <c r="K72" i="14" s="1"/>
  <c r="L44" i="11"/>
  <c r="L64" i="11"/>
  <c r="L58" i="11"/>
  <c r="L59" i="11" s="1"/>
  <c r="U3" i="12"/>
  <c r="J83" i="17"/>
  <c r="J70" i="17"/>
  <c r="J72" i="17" s="1"/>
  <c r="J71" i="17"/>
  <c r="J45" i="17"/>
  <c r="K65" i="2"/>
  <c r="U23" i="9"/>
  <c r="V4" i="9"/>
  <c r="K50" i="20"/>
  <c r="J54" i="20"/>
  <c r="J77" i="20" s="1"/>
  <c r="I84" i="2"/>
  <c r="I88" i="2"/>
  <c r="I66" i="5" s="1"/>
  <c r="I49" i="5"/>
  <c r="I85" i="2"/>
  <c r="I76" i="19"/>
  <c r="I80" i="19" s="1"/>
  <c r="I33" i="5"/>
  <c r="L38" i="20"/>
  <c r="L37" i="20"/>
  <c r="T23" i="13"/>
  <c r="U4" i="13"/>
  <c r="K76" i="9"/>
  <c r="K80" i="9" s="1"/>
  <c r="I51" i="5"/>
  <c r="I84" i="17"/>
  <c r="I88" i="17"/>
  <c r="I68" i="5" s="1"/>
  <c r="I85" i="17"/>
  <c r="I86" i="17" s="1"/>
  <c r="I87" i="17" s="1"/>
  <c r="V23" i="10"/>
  <c r="W4" i="10"/>
  <c r="W23" i="10" s="1"/>
  <c r="X23" i="10" s="1"/>
  <c r="K66" i="11"/>
  <c r="L63" i="11" s="1"/>
  <c r="L37" i="2"/>
  <c r="L38" i="2" s="1"/>
  <c r="L39" i="2" s="1"/>
  <c r="M35" i="2" s="1"/>
  <c r="J89" i="12"/>
  <c r="J87" i="12"/>
  <c r="V4" i="18"/>
  <c r="U23" i="18"/>
  <c r="I87" i="20"/>
  <c r="I89" i="20" s="1"/>
  <c r="U23" i="12"/>
  <c r="V4" i="12"/>
  <c r="K54" i="14"/>
  <c r="K77" i="14" s="1"/>
  <c r="K43" i="15"/>
  <c r="J47" i="15"/>
  <c r="K60" i="20"/>
  <c r="L57" i="20" s="1"/>
  <c r="L37" i="17"/>
  <c r="K38" i="19"/>
  <c r="J51" i="19"/>
  <c r="J45" i="19" s="1"/>
  <c r="T23" i="17"/>
  <c r="U4" i="17"/>
  <c r="W3" i="19"/>
  <c r="K66" i="17"/>
  <c r="L63" i="17" s="1"/>
  <c r="J76" i="18"/>
  <c r="J80" i="18" s="1"/>
  <c r="J40" i="5"/>
  <c r="I44" i="5"/>
  <c r="T23" i="15"/>
  <c r="U4" i="15"/>
  <c r="L51" i="9"/>
  <c r="L83" i="9" s="1"/>
  <c r="T23" i="19"/>
  <c r="U4" i="19"/>
  <c r="K60" i="11"/>
  <c r="L57" i="11" s="1"/>
  <c r="L60" i="11" s="1"/>
  <c r="M57" i="11" s="1"/>
  <c r="K46" i="14"/>
  <c r="L59" i="9"/>
  <c r="L60" i="9" s="1"/>
  <c r="M57" i="9" s="1"/>
  <c r="U101" i="21"/>
  <c r="T23" i="5"/>
  <c r="T24" i="5" s="1"/>
  <c r="S175" i="21"/>
  <c r="R65" i="5"/>
  <c r="O176" i="21"/>
  <c r="O178" i="21" s="1"/>
  <c r="O29" i="21" s="1"/>
  <c r="O83" i="21" s="1"/>
  <c r="O7" i="5" s="1"/>
  <c r="S169" i="21"/>
  <c r="R31" i="5"/>
  <c r="R172" i="21"/>
  <c r="Q170" i="21"/>
  <c r="P48" i="5"/>
  <c r="P173" i="21"/>
  <c r="P174" i="21"/>
  <c r="K46" i="10" l="1"/>
  <c r="L43" i="10" s="1"/>
  <c r="W3" i="5"/>
  <c r="W3" i="10" s="1"/>
  <c r="V3" i="10"/>
  <c r="L45" i="9"/>
  <c r="L52" i="9" s="1"/>
  <c r="L53" i="9" s="1"/>
  <c r="L38" i="17"/>
  <c r="L39" i="17" s="1"/>
  <c r="M37" i="15"/>
  <c r="M38" i="15" s="1"/>
  <c r="J73" i="13"/>
  <c r="J79" i="13" s="1"/>
  <c r="J52" i="13"/>
  <c r="J53" i="13" s="1"/>
  <c r="J46" i="13"/>
  <c r="J52" i="19"/>
  <c r="J46" i="19"/>
  <c r="L69" i="14"/>
  <c r="K73" i="14"/>
  <c r="K79" i="14" s="1"/>
  <c r="L43" i="14"/>
  <c r="K47" i="14"/>
  <c r="U23" i="19"/>
  <c r="V4" i="19"/>
  <c r="U23" i="15"/>
  <c r="V4" i="15"/>
  <c r="U23" i="17"/>
  <c r="V4" i="17"/>
  <c r="K64" i="19"/>
  <c r="K58" i="19"/>
  <c r="K44" i="19"/>
  <c r="L58" i="2"/>
  <c r="L59" i="2" s="1"/>
  <c r="L44" i="2"/>
  <c r="L64" i="2"/>
  <c r="L65" i="11"/>
  <c r="L66" i="11" s="1"/>
  <c r="M63" i="11" s="1"/>
  <c r="V4" i="13"/>
  <c r="U23" i="13"/>
  <c r="L44" i="20"/>
  <c r="L58" i="20"/>
  <c r="L59" i="20" s="1"/>
  <c r="L64" i="20"/>
  <c r="I86" i="2"/>
  <c r="I87" i="2" s="1"/>
  <c r="I89" i="2" s="1"/>
  <c r="W4" i="9"/>
  <c r="V23" i="9"/>
  <c r="K69" i="17"/>
  <c r="J73" i="17"/>
  <c r="J79" i="17" s="1"/>
  <c r="K83" i="18"/>
  <c r="K71" i="18"/>
  <c r="K70" i="18" s="1"/>
  <c r="K72" i="18" s="1"/>
  <c r="M37" i="9"/>
  <c r="M38" i="9" s="1"/>
  <c r="N35" i="14"/>
  <c r="M40" i="14"/>
  <c r="M78" i="14" s="1"/>
  <c r="J52" i="2"/>
  <c r="J53" i="2" s="1"/>
  <c r="J46" i="2"/>
  <c r="K69" i="2"/>
  <c r="J73" i="2"/>
  <c r="J79" i="2" s="1"/>
  <c r="L45" i="12"/>
  <c r="L52" i="12" s="1"/>
  <c r="L51" i="12"/>
  <c r="L83" i="12" s="1"/>
  <c r="L44" i="12"/>
  <c r="L46" i="12" s="1"/>
  <c r="L64" i="12"/>
  <c r="L58" i="12"/>
  <c r="M35" i="10"/>
  <c r="L40" i="10"/>
  <c r="L78" i="10" s="1"/>
  <c r="K39" i="19"/>
  <c r="M59" i="14"/>
  <c r="M60" i="14"/>
  <c r="N57" i="14" s="1"/>
  <c r="M38" i="11"/>
  <c r="M37" i="11"/>
  <c r="M39" i="11" s="1"/>
  <c r="L50" i="10"/>
  <c r="K54" i="10"/>
  <c r="K77" i="10" s="1"/>
  <c r="J88" i="18"/>
  <c r="J74" i="5" s="1"/>
  <c r="J85" i="18"/>
  <c r="J86" i="18" s="1"/>
  <c r="J87" i="18" s="1"/>
  <c r="J57" i="5"/>
  <c r="J84" i="18"/>
  <c r="L58" i="17"/>
  <c r="L59" i="17" s="1"/>
  <c r="L44" i="17"/>
  <c r="L64" i="17"/>
  <c r="J76" i="15"/>
  <c r="J80" i="15" s="1"/>
  <c r="J35" i="5"/>
  <c r="V23" i="12"/>
  <c r="W4" i="12"/>
  <c r="W23" i="12" s="1"/>
  <c r="X23" i="12" s="1"/>
  <c r="M37" i="2"/>
  <c r="L39" i="20"/>
  <c r="J52" i="17"/>
  <c r="J53" i="17" s="1"/>
  <c r="J46" i="17"/>
  <c r="L69" i="11"/>
  <c r="K73" i="11"/>
  <c r="K79" i="11" s="1"/>
  <c r="L35" i="13"/>
  <c r="K40" i="13"/>
  <c r="K78" i="13" s="1"/>
  <c r="J76" i="20"/>
  <c r="J80" i="20" s="1"/>
  <c r="J43" i="5"/>
  <c r="W4" i="11"/>
  <c r="W23" i="11" s="1"/>
  <c r="X23" i="11" s="1"/>
  <c r="V23" i="11"/>
  <c r="V23" i="14"/>
  <c r="W4" i="14"/>
  <c r="W23" i="14" s="1"/>
  <c r="X23" i="14" s="1"/>
  <c r="I89" i="13"/>
  <c r="J89" i="10"/>
  <c r="J15" i="5" s="1"/>
  <c r="L59" i="10"/>
  <c r="L60" i="10" s="1"/>
  <c r="M57" i="10" s="1"/>
  <c r="K59" i="13"/>
  <c r="M65" i="14"/>
  <c r="M66" i="14"/>
  <c r="N63" i="14" s="1"/>
  <c r="L39" i="12"/>
  <c r="L65" i="17"/>
  <c r="J83" i="19"/>
  <c r="J71" i="19"/>
  <c r="J70" i="19"/>
  <c r="J72" i="19" s="1"/>
  <c r="K51" i="15"/>
  <c r="K45" i="15" s="1"/>
  <c r="K52" i="15" s="1"/>
  <c r="V23" i="18"/>
  <c r="W4" i="18"/>
  <c r="W23" i="18" s="1"/>
  <c r="X23" i="18" s="1"/>
  <c r="L40" i="2"/>
  <c r="L78" i="2" s="1"/>
  <c r="I89" i="17"/>
  <c r="K84" i="9"/>
  <c r="K55" i="5"/>
  <c r="K88" i="9"/>
  <c r="K72" i="5" s="1"/>
  <c r="K85" i="9"/>
  <c r="I85" i="19"/>
  <c r="I84" i="19"/>
  <c r="I88" i="19"/>
  <c r="I67" i="5" s="1"/>
  <c r="I78" i="5" s="1"/>
  <c r="I50" i="5"/>
  <c r="I61" i="5" s="1"/>
  <c r="K66" i="2"/>
  <c r="L63" i="2" s="1"/>
  <c r="J53" i="19"/>
  <c r="V3" i="12"/>
  <c r="L64" i="18"/>
  <c r="L58" i="18"/>
  <c r="L44" i="18"/>
  <c r="K45" i="18"/>
  <c r="K51" i="20"/>
  <c r="J89" i="11"/>
  <c r="K76" i="12"/>
  <c r="K80" i="12" s="1"/>
  <c r="K42" i="5"/>
  <c r="K52" i="11"/>
  <c r="K53" i="11" s="1"/>
  <c r="K46" i="11"/>
  <c r="V3" i="14"/>
  <c r="V3" i="11"/>
  <c r="L53" i="12"/>
  <c r="M50" i="12" s="1"/>
  <c r="L54" i="12"/>
  <c r="L77" i="12" s="1"/>
  <c r="L39" i="18"/>
  <c r="L65" i="10"/>
  <c r="L66" i="10" s="1"/>
  <c r="M63" i="10" s="1"/>
  <c r="J86" i="14"/>
  <c r="J87" i="14"/>
  <c r="J89" i="14" s="1"/>
  <c r="L71" i="9"/>
  <c r="L70" i="9" s="1"/>
  <c r="L72" i="9" s="1"/>
  <c r="K65" i="13"/>
  <c r="K66" i="13" s="1"/>
  <c r="L63" i="13" s="1"/>
  <c r="V101" i="21"/>
  <c r="U23" i="5"/>
  <c r="U24" i="5" s="1"/>
  <c r="T169" i="21"/>
  <c r="S31" i="5"/>
  <c r="S172" i="21"/>
  <c r="R170" i="21"/>
  <c r="Q48" i="5"/>
  <c r="Q173" i="21"/>
  <c r="Q174" i="21"/>
  <c r="P176" i="21"/>
  <c r="P178" i="21" s="1"/>
  <c r="P29" i="21" s="1"/>
  <c r="P83" i="21" s="1"/>
  <c r="P7" i="5" s="1"/>
  <c r="T175" i="21"/>
  <c r="S65" i="5"/>
  <c r="K47" i="10" l="1"/>
  <c r="K76" i="10" s="1"/>
  <c r="K80" i="10" s="1"/>
  <c r="J89" i="18"/>
  <c r="J16" i="5" s="1"/>
  <c r="L46" i="9"/>
  <c r="M43" i="9" s="1"/>
  <c r="L40" i="17"/>
  <c r="L78" i="17" s="1"/>
  <c r="M35" i="17"/>
  <c r="L60" i="17"/>
  <c r="M57" i="17" s="1"/>
  <c r="M39" i="15"/>
  <c r="M44" i="15"/>
  <c r="M64" i="15"/>
  <c r="M65" i="15" s="1"/>
  <c r="M66" i="15" s="1"/>
  <c r="N63" i="15" s="1"/>
  <c r="M58" i="15"/>
  <c r="K50" i="13"/>
  <c r="J54" i="13"/>
  <c r="J77" i="13" s="1"/>
  <c r="K43" i="13"/>
  <c r="J47" i="13"/>
  <c r="N35" i="11"/>
  <c r="M40" i="11"/>
  <c r="M78" i="11" s="1"/>
  <c r="M64" i="9"/>
  <c r="M58" i="9"/>
  <c r="M44" i="9"/>
  <c r="M39" i="9"/>
  <c r="M69" i="9"/>
  <c r="L73" i="9"/>
  <c r="L79" i="9" s="1"/>
  <c r="M43" i="12"/>
  <c r="L47" i="12"/>
  <c r="W3" i="14"/>
  <c r="K69" i="19"/>
  <c r="J73" i="19"/>
  <c r="J79" i="19" s="1"/>
  <c r="W3" i="11"/>
  <c r="L43" i="11"/>
  <c r="K47" i="11"/>
  <c r="M35" i="18"/>
  <c r="L40" i="18"/>
  <c r="L78" i="18" s="1"/>
  <c r="L50" i="11"/>
  <c r="K54" i="11"/>
  <c r="K77" i="11" s="1"/>
  <c r="I86" i="19"/>
  <c r="I87" i="19"/>
  <c r="I89" i="19" s="1"/>
  <c r="K83" i="15"/>
  <c r="K71" i="15"/>
  <c r="K70" i="15" s="1"/>
  <c r="K72" i="15" s="1"/>
  <c r="K46" i="15"/>
  <c r="M35" i="12"/>
  <c r="L40" i="12"/>
  <c r="L78" i="12" s="1"/>
  <c r="K60" i="13"/>
  <c r="L57" i="13" s="1"/>
  <c r="K53" i="15"/>
  <c r="L37" i="13"/>
  <c r="K43" i="17"/>
  <c r="J47" i="17"/>
  <c r="M35" i="20"/>
  <c r="L40" i="20"/>
  <c r="L78" i="20" s="1"/>
  <c r="L51" i="10"/>
  <c r="L83" i="10" s="1"/>
  <c r="K43" i="2"/>
  <c r="J47" i="2"/>
  <c r="N37" i="14"/>
  <c r="N38" i="14" s="1"/>
  <c r="W23" i="9"/>
  <c r="X23" i="9" s="1"/>
  <c r="L66" i="20"/>
  <c r="M63" i="20" s="1"/>
  <c r="L65" i="20"/>
  <c r="K59" i="19"/>
  <c r="K60" i="19" s="1"/>
  <c r="L57" i="19" s="1"/>
  <c r="K36" i="5"/>
  <c r="K76" i="14"/>
  <c r="K80" i="14" s="1"/>
  <c r="M37" i="17"/>
  <c r="M50" i="9"/>
  <c r="L54" i="9"/>
  <c r="L77" i="9" s="1"/>
  <c r="J88" i="20"/>
  <c r="J77" i="5" s="1"/>
  <c r="J85" i="20"/>
  <c r="J86" i="20" s="1"/>
  <c r="J87" i="20" s="1"/>
  <c r="J60" i="5"/>
  <c r="J84" i="20"/>
  <c r="J89" i="20" s="1"/>
  <c r="K50" i="17"/>
  <c r="J54" i="17"/>
  <c r="J77" i="17" s="1"/>
  <c r="M38" i="2"/>
  <c r="M39" i="2" s="1"/>
  <c r="L35" i="19"/>
  <c r="K40" i="19"/>
  <c r="K78" i="19" s="1"/>
  <c r="M37" i="10"/>
  <c r="L59" i="12"/>
  <c r="L60" i="12"/>
  <c r="M57" i="12" s="1"/>
  <c r="K50" i="2"/>
  <c r="J54" i="2"/>
  <c r="J77" i="2" s="1"/>
  <c r="V23" i="13"/>
  <c r="W4" i="13"/>
  <c r="W23" i="13" s="1"/>
  <c r="X23" i="13" s="1"/>
  <c r="L60" i="20"/>
  <c r="M57" i="20" s="1"/>
  <c r="K65" i="19"/>
  <c r="K66" i="19" s="1"/>
  <c r="L63" i="19" s="1"/>
  <c r="V23" i="15"/>
  <c r="W4" i="15"/>
  <c r="W23" i="15" s="1"/>
  <c r="V23" i="19"/>
  <c r="W4" i="19"/>
  <c r="L45" i="14"/>
  <c r="L52" i="14" s="1"/>
  <c r="L51" i="14"/>
  <c r="K43" i="19"/>
  <c r="J47" i="19"/>
  <c r="K83" i="20"/>
  <c r="K71" i="20"/>
  <c r="K70" i="20"/>
  <c r="K72" i="20" s="1"/>
  <c r="L59" i="18"/>
  <c r="L60" i="18" s="1"/>
  <c r="M57" i="18" s="1"/>
  <c r="K50" i="19"/>
  <c r="J54" i="19"/>
  <c r="J77" i="19" s="1"/>
  <c r="K86" i="9"/>
  <c r="K87" i="9" s="1"/>
  <c r="K59" i="5"/>
  <c r="K85" i="12"/>
  <c r="K86" i="12" s="1"/>
  <c r="K87" i="12" s="1"/>
  <c r="K88" i="12"/>
  <c r="K76" i="5" s="1"/>
  <c r="K84" i="12"/>
  <c r="K89" i="12" s="1"/>
  <c r="K45" i="20"/>
  <c r="K52" i="18"/>
  <c r="K53" i="18" s="1"/>
  <c r="K46" i="18"/>
  <c r="L65" i="18"/>
  <c r="W3" i="12"/>
  <c r="L65" i="2"/>
  <c r="L66" i="2" s="1"/>
  <c r="M63" i="2" s="1"/>
  <c r="L66" i="17"/>
  <c r="M63" i="17" s="1"/>
  <c r="J88" i="15"/>
  <c r="J69" i="5" s="1"/>
  <c r="J85" i="15"/>
  <c r="J84" i="15"/>
  <c r="J52" i="5"/>
  <c r="M64" i="11"/>
  <c r="M58" i="11"/>
  <c r="M44" i="11"/>
  <c r="L65" i="12"/>
  <c r="L71" i="12" s="1"/>
  <c r="L69" i="18"/>
  <c r="K73" i="18"/>
  <c r="K79" i="18" s="1"/>
  <c r="V23" i="17"/>
  <c r="W4" i="17"/>
  <c r="L60" i="2"/>
  <c r="M57" i="2" s="1"/>
  <c r="Q176" i="21"/>
  <c r="Q178" i="21" s="1"/>
  <c r="Q29" i="21" s="1"/>
  <c r="Q83" i="21" s="1"/>
  <c r="Q7" i="5" s="1"/>
  <c r="W101" i="21"/>
  <c r="W23" i="5" s="1"/>
  <c r="V23" i="5"/>
  <c r="V24" i="5" s="1"/>
  <c r="S170" i="21"/>
  <c r="R48" i="5"/>
  <c r="R173" i="21"/>
  <c r="R174" i="21"/>
  <c r="U169" i="21"/>
  <c r="T31" i="5"/>
  <c r="T172" i="21"/>
  <c r="U175" i="21"/>
  <c r="T65" i="5"/>
  <c r="I18" i="5"/>
  <c r="K39" i="5" l="1"/>
  <c r="L45" i="10"/>
  <c r="L52" i="10" s="1"/>
  <c r="L53" i="10" s="1"/>
  <c r="L54" i="10" s="1"/>
  <c r="L77" i="10" s="1"/>
  <c r="L47" i="9"/>
  <c r="L76" i="9" s="1"/>
  <c r="L80" i="9" s="1"/>
  <c r="M59" i="15"/>
  <c r="M60" i="15" s="1"/>
  <c r="N57" i="15" s="1"/>
  <c r="N35" i="15"/>
  <c r="M40" i="15"/>
  <c r="M78" i="15" s="1"/>
  <c r="K51" i="13"/>
  <c r="K45" i="13" s="1"/>
  <c r="J37" i="5"/>
  <c r="J76" i="13"/>
  <c r="J80" i="13" s="1"/>
  <c r="K88" i="14"/>
  <c r="K70" i="5" s="1"/>
  <c r="K53" i="5"/>
  <c r="K85" i="14"/>
  <c r="K86" i="14" s="1"/>
  <c r="K87" i="14" s="1"/>
  <c r="K84" i="14"/>
  <c r="M50" i="10"/>
  <c r="L69" i="15"/>
  <c r="K73" i="15"/>
  <c r="K79" i="15" s="1"/>
  <c r="N35" i="2"/>
  <c r="M40" i="2"/>
  <c r="M78" i="2" s="1"/>
  <c r="N64" i="14"/>
  <c r="N58" i="14"/>
  <c r="N44" i="14"/>
  <c r="L66" i="12"/>
  <c r="M63" i="12" s="1"/>
  <c r="L50" i="18"/>
  <c r="K54" i="18"/>
  <c r="K77" i="18" s="1"/>
  <c r="K51" i="19"/>
  <c r="K83" i="19" s="1"/>
  <c r="L83" i="14"/>
  <c r="L71" i="14"/>
  <c r="L70" i="14" s="1"/>
  <c r="L72" i="14" s="1"/>
  <c r="L53" i="14"/>
  <c r="L46" i="14"/>
  <c r="M38" i="10"/>
  <c r="M38" i="17"/>
  <c r="M51" i="9"/>
  <c r="M83" i="9" s="1"/>
  <c r="N39" i="14"/>
  <c r="J76" i="17"/>
  <c r="J80" i="17" s="1"/>
  <c r="J34" i="5"/>
  <c r="L50" i="15"/>
  <c r="K54" i="15"/>
  <c r="K77" i="15" s="1"/>
  <c r="M37" i="12"/>
  <c r="M38" i="12" s="1"/>
  <c r="L71" i="10"/>
  <c r="L70" i="10" s="1"/>
  <c r="L72" i="10" s="1"/>
  <c r="M65" i="11"/>
  <c r="M66" i="11" s="1"/>
  <c r="N63" i="11" s="1"/>
  <c r="W24" i="5"/>
  <c r="W23" i="17"/>
  <c r="X23" i="17" s="1"/>
  <c r="K85" i="10"/>
  <c r="K84" i="10"/>
  <c r="K56" i="5"/>
  <c r="K88" i="10"/>
  <c r="K73" i="5" s="1"/>
  <c r="J86" i="15"/>
  <c r="J87" i="15" s="1"/>
  <c r="L66" i="18"/>
  <c r="M63" i="18" s="1"/>
  <c r="K52" i="20"/>
  <c r="K53" i="20" s="1"/>
  <c r="K46" i="20"/>
  <c r="W23" i="19"/>
  <c r="X23" i="19" s="1"/>
  <c r="L70" i="12"/>
  <c r="L72" i="12" s="1"/>
  <c r="L37" i="19"/>
  <c r="J32" i="5"/>
  <c r="J76" i="2"/>
  <c r="J80" i="2" s="1"/>
  <c r="K51" i="17"/>
  <c r="K45" i="17" s="1"/>
  <c r="K52" i="17" s="1"/>
  <c r="K53" i="17" s="1"/>
  <c r="L50" i="17" s="1"/>
  <c r="L38" i="13"/>
  <c r="L43" i="15"/>
  <c r="K47" i="15"/>
  <c r="K76" i="11"/>
  <c r="K80" i="11" s="1"/>
  <c r="K41" i="5"/>
  <c r="L76" i="12"/>
  <c r="L42" i="5"/>
  <c r="M59" i="9"/>
  <c r="M60" i="9" s="1"/>
  <c r="N57" i="9" s="1"/>
  <c r="N37" i="11"/>
  <c r="M59" i="11"/>
  <c r="L43" i="18"/>
  <c r="K47" i="18"/>
  <c r="K89" i="9"/>
  <c r="K14" i="5" s="1"/>
  <c r="L69" i="20"/>
  <c r="K73" i="20"/>
  <c r="K79" i="20" s="1"/>
  <c r="J76" i="19"/>
  <c r="J80" i="19" s="1"/>
  <c r="J33" i="5"/>
  <c r="K71" i="19"/>
  <c r="M44" i="2"/>
  <c r="M64" i="2"/>
  <c r="M65" i="2" s="1"/>
  <c r="M58" i="2"/>
  <c r="M59" i="2" s="1"/>
  <c r="L38" i="5"/>
  <c r="K70" i="19"/>
  <c r="K72" i="19" s="1"/>
  <c r="K51" i="2"/>
  <c r="M37" i="20"/>
  <c r="M37" i="18"/>
  <c r="L51" i="11"/>
  <c r="N35" i="9"/>
  <c r="M40" i="9"/>
  <c r="M78" i="9" s="1"/>
  <c r="M65" i="9"/>
  <c r="R176" i="21"/>
  <c r="R178" i="21" s="1"/>
  <c r="R29" i="21" s="1"/>
  <c r="R83" i="21" s="1"/>
  <c r="R7" i="5" s="1"/>
  <c r="V169" i="21"/>
  <c r="U31" i="5"/>
  <c r="U172" i="21"/>
  <c r="T170" i="21"/>
  <c r="S48" i="5"/>
  <c r="S174" i="21"/>
  <c r="S173" i="21"/>
  <c r="V175" i="21"/>
  <c r="U65" i="5"/>
  <c r="L46" i="10" l="1"/>
  <c r="M43" i="10" s="1"/>
  <c r="M71" i="9"/>
  <c r="M45" i="9"/>
  <c r="M52" i="9" s="1"/>
  <c r="M53" i="9" s="1"/>
  <c r="M54" i="9" s="1"/>
  <c r="M77" i="9" s="1"/>
  <c r="N37" i="15"/>
  <c r="N38" i="15" s="1"/>
  <c r="K46" i="13"/>
  <c r="K52" i="13"/>
  <c r="K53" i="13" s="1"/>
  <c r="J44" i="5"/>
  <c r="J45" i="5" s="1"/>
  <c r="J54" i="5"/>
  <c r="J85" i="13"/>
  <c r="J86" i="13" s="1"/>
  <c r="J87" i="13" s="1"/>
  <c r="J88" i="13"/>
  <c r="J71" i="5" s="1"/>
  <c r="J84" i="13"/>
  <c r="K83" i="13"/>
  <c r="K71" i="13"/>
  <c r="K70" i="13" s="1"/>
  <c r="K72" i="13" s="1"/>
  <c r="L55" i="5"/>
  <c r="L85" i="9"/>
  <c r="L84" i="9"/>
  <c r="L88" i="9"/>
  <c r="L72" i="5" s="1"/>
  <c r="L69" i="19"/>
  <c r="K73" i="19"/>
  <c r="K79" i="19" s="1"/>
  <c r="M66" i="2"/>
  <c r="N63" i="2" s="1"/>
  <c r="M69" i="14"/>
  <c r="L73" i="14"/>
  <c r="L79" i="14" s="1"/>
  <c r="J88" i="19"/>
  <c r="J67" i="5" s="1"/>
  <c r="J50" i="5"/>
  <c r="J85" i="19"/>
  <c r="J86" i="19" s="1"/>
  <c r="J87" i="19" s="1"/>
  <c r="J89" i="19" s="1"/>
  <c r="J84" i="19"/>
  <c r="M64" i="12"/>
  <c r="M58" i="12"/>
  <c r="M44" i="12"/>
  <c r="L83" i="11"/>
  <c r="L71" i="11"/>
  <c r="L70" i="11" s="1"/>
  <c r="L72" i="11" s="1"/>
  <c r="K76" i="15"/>
  <c r="K80" i="15" s="1"/>
  <c r="K35" i="5"/>
  <c r="M66" i="9"/>
  <c r="N63" i="9" s="1"/>
  <c r="N37" i="9"/>
  <c r="N38" i="9" s="1"/>
  <c r="M38" i="20"/>
  <c r="M39" i="20" s="1"/>
  <c r="K83" i="2"/>
  <c r="K71" i="2"/>
  <c r="K70" i="2" s="1"/>
  <c r="K72" i="2" s="1"/>
  <c r="N38" i="11"/>
  <c r="K85" i="11"/>
  <c r="K86" i="11" s="1"/>
  <c r="K87" i="11" s="1"/>
  <c r="K88" i="11"/>
  <c r="K75" i="5" s="1"/>
  <c r="K58" i="5"/>
  <c r="K84" i="11"/>
  <c r="J49" i="5"/>
  <c r="J84" i="2"/>
  <c r="J85" i="2"/>
  <c r="J88" i="2"/>
  <c r="J66" i="5" s="1"/>
  <c r="K54" i="17"/>
  <c r="K77" i="17" s="1"/>
  <c r="M69" i="12"/>
  <c r="L73" i="12"/>
  <c r="L79" i="12" s="1"/>
  <c r="L80" i="12" s="1"/>
  <c r="L43" i="20"/>
  <c r="K47" i="20"/>
  <c r="J89" i="15"/>
  <c r="M39" i="12"/>
  <c r="M64" i="17"/>
  <c r="M44" i="17"/>
  <c r="M58" i="17"/>
  <c r="M43" i="14"/>
  <c r="L47" i="14"/>
  <c r="M65" i="12"/>
  <c r="M60" i="2"/>
  <c r="N57" i="2" s="1"/>
  <c r="N59" i="14"/>
  <c r="N60" i="14"/>
  <c r="O57" i="14" s="1"/>
  <c r="L50" i="20"/>
  <c r="K54" i="20"/>
  <c r="K77" i="20" s="1"/>
  <c r="K86" i="10"/>
  <c r="K87" i="10" s="1"/>
  <c r="K89" i="10" s="1"/>
  <c r="K15" i="5" s="1"/>
  <c r="M69" i="10"/>
  <c r="L73" i="10"/>
  <c r="L79" i="10" s="1"/>
  <c r="O35" i="14"/>
  <c r="N40" i="14"/>
  <c r="N78" i="14" s="1"/>
  <c r="M64" i="10"/>
  <c r="M58" i="10"/>
  <c r="M44" i="10"/>
  <c r="M50" i="14"/>
  <c r="L54" i="14"/>
  <c r="L77" i="14" s="1"/>
  <c r="N66" i="14"/>
  <c r="O63" i="14" s="1"/>
  <c r="N65" i="14"/>
  <c r="N37" i="2"/>
  <c r="N38" i="2" s="1"/>
  <c r="K76" i="18"/>
  <c r="K80" i="18" s="1"/>
  <c r="K40" i="5"/>
  <c r="L64" i="13"/>
  <c r="L44" i="13"/>
  <c r="L58" i="13"/>
  <c r="L45" i="11"/>
  <c r="M38" i="18"/>
  <c r="K45" i="2"/>
  <c r="L51" i="18"/>
  <c r="M60" i="11"/>
  <c r="N57" i="11" s="1"/>
  <c r="M70" i="9"/>
  <c r="M72" i="9" s="1"/>
  <c r="L51" i="15"/>
  <c r="L45" i="15" s="1"/>
  <c r="L52" i="15" s="1"/>
  <c r="K83" i="17"/>
  <c r="K70" i="17"/>
  <c r="K72" i="17" s="1"/>
  <c r="K71" i="17"/>
  <c r="K46" i="17"/>
  <c r="L38" i="19"/>
  <c r="J85" i="17"/>
  <c r="J84" i="17"/>
  <c r="J88" i="17"/>
  <c r="J68" i="5" s="1"/>
  <c r="J51" i="5"/>
  <c r="K45" i="19"/>
  <c r="M39" i="17"/>
  <c r="M39" i="10"/>
  <c r="L39" i="13"/>
  <c r="K89" i="14"/>
  <c r="S176" i="21"/>
  <c r="S178" i="21" s="1"/>
  <c r="S29" i="21" s="1"/>
  <c r="S83" i="21" s="1"/>
  <c r="S7" i="5" s="1"/>
  <c r="U170" i="21"/>
  <c r="T48" i="5"/>
  <c r="T174" i="21"/>
  <c r="T173" i="21"/>
  <c r="W175" i="21"/>
  <c r="W65" i="5" s="1"/>
  <c r="V65" i="5"/>
  <c r="W169" i="21"/>
  <c r="V31" i="5"/>
  <c r="V172" i="21"/>
  <c r="I11" i="5"/>
  <c r="N50" i="9" l="1"/>
  <c r="L47" i="10"/>
  <c r="L76" i="10" s="1"/>
  <c r="L80" i="10" s="1"/>
  <c r="M46" i="9"/>
  <c r="N43" i="9" s="1"/>
  <c r="L46" i="15"/>
  <c r="M43" i="15" s="1"/>
  <c r="N39" i="15"/>
  <c r="N58" i="15"/>
  <c r="N44" i="15"/>
  <c r="N64" i="15"/>
  <c r="N65" i="15" s="1"/>
  <c r="N66" i="15" s="1"/>
  <c r="O63" i="15" s="1"/>
  <c r="L53" i="15"/>
  <c r="L54" i="15" s="1"/>
  <c r="L77" i="15" s="1"/>
  <c r="J89" i="13"/>
  <c r="L50" i="13"/>
  <c r="K54" i="13"/>
  <c r="K77" i="13" s="1"/>
  <c r="L69" i="13"/>
  <c r="K73" i="13"/>
  <c r="K79" i="13" s="1"/>
  <c r="K47" i="13"/>
  <c r="L43" i="13"/>
  <c r="L51" i="13" s="1"/>
  <c r="N35" i="20"/>
  <c r="M40" i="20"/>
  <c r="M78" i="20" s="1"/>
  <c r="M69" i="11"/>
  <c r="L73" i="11"/>
  <c r="L79" i="11" s="1"/>
  <c r="N64" i="2"/>
  <c r="N65" i="2" s="1"/>
  <c r="N66" i="2" s="1"/>
  <c r="O63" i="2" s="1"/>
  <c r="N58" i="2"/>
  <c r="N59" i="2" s="1"/>
  <c r="N44" i="2"/>
  <c r="N64" i="9"/>
  <c r="N65" i="9" s="1"/>
  <c r="N58" i="9"/>
  <c r="N44" i="9"/>
  <c r="M35" i="13"/>
  <c r="L40" i="13"/>
  <c r="L78" i="13" s="1"/>
  <c r="L58" i="19"/>
  <c r="L64" i="19"/>
  <c r="L44" i="19"/>
  <c r="L69" i="17"/>
  <c r="K73" i="17"/>
  <c r="K79" i="17" s="1"/>
  <c r="N69" i="9"/>
  <c r="M73" i="9"/>
  <c r="M79" i="9" s="1"/>
  <c r="K52" i="2"/>
  <c r="K53" i="2" s="1"/>
  <c r="K46" i="2"/>
  <c r="L59" i="13"/>
  <c r="L60" i="13" s="1"/>
  <c r="M57" i="13" s="1"/>
  <c r="L76" i="14"/>
  <c r="L36" i="5"/>
  <c r="M51" i="10"/>
  <c r="M45" i="10" s="1"/>
  <c r="M52" i="10" s="1"/>
  <c r="N35" i="12"/>
  <c r="M40" i="12"/>
  <c r="M78" i="12" s="1"/>
  <c r="L84" i="12"/>
  <c r="L59" i="5"/>
  <c r="L88" i="12"/>
  <c r="L76" i="5" s="1"/>
  <c r="L85" i="12"/>
  <c r="J78" i="5"/>
  <c r="J79" i="5" s="1"/>
  <c r="J61" i="5"/>
  <c r="J62" i="5" s="1"/>
  <c r="L69" i="2"/>
  <c r="K73" i="2"/>
  <c r="K79" i="2" s="1"/>
  <c r="N39" i="9"/>
  <c r="N35" i="10"/>
  <c r="M40" i="10"/>
  <c r="M78" i="10" s="1"/>
  <c r="L43" i="17"/>
  <c r="K47" i="17"/>
  <c r="L83" i="18"/>
  <c r="L71" i="18"/>
  <c r="L70" i="18" s="1"/>
  <c r="L72" i="18" s="1"/>
  <c r="L45" i="18"/>
  <c r="M44" i="18"/>
  <c r="M64" i="18"/>
  <c r="M58" i="18"/>
  <c r="N39" i="2"/>
  <c r="M59" i="10"/>
  <c r="M60" i="10" s="1"/>
  <c r="N57" i="10" s="1"/>
  <c r="O37" i="14"/>
  <c r="O38" i="14" s="1"/>
  <c r="M45" i="14"/>
  <c r="M52" i="14" s="1"/>
  <c r="M51" i="14"/>
  <c r="M65" i="17"/>
  <c r="K76" i="20"/>
  <c r="K80" i="20" s="1"/>
  <c r="K43" i="5"/>
  <c r="J86" i="2"/>
  <c r="J87" i="2" s="1"/>
  <c r="K89" i="11"/>
  <c r="M45" i="12"/>
  <c r="M52" i="12" s="1"/>
  <c r="M51" i="12"/>
  <c r="M71" i="12" s="1"/>
  <c r="L39" i="19"/>
  <c r="M39" i="18"/>
  <c r="L86" i="9"/>
  <c r="L87" i="9" s="1"/>
  <c r="L89" i="9" s="1"/>
  <c r="L14" i="5" s="1"/>
  <c r="N35" i="17"/>
  <c r="M40" i="17"/>
  <c r="M78" i="17" s="1"/>
  <c r="K52" i="19"/>
  <c r="K53" i="19" s="1"/>
  <c r="K46" i="19"/>
  <c r="J86" i="17"/>
  <c r="J87" i="17"/>
  <c r="J89" i="17" s="1"/>
  <c r="L83" i="15"/>
  <c r="L71" i="15"/>
  <c r="L70" i="15" s="1"/>
  <c r="L72" i="15" s="1"/>
  <c r="L52" i="11"/>
  <c r="L53" i="11" s="1"/>
  <c r="L46" i="11"/>
  <c r="L65" i="13"/>
  <c r="L66" i="13" s="1"/>
  <c r="M63" i="13" s="1"/>
  <c r="K85" i="18"/>
  <c r="K86" i="18" s="1"/>
  <c r="K87" i="18" s="1"/>
  <c r="K88" i="18"/>
  <c r="K74" i="5" s="1"/>
  <c r="K84" i="18"/>
  <c r="K57" i="5"/>
  <c r="M53" i="14"/>
  <c r="N50" i="14" s="1"/>
  <c r="M65" i="10"/>
  <c r="K84" i="15"/>
  <c r="K52" i="5"/>
  <c r="K85" i="15"/>
  <c r="K88" i="15"/>
  <c r="K69" i="5" s="1"/>
  <c r="M66" i="12"/>
  <c r="N63" i="12" s="1"/>
  <c r="M59" i="17"/>
  <c r="M60" i="17" s="1"/>
  <c r="N57" i="17" s="1"/>
  <c r="L51" i="20"/>
  <c r="N44" i="11"/>
  <c r="N64" i="11"/>
  <c r="N58" i="11"/>
  <c r="N59" i="11" s="1"/>
  <c r="M64" i="20"/>
  <c r="M58" i="20"/>
  <c r="M44" i="20"/>
  <c r="M59" i="12"/>
  <c r="M60" i="12"/>
  <c r="N57" i="12" s="1"/>
  <c r="N39" i="11"/>
  <c r="L80" i="14"/>
  <c r="W31" i="5"/>
  <c r="W172" i="21"/>
  <c r="V170" i="21"/>
  <c r="U48" i="5"/>
  <c r="U173" i="21"/>
  <c r="U174" i="21"/>
  <c r="T176" i="21"/>
  <c r="T178" i="21" s="1"/>
  <c r="T29" i="21" s="1"/>
  <c r="T83" i="21" s="1"/>
  <c r="T7" i="5" s="1"/>
  <c r="I17" i="5"/>
  <c r="I10" i="5"/>
  <c r="L39" i="5" l="1"/>
  <c r="M71" i="10"/>
  <c r="M66" i="10"/>
  <c r="N63" i="10" s="1"/>
  <c r="M47" i="9"/>
  <c r="L47" i="15"/>
  <c r="L76" i="15" s="1"/>
  <c r="M51" i="15"/>
  <c r="M71" i="15" s="1"/>
  <c r="M70" i="15" s="1"/>
  <c r="M50" i="15"/>
  <c r="N59" i="15"/>
  <c r="N60" i="15" s="1"/>
  <c r="O57" i="15" s="1"/>
  <c r="O35" i="15"/>
  <c r="N40" i="15"/>
  <c r="N78" i="15" s="1"/>
  <c r="K37" i="5"/>
  <c r="K76" i="13"/>
  <c r="K80" i="13" s="1"/>
  <c r="N60" i="2"/>
  <c r="O57" i="2" s="1"/>
  <c r="L56" i="5"/>
  <c r="L85" i="10"/>
  <c r="L86" i="10" s="1"/>
  <c r="L87" i="10" s="1"/>
  <c r="L88" i="10"/>
  <c r="L73" i="5" s="1"/>
  <c r="L84" i="10"/>
  <c r="O64" i="14"/>
  <c r="O44" i="14"/>
  <c r="O58" i="14"/>
  <c r="M59" i="20"/>
  <c r="M60" i="20"/>
  <c r="N57" i="20" s="1"/>
  <c r="N65" i="11"/>
  <c r="L83" i="20"/>
  <c r="L70" i="20"/>
  <c r="L72" i="20" s="1"/>
  <c r="L71" i="20"/>
  <c r="L83" i="13"/>
  <c r="M69" i="15"/>
  <c r="L73" i="15"/>
  <c r="L79" i="15" s="1"/>
  <c r="L50" i="19"/>
  <c r="K54" i="19"/>
  <c r="K77" i="19" s="1"/>
  <c r="M35" i="19"/>
  <c r="L40" i="19"/>
  <c r="L78" i="19" s="1"/>
  <c r="O39" i="14"/>
  <c r="O35" i="2"/>
  <c r="N40" i="2"/>
  <c r="N78" i="2" s="1"/>
  <c r="M65" i="18"/>
  <c r="M69" i="18"/>
  <c r="L73" i="18"/>
  <c r="L79" i="18" s="1"/>
  <c r="L45" i="17"/>
  <c r="L52" i="17" s="1"/>
  <c r="L51" i="17"/>
  <c r="L86" i="12"/>
  <c r="M83" i="10"/>
  <c r="M53" i="10"/>
  <c r="M46" i="10"/>
  <c r="L50" i="2"/>
  <c r="K54" i="2"/>
  <c r="K77" i="2" s="1"/>
  <c r="L59" i="19"/>
  <c r="L60" i="19" s="1"/>
  <c r="M57" i="19" s="1"/>
  <c r="N59" i="9"/>
  <c r="L85" i="14"/>
  <c r="L86" i="14" s="1"/>
  <c r="L87" i="14" s="1"/>
  <c r="L89" i="14" s="1"/>
  <c r="L84" i="14"/>
  <c r="L88" i="14"/>
  <c r="L70" i="5" s="1"/>
  <c r="L53" i="5"/>
  <c r="M70" i="12"/>
  <c r="M72" i="12" s="1"/>
  <c r="M65" i="20"/>
  <c r="L45" i="20"/>
  <c r="M43" i="11"/>
  <c r="L47" i="11"/>
  <c r="M83" i="12"/>
  <c r="M53" i="12"/>
  <c r="K88" i="20"/>
  <c r="K77" i="5" s="1"/>
  <c r="K84" i="20"/>
  <c r="K60" i="5"/>
  <c r="K85" i="20"/>
  <c r="M66" i="17"/>
  <c r="N63" i="17" s="1"/>
  <c r="M46" i="14"/>
  <c r="L52" i="18"/>
  <c r="L53" i="18" s="1"/>
  <c r="L46" i="18"/>
  <c r="O35" i="9"/>
  <c r="N40" i="9"/>
  <c r="N78" i="9" s="1"/>
  <c r="N60" i="11"/>
  <c r="O57" i="11" s="1"/>
  <c r="M76" i="9"/>
  <c r="M80" i="9" s="1"/>
  <c r="M38" i="5"/>
  <c r="M37" i="13"/>
  <c r="O35" i="11"/>
  <c r="N40" i="11"/>
  <c r="N78" i="11" s="1"/>
  <c r="K86" i="15"/>
  <c r="K87" i="15" s="1"/>
  <c r="K89" i="15" s="1"/>
  <c r="M54" i="14"/>
  <c r="M77" i="14" s="1"/>
  <c r="K89" i="18"/>
  <c r="K16" i="5" s="1"/>
  <c r="L71" i="13"/>
  <c r="L70" i="13" s="1"/>
  <c r="L72" i="13" s="1"/>
  <c r="M50" i="11"/>
  <c r="L54" i="11"/>
  <c r="L77" i="11" s="1"/>
  <c r="L43" i="19"/>
  <c r="K47" i="19"/>
  <c r="N37" i="17"/>
  <c r="N35" i="18"/>
  <c r="M40" i="18"/>
  <c r="M78" i="18" s="1"/>
  <c r="M46" i="12"/>
  <c r="N66" i="9"/>
  <c r="O63" i="9" s="1"/>
  <c r="J89" i="2"/>
  <c r="L45" i="13"/>
  <c r="M83" i="14"/>
  <c r="M71" i="14"/>
  <c r="M70" i="14"/>
  <c r="M72" i="14" s="1"/>
  <c r="M70" i="10"/>
  <c r="M72" i="10" s="1"/>
  <c r="M59" i="18"/>
  <c r="M60" i="18" s="1"/>
  <c r="N57" i="18" s="1"/>
  <c r="K76" i="17"/>
  <c r="K34" i="5"/>
  <c r="N37" i="10"/>
  <c r="N37" i="12"/>
  <c r="N38" i="12" s="1"/>
  <c r="L43" i="2"/>
  <c r="K47" i="2"/>
  <c r="M83" i="15"/>
  <c r="K80" i="17"/>
  <c r="L65" i="19"/>
  <c r="L66" i="19" s="1"/>
  <c r="M63" i="19" s="1"/>
  <c r="N51" i="9"/>
  <c r="N37" i="20"/>
  <c r="N38" i="20"/>
  <c r="U176" i="21"/>
  <c r="U178" i="21" s="1"/>
  <c r="U29" i="21" s="1"/>
  <c r="U83" i="21" s="1"/>
  <c r="U7" i="5" s="1"/>
  <c r="W170" i="21"/>
  <c r="V48" i="5"/>
  <c r="V173" i="21"/>
  <c r="V174" i="21"/>
  <c r="J11" i="5"/>
  <c r="I12" i="5"/>
  <c r="M45" i="15" l="1"/>
  <c r="M52" i="15" s="1"/>
  <c r="M53" i="15" s="1"/>
  <c r="N50" i="15" s="1"/>
  <c r="L89" i="10"/>
  <c r="L15" i="5" s="1"/>
  <c r="L35" i="5"/>
  <c r="M46" i="15"/>
  <c r="N43" i="15" s="1"/>
  <c r="O37" i="15"/>
  <c r="O38" i="15" s="1"/>
  <c r="M38" i="13"/>
  <c r="M39" i="13" s="1"/>
  <c r="K84" i="13"/>
  <c r="K85" i="13"/>
  <c r="K86" i="13" s="1"/>
  <c r="K87" i="13" s="1"/>
  <c r="K54" i="5"/>
  <c r="K88" i="13"/>
  <c r="K71" i="5" s="1"/>
  <c r="N58" i="12"/>
  <c r="N44" i="12"/>
  <c r="N64" i="12"/>
  <c r="M69" i="13"/>
  <c r="L73" i="13"/>
  <c r="L79" i="13" s="1"/>
  <c r="N44" i="20"/>
  <c r="N64" i="20"/>
  <c r="N58" i="20"/>
  <c r="N59" i="20" s="1"/>
  <c r="N39" i="20"/>
  <c r="K76" i="2"/>
  <c r="K80" i="2" s="1"/>
  <c r="K32" i="5"/>
  <c r="N39" i="12"/>
  <c r="N38" i="10"/>
  <c r="N39" i="10" s="1"/>
  <c r="N38" i="17"/>
  <c r="K76" i="19"/>
  <c r="K80" i="19" s="1"/>
  <c r="K33" i="5"/>
  <c r="K86" i="20"/>
  <c r="K87" i="20"/>
  <c r="K89" i="20" s="1"/>
  <c r="L76" i="11"/>
  <c r="L80" i="11" s="1"/>
  <c r="L41" i="5"/>
  <c r="N50" i="10"/>
  <c r="M54" i="10"/>
  <c r="M77" i="10" s="1"/>
  <c r="O37" i="2"/>
  <c r="O38" i="2" s="1"/>
  <c r="O39" i="2" s="1"/>
  <c r="M69" i="20"/>
  <c r="L73" i="20"/>
  <c r="L79" i="20" s="1"/>
  <c r="N83" i="9"/>
  <c r="N45" i="9"/>
  <c r="K88" i="17"/>
  <c r="K68" i="5" s="1"/>
  <c r="K84" i="17"/>
  <c r="K51" i="5"/>
  <c r="K85" i="17"/>
  <c r="L51" i="2"/>
  <c r="N37" i="18"/>
  <c r="N38" i="18" s="1"/>
  <c r="L45" i="19"/>
  <c r="L52" i="19" s="1"/>
  <c r="L51" i="19"/>
  <c r="L83" i="19" s="1"/>
  <c r="O37" i="9"/>
  <c r="O38" i="9" s="1"/>
  <c r="M43" i="18"/>
  <c r="L47" i="18"/>
  <c r="N43" i="14"/>
  <c r="M47" i="14"/>
  <c r="N71" i="9"/>
  <c r="N70" i="9" s="1"/>
  <c r="N72" i="9" s="1"/>
  <c r="M51" i="11"/>
  <c r="M66" i="20"/>
  <c r="N63" i="20" s="1"/>
  <c r="L83" i="17"/>
  <c r="L71" i="17"/>
  <c r="L70" i="17" s="1"/>
  <c r="L72" i="17" s="1"/>
  <c r="L53" i="17"/>
  <c r="M66" i="18"/>
  <c r="N63" i="18" s="1"/>
  <c r="P35" i="14"/>
  <c r="O40" i="14"/>
  <c r="O78" i="14" s="1"/>
  <c r="M39" i="19"/>
  <c r="N35" i="19" s="1"/>
  <c r="M38" i="19"/>
  <c r="M37" i="19"/>
  <c r="L80" i="15"/>
  <c r="N60" i="20"/>
  <c r="O57" i="20" s="1"/>
  <c r="O65" i="14"/>
  <c r="L71" i="19"/>
  <c r="M55" i="5"/>
  <c r="M85" i="9"/>
  <c r="M86" i="9" s="1"/>
  <c r="M87" i="9" s="1"/>
  <c r="M84" i="9"/>
  <c r="M88" i="9"/>
  <c r="M72" i="5" s="1"/>
  <c r="N69" i="10"/>
  <c r="M73" i="10"/>
  <c r="M79" i="10" s="1"/>
  <c r="N69" i="14"/>
  <c r="M73" i="14"/>
  <c r="M79" i="14" s="1"/>
  <c r="L52" i="13"/>
  <c r="L53" i="13" s="1"/>
  <c r="L46" i="13"/>
  <c r="N43" i="12"/>
  <c r="M47" i="12"/>
  <c r="O37" i="11"/>
  <c r="O38" i="11"/>
  <c r="M58" i="13"/>
  <c r="M50" i="18"/>
  <c r="L54" i="18"/>
  <c r="L77" i="18" s="1"/>
  <c r="N50" i="12"/>
  <c r="M54" i="12"/>
  <c r="M77" i="12" s="1"/>
  <c r="L52" i="20"/>
  <c r="L53" i="20" s="1"/>
  <c r="L46" i="20"/>
  <c r="N69" i="12"/>
  <c r="M73" i="12"/>
  <c r="M79" i="12" s="1"/>
  <c r="N60" i="9"/>
  <c r="O57" i="9" s="1"/>
  <c r="L70" i="19"/>
  <c r="L72" i="19" s="1"/>
  <c r="M47" i="15"/>
  <c r="N43" i="10"/>
  <c r="M47" i="10"/>
  <c r="L87" i="12"/>
  <c r="L89" i="12" s="1"/>
  <c r="L46" i="17"/>
  <c r="M72" i="15"/>
  <c r="N69" i="15" s="1"/>
  <c r="N66" i="11"/>
  <c r="O63" i="11" s="1"/>
  <c r="O59" i="14"/>
  <c r="O60" i="14"/>
  <c r="P57" i="14" s="1"/>
  <c r="V176" i="21"/>
  <c r="V178" i="21" s="1"/>
  <c r="V29" i="21" s="1"/>
  <c r="V83" i="21" s="1"/>
  <c r="V7" i="5" s="1"/>
  <c r="W48" i="5"/>
  <c r="W174" i="21"/>
  <c r="W173" i="21"/>
  <c r="I19" i="5"/>
  <c r="J18" i="5"/>
  <c r="M54" i="15" l="1"/>
  <c r="M77" i="15" s="1"/>
  <c r="N39" i="18"/>
  <c r="O35" i="18" s="1"/>
  <c r="O39" i="15"/>
  <c r="P35" i="15" s="1"/>
  <c r="O58" i="15"/>
  <c r="O64" i="15"/>
  <c r="O65" i="15" s="1"/>
  <c r="O66" i="15" s="1"/>
  <c r="P63" i="15" s="1"/>
  <c r="O44" i="15"/>
  <c r="M64" i="13"/>
  <c r="M65" i="13" s="1"/>
  <c r="M66" i="13" s="1"/>
  <c r="N63" i="13" s="1"/>
  <c r="M44" i="13"/>
  <c r="N35" i="13"/>
  <c r="N37" i="13" s="1"/>
  <c r="N38" i="13" s="1"/>
  <c r="N44" i="13" s="1"/>
  <c r="M40" i="13"/>
  <c r="M78" i="13" s="1"/>
  <c r="K89" i="13"/>
  <c r="O69" i="9"/>
  <c r="N73" i="9"/>
  <c r="N79" i="9" s="1"/>
  <c r="N40" i="18"/>
  <c r="N78" i="18" s="1"/>
  <c r="O35" i="10"/>
  <c r="N40" i="10"/>
  <c r="N78" i="10" s="1"/>
  <c r="M69" i="17"/>
  <c r="L73" i="17"/>
  <c r="L79" i="17" s="1"/>
  <c r="P35" i="2"/>
  <c r="O40" i="2"/>
  <c r="O78" i="2" s="1"/>
  <c r="O44" i="9"/>
  <c r="O64" i="9"/>
  <c r="O58" i="9"/>
  <c r="O59" i="9" s="1"/>
  <c r="O60" i="9" s="1"/>
  <c r="P57" i="9" s="1"/>
  <c r="O39" i="9"/>
  <c r="M76" i="15"/>
  <c r="M35" i="5"/>
  <c r="M50" i="20"/>
  <c r="L54" i="20"/>
  <c r="L77" i="20" s="1"/>
  <c r="M59" i="13"/>
  <c r="N51" i="12"/>
  <c r="N83" i="12" s="1"/>
  <c r="M44" i="19"/>
  <c r="M58" i="19"/>
  <c r="M64" i="19"/>
  <c r="M50" i="17"/>
  <c r="L54" i="17"/>
  <c r="L77" i="17" s="1"/>
  <c r="M45" i="11"/>
  <c r="N51" i="14"/>
  <c r="L83" i="2"/>
  <c r="L71" i="2"/>
  <c r="L70" i="2" s="1"/>
  <c r="L72" i="2" s="1"/>
  <c r="N52" i="9"/>
  <c r="N53" i="9" s="1"/>
  <c r="N46" i="9"/>
  <c r="L53" i="19"/>
  <c r="N64" i="17"/>
  <c r="N58" i="17"/>
  <c r="N44" i="17"/>
  <c r="O35" i="12"/>
  <c r="N40" i="12"/>
  <c r="N78" i="12" s="1"/>
  <c r="O35" i="20"/>
  <c r="N40" i="20"/>
  <c r="N78" i="20" s="1"/>
  <c r="M76" i="10"/>
  <c r="M39" i="5"/>
  <c r="N51" i="15"/>
  <c r="O44" i="11"/>
  <c r="O64" i="11"/>
  <c r="O58" i="11"/>
  <c r="O39" i="11"/>
  <c r="M43" i="13"/>
  <c r="L47" i="13"/>
  <c r="L85" i="15"/>
  <c r="L52" i="5"/>
  <c r="L84" i="15"/>
  <c r="L88" i="15"/>
  <c r="L69" i="5" s="1"/>
  <c r="N37" i="19"/>
  <c r="N38" i="19" s="1"/>
  <c r="P38" i="14"/>
  <c r="P37" i="14"/>
  <c r="P39" i="14" s="1"/>
  <c r="M83" i="11"/>
  <c r="M71" i="11"/>
  <c r="M70" i="11" s="1"/>
  <c r="M72" i="11" s="1"/>
  <c r="L76" i="18"/>
  <c r="L80" i="18" s="1"/>
  <c r="L40" i="5"/>
  <c r="N64" i="18"/>
  <c r="N58" i="18"/>
  <c r="N44" i="18"/>
  <c r="O58" i="2"/>
  <c r="O44" i="2"/>
  <c r="O64" i="2"/>
  <c r="K44" i="5"/>
  <c r="K45" i="5" s="1"/>
  <c r="N39" i="17"/>
  <c r="N59" i="12"/>
  <c r="N60" i="12" s="1"/>
  <c r="O57" i="12" s="1"/>
  <c r="M73" i="15"/>
  <c r="M79" i="15" s="1"/>
  <c r="M80" i="15" s="1"/>
  <c r="M43" i="17"/>
  <c r="L47" i="17"/>
  <c r="M69" i="19"/>
  <c r="L73" i="19"/>
  <c r="L79" i="19" s="1"/>
  <c r="M43" i="20"/>
  <c r="L47" i="20"/>
  <c r="M76" i="12"/>
  <c r="M80" i="12" s="1"/>
  <c r="M42" i="5"/>
  <c r="M50" i="13"/>
  <c r="L54" i="13"/>
  <c r="L77" i="13" s="1"/>
  <c r="M80" i="10"/>
  <c r="M89" i="9"/>
  <c r="M14" i="5" s="1"/>
  <c r="O66" i="14"/>
  <c r="P63" i="14" s="1"/>
  <c r="M40" i="19"/>
  <c r="M78" i="19" s="1"/>
  <c r="N65" i="18"/>
  <c r="N66" i="18" s="1"/>
  <c r="O63" i="18" s="1"/>
  <c r="N66" i="20"/>
  <c r="O63" i="20" s="1"/>
  <c r="N65" i="20"/>
  <c r="M76" i="14"/>
  <c r="M80" i="14" s="1"/>
  <c r="M36" i="5"/>
  <c r="M51" i="18"/>
  <c r="M45" i="18" s="1"/>
  <c r="L46" i="19"/>
  <c r="L45" i="2"/>
  <c r="K86" i="17"/>
  <c r="K87" i="17" s="1"/>
  <c r="K89" i="17" s="1"/>
  <c r="L58" i="5"/>
  <c r="L85" i="11"/>
  <c r="L86" i="11" s="1"/>
  <c r="L87" i="11" s="1"/>
  <c r="L89" i="11" s="1"/>
  <c r="L88" i="11"/>
  <c r="L75" i="5" s="1"/>
  <c r="L84" i="11"/>
  <c r="K85" i="19"/>
  <c r="K84" i="19"/>
  <c r="K88" i="19"/>
  <c r="K67" i="5" s="1"/>
  <c r="K50" i="5"/>
  <c r="N44" i="10"/>
  <c r="N51" i="10" s="1"/>
  <c r="N64" i="10"/>
  <c r="N58" i="10"/>
  <c r="K88" i="2"/>
  <c r="K66" i="5" s="1"/>
  <c r="K78" i="5" s="1"/>
  <c r="K79" i="5" s="1"/>
  <c r="K85" i="2"/>
  <c r="K84" i="2"/>
  <c r="K49" i="5"/>
  <c r="K61" i="5" s="1"/>
  <c r="K62" i="5" s="1"/>
  <c r="N66" i="12"/>
  <c r="O63" i="12" s="1"/>
  <c r="N65" i="12"/>
  <c r="N71" i="12" s="1"/>
  <c r="W176" i="21"/>
  <c r="W178" i="21" s="1"/>
  <c r="W29" i="21" s="1"/>
  <c r="W83" i="21" s="1"/>
  <c r="W7" i="5" s="1"/>
  <c r="J17" i="5"/>
  <c r="J10" i="5"/>
  <c r="O40" i="15" l="1"/>
  <c r="O78" i="15" s="1"/>
  <c r="M52" i="18"/>
  <c r="M46" i="18"/>
  <c r="N43" i="18" s="1"/>
  <c r="P37" i="15"/>
  <c r="P38" i="15" s="1"/>
  <c r="O59" i="15"/>
  <c r="O60" i="15" s="1"/>
  <c r="P57" i="15" s="1"/>
  <c r="N58" i="13"/>
  <c r="N59" i="13" s="1"/>
  <c r="N64" i="13"/>
  <c r="N39" i="13"/>
  <c r="N40" i="13" s="1"/>
  <c r="N78" i="13" s="1"/>
  <c r="N83" i="10"/>
  <c r="N64" i="19"/>
  <c r="N58" i="19"/>
  <c r="N59" i="19" s="1"/>
  <c r="N44" i="19"/>
  <c r="N69" i="11"/>
  <c r="M73" i="11"/>
  <c r="M79" i="11" s="1"/>
  <c r="M69" i="2"/>
  <c r="L73" i="2"/>
  <c r="L79" i="2" s="1"/>
  <c r="M53" i="5"/>
  <c r="M84" i="14"/>
  <c r="M88" i="14"/>
  <c r="M70" i="5" s="1"/>
  <c r="M85" i="14"/>
  <c r="M86" i="14" s="1"/>
  <c r="M87" i="14" s="1"/>
  <c r="M59" i="5"/>
  <c r="M85" i="12"/>
  <c r="M86" i="12" s="1"/>
  <c r="M87" i="12" s="1"/>
  <c r="M84" i="12"/>
  <c r="M89" i="12" s="1"/>
  <c r="M88" i="12"/>
  <c r="M76" i="5" s="1"/>
  <c r="Q35" i="14"/>
  <c r="P40" i="14"/>
  <c r="P78" i="14" s="1"/>
  <c r="L52" i="2"/>
  <c r="L53" i="2" s="1"/>
  <c r="L46" i="2"/>
  <c r="M51" i="20"/>
  <c r="N45" i="10"/>
  <c r="N52" i="10" s="1"/>
  <c r="N53" i="10" s="1"/>
  <c r="M84" i="15"/>
  <c r="M52" i="5"/>
  <c r="M85" i="15"/>
  <c r="M86" i="15" s="1"/>
  <c r="M87" i="15" s="1"/>
  <c r="M88" i="15"/>
  <c r="M69" i="5" s="1"/>
  <c r="O65" i="2"/>
  <c r="O66" i="2" s="1"/>
  <c r="P63" i="2" s="1"/>
  <c r="N39" i="19"/>
  <c r="L76" i="13"/>
  <c r="L80" i="13" s="1"/>
  <c r="L37" i="5"/>
  <c r="O59" i="11"/>
  <c r="O60" i="11" s="1"/>
  <c r="P57" i="11" s="1"/>
  <c r="O37" i="20"/>
  <c r="O38" i="20" s="1"/>
  <c r="O50" i="9"/>
  <c r="N54" i="9"/>
  <c r="N77" i="9" s="1"/>
  <c r="M52" i="11"/>
  <c r="M53" i="11" s="1"/>
  <c r="M46" i="11"/>
  <c r="M66" i="19"/>
  <c r="N63" i="19" s="1"/>
  <c r="M65" i="19"/>
  <c r="P35" i="9"/>
  <c r="O40" i="9"/>
  <c r="O78" i="9" s="1"/>
  <c r="P37" i="2"/>
  <c r="P38" i="2" s="1"/>
  <c r="O37" i="18"/>
  <c r="O38" i="18" s="1"/>
  <c r="N59" i="10"/>
  <c r="N60" i="10" s="1"/>
  <c r="O57" i="10" s="1"/>
  <c r="K86" i="19"/>
  <c r="K87" i="19"/>
  <c r="M43" i="19"/>
  <c r="L47" i="19"/>
  <c r="M88" i="10"/>
  <c r="M73" i="5" s="1"/>
  <c r="M85" i="10"/>
  <c r="M86" i="10" s="1"/>
  <c r="M87" i="10" s="1"/>
  <c r="M56" i="5"/>
  <c r="M84" i="10"/>
  <c r="N46" i="10"/>
  <c r="L34" i="5"/>
  <c r="L76" i="17"/>
  <c r="N70" i="12"/>
  <c r="N72" i="12" s="1"/>
  <c r="P58" i="14"/>
  <c r="P44" i="14"/>
  <c r="P64" i="14"/>
  <c r="M51" i="13"/>
  <c r="M83" i="13" s="1"/>
  <c r="N65" i="13"/>
  <c r="N66" i="13" s="1"/>
  <c r="O63" i="13" s="1"/>
  <c r="N83" i="15"/>
  <c r="N71" i="15"/>
  <c r="N70" i="15" s="1"/>
  <c r="N72" i="15" s="1"/>
  <c r="O65" i="11"/>
  <c r="N59" i="17"/>
  <c r="N60" i="17"/>
  <c r="O57" i="17" s="1"/>
  <c r="M50" i="19"/>
  <c r="L54" i="19"/>
  <c r="L77" i="19" s="1"/>
  <c r="M59" i="19"/>
  <c r="M60" i="19"/>
  <c r="N57" i="19" s="1"/>
  <c r="N60" i="19" s="1"/>
  <c r="O57" i="19" s="1"/>
  <c r="N45" i="12"/>
  <c r="L80" i="17"/>
  <c r="O37" i="10"/>
  <c r="K86" i="2"/>
  <c r="K87" i="2" s="1"/>
  <c r="N65" i="10"/>
  <c r="N71" i="10" s="1"/>
  <c r="M83" i="18"/>
  <c r="M71" i="18"/>
  <c r="M70" i="18" s="1"/>
  <c r="M72" i="18" s="1"/>
  <c r="P65" i="14"/>
  <c r="P66" i="14" s="1"/>
  <c r="Q63" i="14" s="1"/>
  <c r="L76" i="20"/>
  <c r="L80" i="20" s="1"/>
  <c r="L43" i="5"/>
  <c r="M51" i="17"/>
  <c r="O35" i="17"/>
  <c r="N40" i="17"/>
  <c r="N78" i="17" s="1"/>
  <c r="O59" i="2"/>
  <c r="O60" i="2" s="1"/>
  <c r="P57" i="2" s="1"/>
  <c r="N59" i="18"/>
  <c r="N60" i="18" s="1"/>
  <c r="O57" i="18" s="1"/>
  <c r="L84" i="18"/>
  <c r="L88" i="18"/>
  <c r="L74" i="5" s="1"/>
  <c r="L85" i="18"/>
  <c r="L57" i="5"/>
  <c r="L86" i="15"/>
  <c r="L87" i="15" s="1"/>
  <c r="L89" i="15" s="1"/>
  <c r="P35" i="11"/>
  <c r="O40" i="11"/>
  <c r="O78" i="11" s="1"/>
  <c r="N45" i="15"/>
  <c r="O37" i="12"/>
  <c r="O38" i="12"/>
  <c r="N65" i="17"/>
  <c r="N66" i="17" s="1"/>
  <c r="O63" i="17" s="1"/>
  <c r="O43" i="9"/>
  <c r="N47" i="9"/>
  <c r="N83" i="14"/>
  <c r="N71" i="14"/>
  <c r="N70" i="14"/>
  <c r="N72" i="14" s="1"/>
  <c r="N45" i="14"/>
  <c r="M60" i="13"/>
  <c r="N57" i="13" s="1"/>
  <c r="M53" i="18"/>
  <c r="N51" i="18" s="1"/>
  <c r="O65" i="9"/>
  <c r="O66" i="9" s="1"/>
  <c r="P63" i="9" s="1"/>
  <c r="K11" i="5"/>
  <c r="K18" i="5"/>
  <c r="N60" i="13" l="1"/>
  <c r="O57" i="13" s="1"/>
  <c r="O35" i="13"/>
  <c r="M47" i="18"/>
  <c r="M76" i="18" s="1"/>
  <c r="N66" i="10"/>
  <c r="O63" i="10" s="1"/>
  <c r="P39" i="15"/>
  <c r="P58" i="15"/>
  <c r="P59" i="15" s="1"/>
  <c r="P44" i="15"/>
  <c r="P64" i="15"/>
  <c r="P65" i="15" s="1"/>
  <c r="P66" i="15" s="1"/>
  <c r="Q63" i="15" s="1"/>
  <c r="P60" i="15"/>
  <c r="Q57" i="15" s="1"/>
  <c r="N83" i="18"/>
  <c r="N71" i="18"/>
  <c r="N70" i="18" s="1"/>
  <c r="O69" i="15"/>
  <c r="N73" i="15"/>
  <c r="N79" i="15" s="1"/>
  <c r="N69" i="18"/>
  <c r="M73" i="18"/>
  <c r="M79" i="18" s="1"/>
  <c r="P58" i="2"/>
  <c r="P59" i="2" s="1"/>
  <c r="P64" i="2"/>
  <c r="P65" i="2" s="1"/>
  <c r="P44" i="2"/>
  <c r="P39" i="2"/>
  <c r="O50" i="10"/>
  <c r="N54" i="10"/>
  <c r="N77" i="10" s="1"/>
  <c r="O64" i="20"/>
  <c r="O58" i="20"/>
  <c r="O44" i="20"/>
  <c r="O69" i="14"/>
  <c r="N73" i="14"/>
  <c r="N79" i="14" s="1"/>
  <c r="O44" i="12"/>
  <c r="O64" i="12"/>
  <c r="O58" i="12"/>
  <c r="O39" i="12"/>
  <c r="O37" i="17"/>
  <c r="O38" i="17" s="1"/>
  <c r="O37" i="13"/>
  <c r="N52" i="15"/>
  <c r="N53" i="15" s="1"/>
  <c r="N46" i="15"/>
  <c r="L86" i="18"/>
  <c r="L87" i="18" s="1"/>
  <c r="L89" i="18" s="1"/>
  <c r="L16" i="5" s="1"/>
  <c r="M83" i="17"/>
  <c r="M71" i="17"/>
  <c r="M70" i="17" s="1"/>
  <c r="M72" i="17" s="1"/>
  <c r="M45" i="17"/>
  <c r="K89" i="2"/>
  <c r="O38" i="10"/>
  <c r="N52" i="12"/>
  <c r="N53" i="12" s="1"/>
  <c r="N46" i="12"/>
  <c r="M45" i="13"/>
  <c r="M89" i="10"/>
  <c r="M15" i="5" s="1"/>
  <c r="M45" i="19"/>
  <c r="M52" i="19" s="1"/>
  <c r="M51" i="19"/>
  <c r="M83" i="19" s="1"/>
  <c r="M71" i="19"/>
  <c r="N50" i="11"/>
  <c r="M54" i="11"/>
  <c r="M77" i="11" s="1"/>
  <c r="O39" i="20"/>
  <c r="L54" i="5"/>
  <c r="L85" i="13"/>
  <c r="L84" i="13"/>
  <c r="L88" i="13"/>
  <c r="L71" i="5" s="1"/>
  <c r="M83" i="20"/>
  <c r="M71" i="20"/>
  <c r="M70" i="20" s="1"/>
  <c r="M72" i="20" s="1"/>
  <c r="M45" i="20"/>
  <c r="Q39" i="14"/>
  <c r="R35" i="14" s="1"/>
  <c r="Q37" i="14"/>
  <c r="Q38" i="14"/>
  <c r="L85" i="20"/>
  <c r="L86" i="20" s="1"/>
  <c r="L87" i="20" s="1"/>
  <c r="L89" i="20" s="1"/>
  <c r="L84" i="20"/>
  <c r="L60" i="5"/>
  <c r="L88" i="20"/>
  <c r="L77" i="5" s="1"/>
  <c r="L88" i="17"/>
  <c r="L68" i="5" s="1"/>
  <c r="L85" i="17"/>
  <c r="L51" i="5"/>
  <c r="L84" i="17"/>
  <c r="P59" i="14"/>
  <c r="P60" i="14"/>
  <c r="Q57" i="14" s="1"/>
  <c r="N70" i="10"/>
  <c r="N72" i="10" s="1"/>
  <c r="N66" i="19"/>
  <c r="O63" i="19" s="1"/>
  <c r="N65" i="19"/>
  <c r="O35" i="19"/>
  <c r="N40" i="19"/>
  <c r="N78" i="19" s="1"/>
  <c r="M89" i="15"/>
  <c r="M43" i="2"/>
  <c r="L47" i="2"/>
  <c r="M89" i="14"/>
  <c r="N50" i="18"/>
  <c r="M54" i="18"/>
  <c r="M77" i="18" s="1"/>
  <c r="N76" i="9"/>
  <c r="N80" i="9" s="1"/>
  <c r="N38" i="5"/>
  <c r="N52" i="14"/>
  <c r="N53" i="14" s="1"/>
  <c r="N46" i="14"/>
  <c r="O51" i="9"/>
  <c r="P38" i="11"/>
  <c r="P37" i="11"/>
  <c r="M70" i="19"/>
  <c r="M72" i="19" s="1"/>
  <c r="O69" i="12"/>
  <c r="N73" i="12"/>
  <c r="N79" i="12" s="1"/>
  <c r="O43" i="10"/>
  <c r="N47" i="10"/>
  <c r="L76" i="19"/>
  <c r="L80" i="19" s="1"/>
  <c r="L33" i="5"/>
  <c r="K89" i="19"/>
  <c r="O58" i="18"/>
  <c r="O59" i="18" s="1"/>
  <c r="O64" i="18"/>
  <c r="O44" i="18"/>
  <c r="O39" i="18"/>
  <c r="P37" i="9"/>
  <c r="P38" i="9" s="1"/>
  <c r="N43" i="11"/>
  <c r="M47" i="11"/>
  <c r="M71" i="13"/>
  <c r="M70" i="13" s="1"/>
  <c r="M72" i="13" s="1"/>
  <c r="M50" i="2"/>
  <c r="L54" i="2"/>
  <c r="L77" i="2" s="1"/>
  <c r="O66" i="11"/>
  <c r="P63" i="11" s="1"/>
  <c r="L11" i="5"/>
  <c r="J19" i="5"/>
  <c r="J12" i="5"/>
  <c r="M40" i="5" l="1"/>
  <c r="P40" i="15"/>
  <c r="P78" i="15" s="1"/>
  <c r="Q35" i="15"/>
  <c r="Q37" i="15" s="1"/>
  <c r="Q38" i="15" s="1"/>
  <c r="Q64" i="15" s="1"/>
  <c r="O38" i="13"/>
  <c r="O39" i="13" s="1"/>
  <c r="P60" i="2"/>
  <c r="Q57" i="2" s="1"/>
  <c r="N69" i="13"/>
  <c r="M73" i="13"/>
  <c r="M79" i="13" s="1"/>
  <c r="N69" i="20"/>
  <c r="M73" i="20"/>
  <c r="M79" i="20" s="1"/>
  <c r="P64" i="9"/>
  <c r="P58" i="9"/>
  <c r="P44" i="9"/>
  <c r="P39" i="9"/>
  <c r="O58" i="17"/>
  <c r="O44" i="17"/>
  <c r="O64" i="17"/>
  <c r="N69" i="19"/>
  <c r="M73" i="19"/>
  <c r="M79" i="19" s="1"/>
  <c r="P64" i="11"/>
  <c r="P58" i="11"/>
  <c r="P44" i="11"/>
  <c r="M76" i="11"/>
  <c r="M80" i="11" s="1"/>
  <c r="M41" i="5"/>
  <c r="O65" i="18"/>
  <c r="P39" i="11"/>
  <c r="O83" i="9"/>
  <c r="O43" i="14"/>
  <c r="N47" i="14"/>
  <c r="N88" i="9"/>
  <c r="N72" i="5" s="1"/>
  <c r="N85" i="9"/>
  <c r="N55" i="5"/>
  <c r="N84" i="9"/>
  <c r="O71" i="9"/>
  <c r="O70" i="9" s="1"/>
  <c r="O72" i="9" s="1"/>
  <c r="L76" i="2"/>
  <c r="L80" i="2" s="1"/>
  <c r="L32" i="5"/>
  <c r="L44" i="5" s="1"/>
  <c r="L45" i="5" s="1"/>
  <c r="L86" i="17"/>
  <c r="L87" i="17" s="1"/>
  <c r="L89" i="17" s="1"/>
  <c r="Q64" i="14"/>
  <c r="Q58" i="14"/>
  <c r="Q59" i="14" s="1"/>
  <c r="Q44" i="14"/>
  <c r="Q40" i="14"/>
  <c r="Q78" i="14" s="1"/>
  <c r="M52" i="20"/>
  <c r="M53" i="20" s="1"/>
  <c r="M46" i="20"/>
  <c r="P35" i="20"/>
  <c r="O40" i="20"/>
  <c r="O78" i="20" s="1"/>
  <c r="O43" i="12"/>
  <c r="N47" i="12"/>
  <c r="O50" i="15"/>
  <c r="N54" i="15"/>
  <c r="N77" i="15" s="1"/>
  <c r="O39" i="17"/>
  <c r="P35" i="12"/>
  <c r="O40" i="12"/>
  <c r="O78" i="12" s="1"/>
  <c r="O65" i="20"/>
  <c r="O66" i="20"/>
  <c r="P63" i="20" s="1"/>
  <c r="Q35" i="2"/>
  <c r="P40" i="2"/>
  <c r="P78" i="2" s="1"/>
  <c r="N72" i="18"/>
  <c r="O69" i="18" s="1"/>
  <c r="P65" i="11"/>
  <c r="P66" i="2"/>
  <c r="Q63" i="2" s="1"/>
  <c r="N51" i="11"/>
  <c r="P35" i="18"/>
  <c r="O40" i="18"/>
  <c r="O78" i="18" s="1"/>
  <c r="L50" i="5"/>
  <c r="L88" i="19"/>
  <c r="L67" i="5" s="1"/>
  <c r="L84" i="19"/>
  <c r="L85" i="19"/>
  <c r="L86" i="19" s="1"/>
  <c r="L87" i="19" s="1"/>
  <c r="O45" i="9"/>
  <c r="O50" i="14"/>
  <c r="N54" i="14"/>
  <c r="N77" i="14" s="1"/>
  <c r="M51" i="2"/>
  <c r="O69" i="10"/>
  <c r="N73" i="10"/>
  <c r="N79" i="10" s="1"/>
  <c r="L86" i="13"/>
  <c r="L87" i="13" s="1"/>
  <c r="M46" i="19"/>
  <c r="M53" i="19"/>
  <c r="O50" i="12"/>
  <c r="N54" i="12"/>
  <c r="N77" i="12" s="1"/>
  <c r="M52" i="17"/>
  <c r="M53" i="17" s="1"/>
  <c r="M46" i="17"/>
  <c r="O59" i="12"/>
  <c r="O60" i="12"/>
  <c r="P57" i="12" s="1"/>
  <c r="O60" i="18"/>
  <c r="P57" i="18" s="1"/>
  <c r="N76" i="10"/>
  <c r="N39" i="5"/>
  <c r="N45" i="18"/>
  <c r="O37" i="19"/>
  <c r="O38" i="19"/>
  <c r="O39" i="19" s="1"/>
  <c r="Q60" i="14"/>
  <c r="R57" i="14" s="1"/>
  <c r="R38" i="14"/>
  <c r="R37" i="14"/>
  <c r="R39" i="14" s="1"/>
  <c r="M52" i="13"/>
  <c r="M53" i="13" s="1"/>
  <c r="M46" i="13"/>
  <c r="O64" i="10"/>
  <c r="O58" i="10"/>
  <c r="O44" i="10"/>
  <c r="N69" i="17"/>
  <c r="M73" i="17"/>
  <c r="M79" i="17" s="1"/>
  <c r="O43" i="15"/>
  <c r="N47" i="15"/>
  <c r="O65" i="12"/>
  <c r="O59" i="20"/>
  <c r="O60" i="20"/>
  <c r="P57" i="20" s="1"/>
  <c r="M80" i="18"/>
  <c r="O39" i="10"/>
  <c r="K10" i="5"/>
  <c r="O44" i="13" l="1"/>
  <c r="O58" i="13"/>
  <c r="O59" i="13" s="1"/>
  <c r="O60" i="13" s="1"/>
  <c r="P57" i="13" s="1"/>
  <c r="Q39" i="15"/>
  <c r="Q44" i="15"/>
  <c r="Q58" i="15"/>
  <c r="Q59" i="15" s="1"/>
  <c r="Q60" i="15" s="1"/>
  <c r="R57" i="15" s="1"/>
  <c r="O64" i="13"/>
  <c r="O65" i="13" s="1"/>
  <c r="O66" i="13" s="1"/>
  <c r="P63" i="13" s="1"/>
  <c r="O40" i="13"/>
  <c r="O78" i="13" s="1"/>
  <c r="P35" i="13"/>
  <c r="P37" i="13" s="1"/>
  <c r="P35" i="19"/>
  <c r="O40" i="19"/>
  <c r="O78" i="19" s="1"/>
  <c r="S35" i="14"/>
  <c r="R40" i="14"/>
  <c r="R78" i="14" s="1"/>
  <c r="P69" i="9"/>
  <c r="O73" i="9"/>
  <c r="O79" i="9" s="1"/>
  <c r="O51" i="15"/>
  <c r="R64" i="14"/>
  <c r="R58" i="14"/>
  <c r="R59" i="14" s="1"/>
  <c r="R44" i="14"/>
  <c r="N43" i="19"/>
  <c r="M47" i="19"/>
  <c r="P35" i="17"/>
  <c r="O40" i="17"/>
  <c r="O78" i="17" s="1"/>
  <c r="P37" i="20"/>
  <c r="P38" i="20"/>
  <c r="N86" i="9"/>
  <c r="N87" i="9" s="1"/>
  <c r="O51" i="14"/>
  <c r="O45" i="14" s="1"/>
  <c r="Q35" i="11"/>
  <c r="P40" i="11"/>
  <c r="P78" i="11" s="1"/>
  <c r="M84" i="11"/>
  <c r="M58" i="5"/>
  <c r="M85" i="11"/>
  <c r="M88" i="11"/>
  <c r="M75" i="5" s="1"/>
  <c r="O59" i="17"/>
  <c r="O60" i="17" s="1"/>
  <c r="P57" i="17" s="1"/>
  <c r="P59" i="9"/>
  <c r="P60" i="9" s="1"/>
  <c r="Q57" i="9" s="1"/>
  <c r="Q66" i="14"/>
  <c r="R63" i="14" s="1"/>
  <c r="Q65" i="14"/>
  <c r="N43" i="17"/>
  <c r="M47" i="17"/>
  <c r="P37" i="18"/>
  <c r="P38" i="18" s="1"/>
  <c r="P59" i="11"/>
  <c r="P60" i="11" s="1"/>
  <c r="Q57" i="11" s="1"/>
  <c r="O65" i="17"/>
  <c r="O66" i="17" s="1"/>
  <c r="P63" i="17" s="1"/>
  <c r="P65" i="9"/>
  <c r="P66" i="9" s="1"/>
  <c r="Q63" i="9" s="1"/>
  <c r="N43" i="13"/>
  <c r="M47" i="13"/>
  <c r="O58" i="19"/>
  <c r="O64" i="19"/>
  <c r="O44" i="19"/>
  <c r="N76" i="12"/>
  <c r="N80" i="12" s="1"/>
  <c r="N42" i="5"/>
  <c r="P35" i="10"/>
  <c r="O40" i="10"/>
  <c r="O78" i="10" s="1"/>
  <c r="O66" i="12"/>
  <c r="P63" i="12" s="1"/>
  <c r="O59" i="10"/>
  <c r="O60" i="10" s="1"/>
  <c r="P57" i="10" s="1"/>
  <c r="N50" i="13"/>
  <c r="M54" i="13"/>
  <c r="M77" i="13" s="1"/>
  <c r="N52" i="18"/>
  <c r="N53" i="18" s="1"/>
  <c r="N46" i="18"/>
  <c r="L89" i="13"/>
  <c r="O45" i="12"/>
  <c r="O52" i="12" s="1"/>
  <c r="O51" i="12"/>
  <c r="O83" i="12" s="1"/>
  <c r="N43" i="20"/>
  <c r="M47" i="20"/>
  <c r="O66" i="18"/>
  <c r="P63" i="18" s="1"/>
  <c r="Q35" i="9"/>
  <c r="P40" i="9"/>
  <c r="P78" i="9" s="1"/>
  <c r="M88" i="18"/>
  <c r="M74" i="5" s="1"/>
  <c r="M57" i="5"/>
  <c r="M85" i="18"/>
  <c r="M84" i="18"/>
  <c r="N76" i="15"/>
  <c r="N80" i="15" s="1"/>
  <c r="N35" i="5"/>
  <c r="O65" i="10"/>
  <c r="N50" i="17"/>
  <c r="M54" i="17"/>
  <c r="M77" i="17" s="1"/>
  <c r="N50" i="19"/>
  <c r="M54" i="19"/>
  <c r="M77" i="19" s="1"/>
  <c r="N80" i="10"/>
  <c r="M83" i="2"/>
  <c r="M71" i="2"/>
  <c r="M70" i="2" s="1"/>
  <c r="M72" i="2" s="1"/>
  <c r="M45" i="2"/>
  <c r="O52" i="9"/>
  <c r="O53" i="9" s="1"/>
  <c r="O46" i="9"/>
  <c r="L89" i="19"/>
  <c r="N83" i="11"/>
  <c r="N70" i="11"/>
  <c r="N72" i="11" s="1"/>
  <c r="N71" i="11"/>
  <c r="N45" i="11"/>
  <c r="P66" i="11"/>
  <c r="Q63" i="11" s="1"/>
  <c r="N73" i="18"/>
  <c r="N79" i="18" s="1"/>
  <c r="Q37" i="2"/>
  <c r="P37" i="12"/>
  <c r="P38" i="12" s="1"/>
  <c r="N50" i="20"/>
  <c r="M54" i="20"/>
  <c r="M77" i="20" s="1"/>
  <c r="L49" i="5"/>
  <c r="L61" i="5" s="1"/>
  <c r="L62" i="5" s="1"/>
  <c r="L84" i="2"/>
  <c r="L88" i="2"/>
  <c r="L66" i="5" s="1"/>
  <c r="L78" i="5" s="1"/>
  <c r="L79" i="5" s="1"/>
  <c r="L85" i="2"/>
  <c r="N76" i="14"/>
  <c r="N80" i="14" s="1"/>
  <c r="N36" i="5"/>
  <c r="O51" i="10"/>
  <c r="O45" i="10" s="1"/>
  <c r="R35" i="15"/>
  <c r="Q40" i="15"/>
  <c r="Q78" i="15" s="1"/>
  <c r="Q65" i="15"/>
  <c r="Q66" i="15" s="1"/>
  <c r="R63" i="15" s="1"/>
  <c r="I9" i="5"/>
  <c r="I20" i="5" l="1"/>
  <c r="P39" i="18"/>
  <c r="P38" i="13"/>
  <c r="P39" i="13" s="1"/>
  <c r="Q38" i="2"/>
  <c r="Q39" i="2" s="1"/>
  <c r="O52" i="10"/>
  <c r="O46" i="10"/>
  <c r="P64" i="12"/>
  <c r="P58" i="12"/>
  <c r="P44" i="12"/>
  <c r="O52" i="14"/>
  <c r="O46" i="14"/>
  <c r="Q35" i="18"/>
  <c r="P40" i="18"/>
  <c r="P78" i="18" s="1"/>
  <c r="P43" i="9"/>
  <c r="O47" i="9"/>
  <c r="R37" i="15"/>
  <c r="R38" i="15" s="1"/>
  <c r="N53" i="5"/>
  <c r="N85" i="14"/>
  <c r="N86" i="14" s="1"/>
  <c r="N87" i="14" s="1"/>
  <c r="N84" i="14"/>
  <c r="N89" i="14" s="1"/>
  <c r="N88" i="14"/>
  <c r="N70" i="5" s="1"/>
  <c r="P39" i="12"/>
  <c r="M52" i="2"/>
  <c r="M53" i="2" s="1"/>
  <c r="M46" i="2"/>
  <c r="N84" i="15"/>
  <c r="N88" i="15"/>
  <c r="N69" i="5" s="1"/>
  <c r="N52" i="5"/>
  <c r="N85" i="15"/>
  <c r="N86" i="15" s="1"/>
  <c r="N87" i="15" s="1"/>
  <c r="M76" i="20"/>
  <c r="M80" i="20" s="1"/>
  <c r="M43" i="5"/>
  <c r="O46" i="12"/>
  <c r="O53" i="14"/>
  <c r="O53" i="12"/>
  <c r="O50" i="18"/>
  <c r="N54" i="18"/>
  <c r="N77" i="18" s="1"/>
  <c r="O65" i="19"/>
  <c r="N51" i="13"/>
  <c r="N51" i="17"/>
  <c r="O71" i="12"/>
  <c r="O70" i="12" s="1"/>
  <c r="O72" i="12" s="1"/>
  <c r="Q37" i="11"/>
  <c r="Q38" i="11"/>
  <c r="P37" i="17"/>
  <c r="P38" i="17" s="1"/>
  <c r="O83" i="15"/>
  <c r="O71" i="15"/>
  <c r="O70" i="15" s="1"/>
  <c r="O72" i="15" s="1"/>
  <c r="O69" i="11"/>
  <c r="N73" i="11"/>
  <c r="N79" i="11" s="1"/>
  <c r="O71" i="10"/>
  <c r="O70" i="10" s="1"/>
  <c r="O72" i="10" s="1"/>
  <c r="N51" i="20"/>
  <c r="P37" i="10"/>
  <c r="P38" i="10" s="1"/>
  <c r="N88" i="12"/>
  <c r="N76" i="5" s="1"/>
  <c r="N85" i="12"/>
  <c r="N59" i="5"/>
  <c r="N84" i="12"/>
  <c r="O59" i="19"/>
  <c r="P44" i="18"/>
  <c r="P64" i="18"/>
  <c r="P65" i="18" s="1"/>
  <c r="P66" i="18" s="1"/>
  <c r="Q63" i="18" s="1"/>
  <c r="P58" i="18"/>
  <c r="R66" i="14"/>
  <c r="S63" i="14" s="1"/>
  <c r="R65" i="14"/>
  <c r="M86" i="11"/>
  <c r="O83" i="14"/>
  <c r="O71" i="14"/>
  <c r="O70" i="14" s="1"/>
  <c r="O72" i="14" s="1"/>
  <c r="P64" i="20"/>
  <c r="P58" i="20"/>
  <c r="P44" i="20"/>
  <c r="P39" i="20"/>
  <c r="M33" i="5"/>
  <c r="M76" i="19"/>
  <c r="M80" i="19" s="1"/>
  <c r="O83" i="10"/>
  <c r="O53" i="10"/>
  <c r="L86" i="2"/>
  <c r="L87" i="2" s="1"/>
  <c r="Q64" i="2"/>
  <c r="Q44" i="2"/>
  <c r="N69" i="2"/>
  <c r="M73" i="2"/>
  <c r="M79" i="2" s="1"/>
  <c r="N84" i="10"/>
  <c r="N56" i="5"/>
  <c r="N85" i="10"/>
  <c r="N86" i="10" s="1"/>
  <c r="N87" i="10" s="1"/>
  <c r="N88" i="10"/>
  <c r="N73" i="5" s="1"/>
  <c r="N52" i="11"/>
  <c r="N53" i="11" s="1"/>
  <c r="N46" i="11"/>
  <c r="P50" i="9"/>
  <c r="O54" i="9"/>
  <c r="O77" i="9" s="1"/>
  <c r="O66" i="10"/>
  <c r="P63" i="10" s="1"/>
  <c r="M86" i="18"/>
  <c r="M87" i="18" s="1"/>
  <c r="Q37" i="9"/>
  <c r="Q38" i="9" s="1"/>
  <c r="O43" i="18"/>
  <c r="N47" i="18"/>
  <c r="P66" i="12"/>
  <c r="Q63" i="12" s="1"/>
  <c r="P65" i="12"/>
  <c r="M37" i="5"/>
  <c r="M76" i="13"/>
  <c r="M80" i="13" s="1"/>
  <c r="M76" i="17"/>
  <c r="M80" i="17" s="1"/>
  <c r="M34" i="5"/>
  <c r="R60" i="14"/>
  <c r="S57" i="14" s="1"/>
  <c r="N89" i="9"/>
  <c r="N14" i="5" s="1"/>
  <c r="N51" i="19"/>
  <c r="O45" i="15"/>
  <c r="S37" i="14"/>
  <c r="S38" i="14" s="1"/>
  <c r="P37" i="19"/>
  <c r="K12" i="5"/>
  <c r="I29" i="5" l="1"/>
  <c r="I26" i="5"/>
  <c r="P44" i="13"/>
  <c r="P58" i="13"/>
  <c r="P59" i="13" s="1"/>
  <c r="P64" i="13"/>
  <c r="P65" i="13" s="1"/>
  <c r="P66" i="13" s="1"/>
  <c r="Q63" i="13" s="1"/>
  <c r="P39" i="10"/>
  <c r="Q35" i="10" s="1"/>
  <c r="P40" i="13"/>
  <c r="P78" i="13" s="1"/>
  <c r="Q35" i="13"/>
  <c r="Q37" i="13" s="1"/>
  <c r="Q38" i="13" s="1"/>
  <c r="Q58" i="2"/>
  <c r="Q40" i="2"/>
  <c r="Q78" i="2" s="1"/>
  <c r="R35" i="2"/>
  <c r="R37" i="2" s="1"/>
  <c r="S58" i="14"/>
  <c r="S59" i="14" s="1"/>
  <c r="S44" i="14"/>
  <c r="S64" i="14"/>
  <c r="S39" i="14"/>
  <c r="Q44" i="9"/>
  <c r="Q58" i="9"/>
  <c r="Q64" i="9"/>
  <c r="P64" i="17"/>
  <c r="P44" i="17"/>
  <c r="P58" i="17"/>
  <c r="P69" i="12"/>
  <c r="O73" i="12"/>
  <c r="O79" i="12" s="1"/>
  <c r="P69" i="14"/>
  <c r="O73" i="14"/>
  <c r="O79" i="14" s="1"/>
  <c r="P69" i="15"/>
  <c r="O73" i="15"/>
  <c r="O79" i="15" s="1"/>
  <c r="R58" i="15"/>
  <c r="R44" i="15"/>
  <c r="R64" i="15"/>
  <c r="O52" i="15"/>
  <c r="O53" i="15" s="1"/>
  <c r="O46" i="15"/>
  <c r="Q39" i="9"/>
  <c r="O43" i="11"/>
  <c r="N47" i="11"/>
  <c r="P50" i="10"/>
  <c r="O54" i="10"/>
  <c r="O77" i="10" s="1"/>
  <c r="P59" i="18"/>
  <c r="P60" i="18" s="1"/>
  <c r="Q57" i="18" s="1"/>
  <c r="P44" i="10"/>
  <c r="P64" i="10"/>
  <c r="P65" i="10" s="1"/>
  <c r="P58" i="10"/>
  <c r="N83" i="20"/>
  <c r="N71" i="20"/>
  <c r="N70" i="20" s="1"/>
  <c r="N72" i="20" s="1"/>
  <c r="N83" i="17"/>
  <c r="N71" i="17"/>
  <c r="N70" i="17"/>
  <c r="N72" i="17" s="1"/>
  <c r="M84" i="20"/>
  <c r="M60" i="5"/>
  <c r="M85" i="20"/>
  <c r="M88" i="20"/>
  <c r="M77" i="5" s="1"/>
  <c r="P51" i="9"/>
  <c r="P45" i="9" s="1"/>
  <c r="Q37" i="18"/>
  <c r="Q38" i="18" s="1"/>
  <c r="P43" i="10"/>
  <c r="O47" i="10"/>
  <c r="P38" i="19"/>
  <c r="N83" i="19"/>
  <c r="N71" i="19"/>
  <c r="N70" i="19" s="1"/>
  <c r="N72" i="19" s="1"/>
  <c r="N45" i="19"/>
  <c r="S60" i="14"/>
  <c r="T57" i="14" s="1"/>
  <c r="O50" i="11"/>
  <c r="N54" i="11"/>
  <c r="N77" i="11" s="1"/>
  <c r="Q65" i="2"/>
  <c r="P59" i="20"/>
  <c r="P60" i="20"/>
  <c r="Q57" i="20" s="1"/>
  <c r="M87" i="11"/>
  <c r="M89" i="11" s="1"/>
  <c r="P60" i="13"/>
  <c r="Q57" i="13" s="1"/>
  <c r="P39" i="17"/>
  <c r="N45" i="17"/>
  <c r="O66" i="19"/>
  <c r="P63" i="19" s="1"/>
  <c r="P43" i="12"/>
  <c r="O47" i="12"/>
  <c r="N89" i="15"/>
  <c r="N50" i="2"/>
  <c r="M54" i="2"/>
  <c r="M77" i="2" s="1"/>
  <c r="L89" i="2"/>
  <c r="R39" i="15"/>
  <c r="P59" i="12"/>
  <c r="P60" i="12"/>
  <c r="Q57" i="12" s="1"/>
  <c r="M84" i="17"/>
  <c r="M88" i="17"/>
  <c r="M68" i="5" s="1"/>
  <c r="M85" i="17"/>
  <c r="M51" i="5"/>
  <c r="O51" i="18"/>
  <c r="Q59" i="2"/>
  <c r="Q60" i="2" s="1"/>
  <c r="R57" i="2" s="1"/>
  <c r="M84" i="19"/>
  <c r="M88" i="19"/>
  <c r="M67" i="5" s="1"/>
  <c r="M50" i="5"/>
  <c r="M85" i="19"/>
  <c r="N86" i="12"/>
  <c r="N87" i="12" s="1"/>
  <c r="N89" i="12" s="1"/>
  <c r="Q64" i="11"/>
  <c r="Q58" i="11"/>
  <c r="Q44" i="11"/>
  <c r="Q39" i="11"/>
  <c r="P50" i="14"/>
  <c r="O54" i="14"/>
  <c r="O77" i="14" s="1"/>
  <c r="N43" i="2"/>
  <c r="M47" i="2"/>
  <c r="Q35" i="12"/>
  <c r="P40" i="12"/>
  <c r="P78" i="12" s="1"/>
  <c r="P43" i="14"/>
  <c r="O47" i="14"/>
  <c r="M85" i="13"/>
  <c r="M86" i="13" s="1"/>
  <c r="M87" i="13" s="1"/>
  <c r="M84" i="13"/>
  <c r="M54" i="5"/>
  <c r="M88" i="13"/>
  <c r="M71" i="5" s="1"/>
  <c r="N76" i="18"/>
  <c r="N80" i="18" s="1"/>
  <c r="N40" i="5"/>
  <c r="M89" i="18"/>
  <c r="M16" i="5" s="1"/>
  <c r="N89" i="10"/>
  <c r="N15" i="5" s="1"/>
  <c r="Q35" i="20"/>
  <c r="P40" i="20"/>
  <c r="P78" i="20" s="1"/>
  <c r="P65" i="20"/>
  <c r="S65" i="14"/>
  <c r="S66" i="14" s="1"/>
  <c r="T63" i="14" s="1"/>
  <c r="O60" i="19"/>
  <c r="P57" i="19" s="1"/>
  <c r="P69" i="10"/>
  <c r="O73" i="10"/>
  <c r="O79" i="10" s="1"/>
  <c r="N45" i="20"/>
  <c r="N83" i="13"/>
  <c r="N71" i="13"/>
  <c r="N70" i="13" s="1"/>
  <c r="N72" i="13" s="1"/>
  <c r="N45" i="13"/>
  <c r="P50" i="12"/>
  <c r="O54" i="12"/>
  <c r="O77" i="12" s="1"/>
  <c r="O76" i="9"/>
  <c r="O80" i="9" s="1"/>
  <c r="O38" i="5"/>
  <c r="M11" i="5"/>
  <c r="K17" i="5"/>
  <c r="L18" i="5"/>
  <c r="P40" i="10" l="1"/>
  <c r="P78" i="10" s="1"/>
  <c r="Q44" i="13"/>
  <c r="Q58" i="13"/>
  <c r="Q59" i="13" s="1"/>
  <c r="Q64" i="13"/>
  <c r="Q39" i="13"/>
  <c r="O69" i="13"/>
  <c r="N73" i="13"/>
  <c r="N79" i="13" s="1"/>
  <c r="Q64" i="18"/>
  <c r="Q58" i="18"/>
  <c r="Q59" i="18" s="1"/>
  <c r="Q60" i="18" s="1"/>
  <c r="R57" i="18" s="1"/>
  <c r="Q44" i="18"/>
  <c r="O69" i="20"/>
  <c r="N73" i="20"/>
  <c r="N79" i="20" s="1"/>
  <c r="O69" i="19"/>
  <c r="N73" i="19"/>
  <c r="N79" i="19" s="1"/>
  <c r="P52" i="9"/>
  <c r="P53" i="9" s="1"/>
  <c r="P46" i="9"/>
  <c r="M32" i="5"/>
  <c r="M44" i="5" s="1"/>
  <c r="M45" i="5" s="1"/>
  <c r="M76" i="2"/>
  <c r="M80" i="2" s="1"/>
  <c r="Q59" i="11"/>
  <c r="M86" i="19"/>
  <c r="M87" i="19" s="1"/>
  <c r="M89" i="19" s="1"/>
  <c r="S35" i="15"/>
  <c r="R40" i="15"/>
  <c r="R78" i="15" s="1"/>
  <c r="O76" i="12"/>
  <c r="O42" i="5"/>
  <c r="Q35" i="17"/>
  <c r="P40" i="17"/>
  <c r="P78" i="17" s="1"/>
  <c r="N52" i="19"/>
  <c r="N53" i="19" s="1"/>
  <c r="N46" i="19"/>
  <c r="P51" i="10"/>
  <c r="P83" i="10" s="1"/>
  <c r="Q39" i="18"/>
  <c r="R35" i="9"/>
  <c r="Q40" i="9"/>
  <c r="Q78" i="9" s="1"/>
  <c r="P65" i="17"/>
  <c r="P66" i="17" s="1"/>
  <c r="Q63" i="17" s="1"/>
  <c r="O84" i="9"/>
  <c r="O55" i="5"/>
  <c r="O88" i="9"/>
  <c r="O72" i="5" s="1"/>
  <c r="O85" i="9"/>
  <c r="P45" i="14"/>
  <c r="P52" i="14" s="1"/>
  <c r="P53" i="14" s="1"/>
  <c r="P51" i="14"/>
  <c r="N85" i="18"/>
  <c r="N84" i="18"/>
  <c r="N88" i="18"/>
  <c r="N74" i="5" s="1"/>
  <c r="N57" i="5"/>
  <c r="M89" i="13"/>
  <c r="N51" i="2"/>
  <c r="N45" i="2" s="1"/>
  <c r="N52" i="2" s="1"/>
  <c r="R35" i="11"/>
  <c r="Q40" i="11"/>
  <c r="Q78" i="11" s="1"/>
  <c r="Q66" i="11"/>
  <c r="R63" i="11" s="1"/>
  <c r="Q65" i="11"/>
  <c r="P66" i="10"/>
  <c r="Q63" i="10" s="1"/>
  <c r="M87" i="17"/>
  <c r="M86" i="17"/>
  <c r="P51" i="12"/>
  <c r="P65" i="19"/>
  <c r="P64" i="19"/>
  <c r="P66" i="19" s="1"/>
  <c r="Q63" i="19" s="1"/>
  <c r="P58" i="19"/>
  <c r="P59" i="19" s="1"/>
  <c r="P44" i="19"/>
  <c r="M87" i="20"/>
  <c r="M86" i="20"/>
  <c r="P59" i="10"/>
  <c r="N76" i="11"/>
  <c r="N80" i="11" s="1"/>
  <c r="N41" i="5"/>
  <c r="P43" i="15"/>
  <c r="O47" i="15"/>
  <c r="Q37" i="10"/>
  <c r="Q38" i="10" s="1"/>
  <c r="R59" i="15"/>
  <c r="R60" i="15" s="1"/>
  <c r="S57" i="15" s="1"/>
  <c r="P59" i="17"/>
  <c r="P60" i="17" s="1"/>
  <c r="Q57" i="17" s="1"/>
  <c r="Q65" i="9"/>
  <c r="Q66" i="9" s="1"/>
  <c r="R63" i="9" s="1"/>
  <c r="T35" i="14"/>
  <c r="S40" i="14"/>
  <c r="S78" i="14" s="1"/>
  <c r="N52" i="13"/>
  <c r="N53" i="13" s="1"/>
  <c r="N46" i="13"/>
  <c r="R38" i="2"/>
  <c r="N52" i="20"/>
  <c r="N53" i="20" s="1"/>
  <c r="N46" i="20"/>
  <c r="P60" i="19"/>
  <c r="Q57" i="19" s="1"/>
  <c r="P66" i="20"/>
  <c r="Q63" i="20" s="1"/>
  <c r="Q37" i="20"/>
  <c r="Q38" i="20" s="1"/>
  <c r="O76" i="14"/>
  <c r="O80" i="14" s="1"/>
  <c r="O36" i="5"/>
  <c r="Q37" i="12"/>
  <c r="Q38" i="12"/>
  <c r="O83" i="18"/>
  <c r="O71" i="18"/>
  <c r="O70" i="18" s="1"/>
  <c r="O72" i="18" s="1"/>
  <c r="O45" i="18"/>
  <c r="N52" i="17"/>
  <c r="N53" i="17" s="1"/>
  <c r="N46" i="17"/>
  <c r="Q66" i="2"/>
  <c r="R63" i="2" s="1"/>
  <c r="O76" i="10"/>
  <c r="O80" i="10" s="1"/>
  <c r="O39" i="5"/>
  <c r="P83" i="9"/>
  <c r="P71" i="9"/>
  <c r="P70" i="9" s="1"/>
  <c r="P72" i="9" s="1"/>
  <c r="O69" i="17"/>
  <c r="N73" i="17"/>
  <c r="N79" i="17" s="1"/>
  <c r="O45" i="11"/>
  <c r="O52" i="11" s="1"/>
  <c r="O51" i="11"/>
  <c r="P50" i="15"/>
  <c r="O54" i="15"/>
  <c r="O77" i="15" s="1"/>
  <c r="R65" i="15"/>
  <c r="O80" i="12"/>
  <c r="Q59" i="9"/>
  <c r="Q60" i="9" s="1"/>
  <c r="R57" i="9" s="1"/>
  <c r="P39" i="19"/>
  <c r="J9" i="5"/>
  <c r="J20" i="5" l="1"/>
  <c r="M89" i="17"/>
  <c r="N53" i="2"/>
  <c r="N54" i="2" s="1"/>
  <c r="N77" i="2" s="1"/>
  <c r="O85" i="14"/>
  <c r="O84" i="14"/>
  <c r="O88" i="14"/>
  <c r="O70" i="5" s="1"/>
  <c r="O53" i="5"/>
  <c r="O85" i="10"/>
  <c r="O88" i="10"/>
  <c r="O73" i="5" s="1"/>
  <c r="O84" i="10"/>
  <c r="O56" i="5"/>
  <c r="Q50" i="14"/>
  <c r="P54" i="14"/>
  <c r="P77" i="14" s="1"/>
  <c r="Q44" i="20"/>
  <c r="Q58" i="20"/>
  <c r="Q64" i="20"/>
  <c r="Q64" i="10"/>
  <c r="Q65" i="10" s="1"/>
  <c r="Q58" i="10"/>
  <c r="Q59" i="10" s="1"/>
  <c r="Q44" i="10"/>
  <c r="O50" i="2"/>
  <c r="Q39" i="20"/>
  <c r="O35" i="5"/>
  <c r="O76" i="15"/>
  <c r="O80" i="15" s="1"/>
  <c r="N58" i="5"/>
  <c r="N85" i="11"/>
  <c r="N86" i="11" s="1"/>
  <c r="N87" i="11" s="1"/>
  <c r="N88" i="11"/>
  <c r="N75" i="5" s="1"/>
  <c r="N84" i="11"/>
  <c r="Q65" i="18"/>
  <c r="Q66" i="18" s="1"/>
  <c r="R63" i="18" s="1"/>
  <c r="O43" i="20"/>
  <c r="N47" i="20"/>
  <c r="O50" i="13"/>
  <c r="N54" i="13"/>
  <c r="N77" i="13" s="1"/>
  <c r="T38" i="14"/>
  <c r="T37" i="14"/>
  <c r="T39" i="14" s="1"/>
  <c r="P83" i="12"/>
  <c r="P71" i="12"/>
  <c r="P70" i="12" s="1"/>
  <c r="P72" i="12" s="1"/>
  <c r="R37" i="9"/>
  <c r="R38" i="9" s="1"/>
  <c r="Q37" i="17"/>
  <c r="S37" i="15"/>
  <c r="S38" i="15" s="1"/>
  <c r="R66" i="15"/>
  <c r="S63" i="15" s="1"/>
  <c r="O83" i="11"/>
  <c r="O71" i="11"/>
  <c r="O70" i="11" s="1"/>
  <c r="O72" i="11" s="1"/>
  <c r="O50" i="17"/>
  <c r="N54" i="17"/>
  <c r="N77" i="17" s="1"/>
  <c r="O52" i="18"/>
  <c r="O53" i="18" s="1"/>
  <c r="O46" i="18"/>
  <c r="Q65" i="20"/>
  <c r="Q66" i="20" s="1"/>
  <c r="R63" i="20" s="1"/>
  <c r="O50" i="20"/>
  <c r="N54" i="20"/>
  <c r="N77" i="20" s="1"/>
  <c r="R58" i="2"/>
  <c r="R44" i="2"/>
  <c r="R64" i="2"/>
  <c r="R65" i="2" s="1"/>
  <c r="Q39" i="10"/>
  <c r="P51" i="15"/>
  <c r="M89" i="20"/>
  <c r="R37" i="11"/>
  <c r="R38" i="11" s="1"/>
  <c r="N86" i="18"/>
  <c r="N87" i="18" s="1"/>
  <c r="N89" i="18" s="1"/>
  <c r="N16" i="5" s="1"/>
  <c r="P83" i="14"/>
  <c r="P71" i="14"/>
  <c r="P70" i="14" s="1"/>
  <c r="P72" i="14" s="1"/>
  <c r="O86" i="9"/>
  <c r="O87" i="9" s="1"/>
  <c r="O89" i="9" s="1"/>
  <c r="O14" i="5" s="1"/>
  <c r="R35" i="18"/>
  <c r="Q40" i="18"/>
  <c r="Q78" i="18" s="1"/>
  <c r="P45" i="10"/>
  <c r="O43" i="19"/>
  <c r="N47" i="19"/>
  <c r="O53" i="11"/>
  <c r="M88" i="2"/>
  <c r="M66" i="5" s="1"/>
  <c r="M78" i="5" s="1"/>
  <c r="M79" i="5" s="1"/>
  <c r="M85" i="2"/>
  <c r="M86" i="2" s="1"/>
  <c r="M87" i="2" s="1"/>
  <c r="M84" i="2"/>
  <c r="M49" i="5"/>
  <c r="M61" i="5" s="1"/>
  <c r="M62" i="5" s="1"/>
  <c r="Q43" i="9"/>
  <c r="P47" i="9"/>
  <c r="R35" i="13"/>
  <c r="Q40" i="13"/>
  <c r="Q78" i="13" s="1"/>
  <c r="O43" i="17"/>
  <c r="N47" i="17"/>
  <c r="P69" i="18"/>
  <c r="O73" i="18"/>
  <c r="O79" i="18" s="1"/>
  <c r="Q64" i="12"/>
  <c r="Q58" i="12"/>
  <c r="Q44" i="12"/>
  <c r="Q39" i="12"/>
  <c r="Q35" i="19"/>
  <c r="P40" i="19"/>
  <c r="P78" i="19" s="1"/>
  <c r="O59" i="5"/>
  <c r="O85" i="12"/>
  <c r="O88" i="12"/>
  <c r="O76" i="5" s="1"/>
  <c r="O84" i="12"/>
  <c r="O46" i="11"/>
  <c r="Q69" i="9"/>
  <c r="P73" i="9"/>
  <c r="P79" i="9" s="1"/>
  <c r="O43" i="13"/>
  <c r="N47" i="13"/>
  <c r="P60" i="10"/>
  <c r="Q57" i="10" s="1"/>
  <c r="Q60" i="13"/>
  <c r="R57" i="13" s="1"/>
  <c r="P45" i="12"/>
  <c r="N83" i="2"/>
  <c r="N71" i="2"/>
  <c r="N70" i="2" s="1"/>
  <c r="N72" i="2" s="1"/>
  <c r="N46" i="2"/>
  <c r="P46" i="14"/>
  <c r="O50" i="19"/>
  <c r="N54" i="19"/>
  <c r="N77" i="19" s="1"/>
  <c r="P71" i="10"/>
  <c r="P70" i="10" s="1"/>
  <c r="P72" i="10" s="1"/>
  <c r="Q60" i="11"/>
  <c r="R57" i="11" s="1"/>
  <c r="Q50" i="9"/>
  <c r="P54" i="9"/>
  <c r="P77" i="9" s="1"/>
  <c r="R39" i="2"/>
  <c r="Q65" i="13"/>
  <c r="L10" i="5"/>
  <c r="K19" i="5"/>
  <c r="Q60" i="10" l="1"/>
  <c r="R57" i="10" s="1"/>
  <c r="Q66" i="10"/>
  <c r="R63" i="10" s="1"/>
  <c r="Q38" i="17"/>
  <c r="Q39" i="17" s="1"/>
  <c r="S39" i="15"/>
  <c r="T35" i="15" s="1"/>
  <c r="T37" i="15" s="1"/>
  <c r="T38" i="15" s="1"/>
  <c r="M89" i="2"/>
  <c r="R66" i="2"/>
  <c r="S63" i="2" s="1"/>
  <c r="Q69" i="10"/>
  <c r="P73" i="10"/>
  <c r="P79" i="10" s="1"/>
  <c r="O69" i="2"/>
  <c r="N73" i="2"/>
  <c r="N79" i="2" s="1"/>
  <c r="R44" i="9"/>
  <c r="R64" i="9"/>
  <c r="R58" i="9"/>
  <c r="Q69" i="14"/>
  <c r="P73" i="14"/>
  <c r="P79" i="14" s="1"/>
  <c r="R44" i="11"/>
  <c r="R58" i="11"/>
  <c r="R59" i="11" s="1"/>
  <c r="R64" i="11"/>
  <c r="R39" i="11"/>
  <c r="P69" i="11"/>
  <c r="O73" i="11"/>
  <c r="O79" i="11" s="1"/>
  <c r="U35" i="14"/>
  <c r="T40" i="14"/>
  <c r="T78" i="14" s="1"/>
  <c r="R39" i="9"/>
  <c r="N76" i="20"/>
  <c r="N80" i="20" s="1"/>
  <c r="N43" i="5"/>
  <c r="O86" i="10"/>
  <c r="O87" i="10" s="1"/>
  <c r="O89" i="10" s="1"/>
  <c r="O15" i="5" s="1"/>
  <c r="R60" i="11"/>
  <c r="S57" i="11" s="1"/>
  <c r="O43" i="2"/>
  <c r="N47" i="2"/>
  <c r="P52" i="12"/>
  <c r="P53" i="12" s="1"/>
  <c r="P46" i="12"/>
  <c r="R35" i="12"/>
  <c r="Q40" i="12"/>
  <c r="Q78" i="12" s="1"/>
  <c r="Q65" i="12"/>
  <c r="N76" i="17"/>
  <c r="N80" i="17" s="1"/>
  <c r="N34" i="5"/>
  <c r="R37" i="13"/>
  <c r="R38" i="13" s="1"/>
  <c r="P76" i="9"/>
  <c r="P38" i="5"/>
  <c r="P50" i="11"/>
  <c r="O54" i="11"/>
  <c r="O77" i="11" s="1"/>
  <c r="P52" i="10"/>
  <c r="P53" i="10" s="1"/>
  <c r="P46" i="10"/>
  <c r="S35" i="2"/>
  <c r="R40" i="2"/>
  <c r="R78" i="2" s="1"/>
  <c r="N76" i="13"/>
  <c r="N80" i="13" s="1"/>
  <c r="N37" i="5"/>
  <c r="O51" i="17"/>
  <c r="Q51" i="9"/>
  <c r="N76" i="19"/>
  <c r="N80" i="19" s="1"/>
  <c r="N33" i="5"/>
  <c r="R35" i="10"/>
  <c r="Q40" i="10"/>
  <c r="Q78" i="10" s="1"/>
  <c r="S40" i="15"/>
  <c r="S78" i="15" s="1"/>
  <c r="S64" i="15"/>
  <c r="S58" i="15"/>
  <c r="S44" i="15"/>
  <c r="Q66" i="13"/>
  <c r="R63" i="13" s="1"/>
  <c r="Q43" i="14"/>
  <c r="P47" i="14"/>
  <c r="O51" i="13"/>
  <c r="P80" i="9"/>
  <c r="P43" i="11"/>
  <c r="O47" i="11"/>
  <c r="O87" i="12"/>
  <c r="O89" i="12" s="1"/>
  <c r="O86" i="12"/>
  <c r="Q37" i="19"/>
  <c r="Q38" i="19"/>
  <c r="Q59" i="12"/>
  <c r="O45" i="19"/>
  <c r="O52" i="19" s="1"/>
  <c r="O51" i="19"/>
  <c r="O53" i="19" s="1"/>
  <c r="R37" i="18"/>
  <c r="R38" i="18" s="1"/>
  <c r="P43" i="18"/>
  <c r="O47" i="18"/>
  <c r="S65" i="15"/>
  <c r="S66" i="15" s="1"/>
  <c r="T63" i="15" s="1"/>
  <c r="Q69" i="12"/>
  <c r="P73" i="12"/>
  <c r="P79" i="12" s="1"/>
  <c r="T44" i="14"/>
  <c r="T64" i="14"/>
  <c r="T58" i="14"/>
  <c r="O51" i="20"/>
  <c r="N89" i="11"/>
  <c r="R35" i="20"/>
  <c r="Q40" i="20"/>
  <c r="Q78" i="20" s="1"/>
  <c r="Q59" i="20"/>
  <c r="Q60" i="20" s="1"/>
  <c r="R57" i="20" s="1"/>
  <c r="O87" i="14"/>
  <c r="O86" i="14"/>
  <c r="P83" i="15"/>
  <c r="P71" i="15"/>
  <c r="P70" i="15" s="1"/>
  <c r="P72" i="15" s="1"/>
  <c r="P45" i="15"/>
  <c r="R59" i="2"/>
  <c r="R60" i="2" s="1"/>
  <c r="S57" i="2" s="1"/>
  <c r="P50" i="18"/>
  <c r="O54" i="18"/>
  <c r="O77" i="18" s="1"/>
  <c r="Q64" i="17"/>
  <c r="Q58" i="17"/>
  <c r="Q44" i="17"/>
  <c r="O52" i="5"/>
  <c r="O85" i="15"/>
  <c r="O84" i="15"/>
  <c r="O88" i="15"/>
  <c r="O69" i="5" s="1"/>
  <c r="J26" i="5"/>
  <c r="J29" i="5"/>
  <c r="J21" i="5"/>
  <c r="L17" i="5"/>
  <c r="M18" i="5"/>
  <c r="Q40" i="17" l="1"/>
  <c r="Q78" i="17" s="1"/>
  <c r="R35" i="17"/>
  <c r="R39" i="13"/>
  <c r="S35" i="13" s="1"/>
  <c r="Q69" i="15"/>
  <c r="P73" i="15"/>
  <c r="P79" i="15" s="1"/>
  <c r="T64" i="15"/>
  <c r="T58" i="15"/>
  <c r="T59" i="15" s="1"/>
  <c r="T44" i="15"/>
  <c r="P50" i="19"/>
  <c r="O54" i="19"/>
  <c r="O77" i="19" s="1"/>
  <c r="O86" i="15"/>
  <c r="Q65" i="17"/>
  <c r="O89" i="14"/>
  <c r="O45" i="20"/>
  <c r="T59" i="14"/>
  <c r="O76" i="18"/>
  <c r="O80" i="18" s="1"/>
  <c r="O40" i="5"/>
  <c r="P55" i="5"/>
  <c r="P88" i="9"/>
  <c r="P72" i="5" s="1"/>
  <c r="P85" i="9"/>
  <c r="P84" i="9"/>
  <c r="P76" i="14"/>
  <c r="P36" i="5"/>
  <c r="S59" i="15"/>
  <c r="O83" i="17"/>
  <c r="O71" i="17"/>
  <c r="O70" i="17" s="1"/>
  <c r="O72" i="17" s="1"/>
  <c r="N85" i="13"/>
  <c r="N84" i="13"/>
  <c r="N54" i="5"/>
  <c r="N88" i="13"/>
  <c r="N71" i="5" s="1"/>
  <c r="S37" i="2"/>
  <c r="Q50" i="10"/>
  <c r="P54" i="10"/>
  <c r="P77" i="10" s="1"/>
  <c r="R64" i="13"/>
  <c r="R58" i="13"/>
  <c r="R44" i="13"/>
  <c r="Q50" i="12"/>
  <c r="P54" i="12"/>
  <c r="P77" i="12" s="1"/>
  <c r="O51" i="2"/>
  <c r="R37" i="17"/>
  <c r="R38" i="17" s="1"/>
  <c r="R66" i="11"/>
  <c r="S63" i="11" s="1"/>
  <c r="R65" i="11"/>
  <c r="P80" i="14"/>
  <c r="R65" i="9"/>
  <c r="R66" i="9" s="1"/>
  <c r="S63" i="9" s="1"/>
  <c r="J27" i="5"/>
  <c r="J28" i="5"/>
  <c r="T39" i="15"/>
  <c r="T65" i="14"/>
  <c r="P51" i="18"/>
  <c r="P45" i="18" s="1"/>
  <c r="R64" i="18"/>
  <c r="R58" i="18"/>
  <c r="R44" i="18"/>
  <c r="R39" i="18"/>
  <c r="Q64" i="19"/>
  <c r="Q44" i="19"/>
  <c r="Q58" i="19"/>
  <c r="Q39" i="19"/>
  <c r="O76" i="11"/>
  <c r="O41" i="5"/>
  <c r="O83" i="13"/>
  <c r="O71" i="13"/>
  <c r="O70" i="13" s="1"/>
  <c r="O72" i="13" s="1"/>
  <c r="Q51" i="14"/>
  <c r="R65" i="13"/>
  <c r="N85" i="19"/>
  <c r="N86" i="19" s="1"/>
  <c r="N87" i="19" s="1"/>
  <c r="N84" i="19"/>
  <c r="N88" i="19"/>
  <c r="N67" i="5" s="1"/>
  <c r="N50" i="5"/>
  <c r="N88" i="17"/>
  <c r="N68" i="5" s="1"/>
  <c r="N85" i="17"/>
  <c r="N84" i="17"/>
  <c r="N51" i="5"/>
  <c r="N84" i="20"/>
  <c r="N88" i="20"/>
  <c r="N77" i="5" s="1"/>
  <c r="N85" i="20"/>
  <c r="N60" i="5"/>
  <c r="U38" i="14"/>
  <c r="U37" i="14"/>
  <c r="U39" i="14" s="1"/>
  <c r="O80" i="11"/>
  <c r="Q59" i="17"/>
  <c r="Q60" i="17" s="1"/>
  <c r="R57" i="17" s="1"/>
  <c r="P52" i="15"/>
  <c r="P53" i="15" s="1"/>
  <c r="P46" i="15"/>
  <c r="R37" i="20"/>
  <c r="O83" i="20"/>
  <c r="O71" i="20"/>
  <c r="O70" i="20" s="1"/>
  <c r="O72" i="20" s="1"/>
  <c r="O83" i="19"/>
  <c r="O70" i="19"/>
  <c r="O72" i="19" s="1"/>
  <c r="O71" i="19"/>
  <c r="O46" i="19"/>
  <c r="Q60" i="12"/>
  <c r="R57" i="12" s="1"/>
  <c r="P51" i="11"/>
  <c r="P45" i="11"/>
  <c r="P52" i="11" s="1"/>
  <c r="O45" i="13"/>
  <c r="R37" i="10"/>
  <c r="R38" i="10" s="1"/>
  <c r="Q83" i="9"/>
  <c r="Q71" i="9"/>
  <c r="Q70" i="9" s="1"/>
  <c r="Q72" i="9" s="1"/>
  <c r="Q45" i="9"/>
  <c r="O45" i="17"/>
  <c r="Q43" i="10"/>
  <c r="P47" i="10"/>
  <c r="P53" i="11"/>
  <c r="Q50" i="11" s="1"/>
  <c r="Q66" i="12"/>
  <c r="R63" i="12" s="1"/>
  <c r="R37" i="12"/>
  <c r="R38" i="12" s="1"/>
  <c r="Q43" i="12"/>
  <c r="P47" i="12"/>
  <c r="N76" i="2"/>
  <c r="N80" i="2" s="1"/>
  <c r="N32" i="5"/>
  <c r="N44" i="5" s="1"/>
  <c r="N45" i="5" s="1"/>
  <c r="S35" i="9"/>
  <c r="R40" i="9"/>
  <c r="R78" i="9" s="1"/>
  <c r="S35" i="11"/>
  <c r="R40" i="11"/>
  <c r="R78" i="11" s="1"/>
  <c r="R59" i="9"/>
  <c r="R60" i="9" s="1"/>
  <c r="S57" i="9" s="1"/>
  <c r="L12" i="5"/>
  <c r="P52" i="18" l="1"/>
  <c r="P46" i="18"/>
  <c r="Q43" i="18" s="1"/>
  <c r="R39" i="17"/>
  <c r="R40" i="13"/>
  <c r="R78" i="13" s="1"/>
  <c r="R44" i="12"/>
  <c r="R64" i="12"/>
  <c r="R58" i="12"/>
  <c r="R59" i="12" s="1"/>
  <c r="R39" i="12"/>
  <c r="P69" i="20"/>
  <c r="O73" i="20"/>
  <c r="O79" i="20" s="1"/>
  <c r="R69" i="9"/>
  <c r="Q73" i="9"/>
  <c r="Q79" i="9" s="1"/>
  <c r="V35" i="14"/>
  <c r="U40" i="14"/>
  <c r="U78" i="14" s="1"/>
  <c r="N88" i="2"/>
  <c r="N66" i="5" s="1"/>
  <c r="N78" i="5" s="1"/>
  <c r="N79" i="5" s="1"/>
  <c r="N49" i="5"/>
  <c r="N61" i="5" s="1"/>
  <c r="N62" i="5" s="1"/>
  <c r="N85" i="2"/>
  <c r="N84" i="2"/>
  <c r="P69" i="13"/>
  <c r="O73" i="13"/>
  <c r="O79" i="13" s="1"/>
  <c r="S35" i="17"/>
  <c r="R40" i="17"/>
  <c r="R78" i="17" s="1"/>
  <c r="R64" i="10"/>
  <c r="R58" i="10"/>
  <c r="R44" i="10"/>
  <c r="R39" i="10"/>
  <c r="R60" i="12"/>
  <c r="S57" i="12" s="1"/>
  <c r="P69" i="19"/>
  <c r="O73" i="19"/>
  <c r="O79" i="19" s="1"/>
  <c r="Q50" i="15"/>
  <c r="P54" i="15"/>
  <c r="P77" i="15" s="1"/>
  <c r="U64" i="14"/>
  <c r="U58" i="14"/>
  <c r="U59" i="14" s="1"/>
  <c r="U44" i="14"/>
  <c r="N86" i="17"/>
  <c r="N87" i="17" s="1"/>
  <c r="N89" i="17" s="1"/>
  <c r="Q59" i="19"/>
  <c r="Q60" i="19"/>
  <c r="R57" i="19" s="1"/>
  <c r="S35" i="18"/>
  <c r="R40" i="18"/>
  <c r="R78" i="18" s="1"/>
  <c r="R65" i="18"/>
  <c r="R66" i="18" s="1"/>
  <c r="S63" i="18" s="1"/>
  <c r="U35" i="15"/>
  <c r="T40" i="15"/>
  <c r="T78" i="15" s="1"/>
  <c r="R58" i="17"/>
  <c r="R59" i="17" s="1"/>
  <c r="R60" i="17" s="1"/>
  <c r="S57" i="17" s="1"/>
  <c r="R44" i="17"/>
  <c r="R64" i="17"/>
  <c r="O83" i="2"/>
  <c r="O71" i="2"/>
  <c r="O70" i="2" s="1"/>
  <c r="O72" i="2" s="1"/>
  <c r="S38" i="2"/>
  <c r="P69" i="17"/>
  <c r="O73" i="17"/>
  <c r="O79" i="17" s="1"/>
  <c r="O57" i="5"/>
  <c r="O85" i="18"/>
  <c r="O86" i="18" s="1"/>
  <c r="O87" i="18" s="1"/>
  <c r="O88" i="18"/>
  <c r="O74" i="5" s="1"/>
  <c r="O84" i="18"/>
  <c r="T65" i="15"/>
  <c r="Q51" i="12"/>
  <c r="Q51" i="10"/>
  <c r="S37" i="11"/>
  <c r="S38" i="11" s="1"/>
  <c r="P54" i="11"/>
  <c r="P77" i="11" s="1"/>
  <c r="O52" i="13"/>
  <c r="O53" i="13" s="1"/>
  <c r="O46" i="13"/>
  <c r="P43" i="19"/>
  <c r="O47" i="19"/>
  <c r="R38" i="20"/>
  <c r="R39" i="20" s="1"/>
  <c r="O58" i="5"/>
  <c r="O85" i="11"/>
  <c r="O86" i="11" s="1"/>
  <c r="O87" i="11" s="1"/>
  <c r="O84" i="11"/>
  <c r="O89" i="11" s="1"/>
  <c r="O88" i="11"/>
  <c r="O75" i="5" s="1"/>
  <c r="N86" i="20"/>
  <c r="N87" i="20" s="1"/>
  <c r="N89" i="20" s="1"/>
  <c r="N89" i="19"/>
  <c r="R66" i="13"/>
  <c r="S63" i="13" s="1"/>
  <c r="P47" i="18"/>
  <c r="P84" i="14"/>
  <c r="P88" i="14"/>
  <c r="P70" i="5" s="1"/>
  <c r="P53" i="5"/>
  <c r="P85" i="14"/>
  <c r="O45" i="2"/>
  <c r="N86" i="13"/>
  <c r="P86" i="9"/>
  <c r="P87" i="9" s="1"/>
  <c r="P89" i="9" s="1"/>
  <c r="P14" i="5" s="1"/>
  <c r="O52" i="20"/>
  <c r="O53" i="20" s="1"/>
  <c r="O46" i="20"/>
  <c r="Q66" i="17"/>
  <c r="R63" i="17" s="1"/>
  <c r="O52" i="17"/>
  <c r="O53" i="17" s="1"/>
  <c r="O46" i="17"/>
  <c r="P83" i="11"/>
  <c r="P71" i="11"/>
  <c r="P70" i="11" s="1"/>
  <c r="P72" i="11" s="1"/>
  <c r="S37" i="9"/>
  <c r="S38" i="9" s="1"/>
  <c r="P76" i="12"/>
  <c r="P80" i="12" s="1"/>
  <c r="P42" i="5"/>
  <c r="R66" i="12"/>
  <c r="S63" i="12" s="1"/>
  <c r="R65" i="12"/>
  <c r="P76" i="10"/>
  <c r="P80" i="10" s="1"/>
  <c r="P39" i="5"/>
  <c r="Q52" i="9"/>
  <c r="Q53" i="9" s="1"/>
  <c r="Q46" i="9"/>
  <c r="P46" i="11"/>
  <c r="Q43" i="15"/>
  <c r="P47" i="15"/>
  <c r="Q83" i="14"/>
  <c r="Q71" i="14"/>
  <c r="Q70" i="14" s="1"/>
  <c r="Q72" i="14" s="1"/>
  <c r="Q45" i="14"/>
  <c r="R35" i="19"/>
  <c r="Q40" i="19"/>
  <c r="Q78" i="19" s="1"/>
  <c r="Q65" i="19"/>
  <c r="R59" i="18"/>
  <c r="R60" i="18" s="1"/>
  <c r="S57" i="18" s="1"/>
  <c r="P83" i="18"/>
  <c r="P71" i="18"/>
  <c r="P70" i="18" s="1"/>
  <c r="P72" i="18" s="1"/>
  <c r="T66" i="14"/>
  <c r="U63" i="14" s="1"/>
  <c r="P53" i="18"/>
  <c r="R59" i="13"/>
  <c r="R60" i="13" s="1"/>
  <c r="S57" i="13" s="1"/>
  <c r="S60" i="15"/>
  <c r="T57" i="15" s="1"/>
  <c r="T60" i="15" s="1"/>
  <c r="U57" i="15" s="1"/>
  <c r="T60" i="14"/>
  <c r="U57" i="14" s="1"/>
  <c r="U60" i="14" s="1"/>
  <c r="V57" i="14" s="1"/>
  <c r="O87" i="15"/>
  <c r="O89" i="15" s="1"/>
  <c r="S37" i="13"/>
  <c r="M17" i="5"/>
  <c r="L19" i="5"/>
  <c r="N11" i="5"/>
  <c r="K9" i="5"/>
  <c r="M10" i="5"/>
  <c r="K20" i="5" l="1"/>
  <c r="S64" i="9"/>
  <c r="S58" i="9"/>
  <c r="S44" i="9"/>
  <c r="Q69" i="18"/>
  <c r="P73" i="18"/>
  <c r="P79" i="18" s="1"/>
  <c r="Q69" i="11"/>
  <c r="P73" i="11"/>
  <c r="P79" i="11" s="1"/>
  <c r="R69" i="14"/>
  <c r="Q73" i="14"/>
  <c r="Q79" i="14" s="1"/>
  <c r="P69" i="2"/>
  <c r="O73" i="2"/>
  <c r="O79" i="2" s="1"/>
  <c r="S35" i="20"/>
  <c r="R40" i="20"/>
  <c r="R78" i="20" s="1"/>
  <c r="S64" i="11"/>
  <c r="S58" i="11"/>
  <c r="S44" i="11"/>
  <c r="S39" i="11"/>
  <c r="S38" i="13"/>
  <c r="Q43" i="11"/>
  <c r="P47" i="11"/>
  <c r="P50" i="17"/>
  <c r="O54" i="17"/>
  <c r="O77" i="17" s="1"/>
  <c r="R66" i="17"/>
  <c r="S63" i="17" s="1"/>
  <c r="R65" i="17"/>
  <c r="O76" i="19"/>
  <c r="O33" i="5"/>
  <c r="P50" i="13"/>
  <c r="O54" i="13"/>
  <c r="O77" i="13" s="1"/>
  <c r="O89" i="18"/>
  <c r="O16" i="5" s="1"/>
  <c r="S44" i="2"/>
  <c r="S64" i="2"/>
  <c r="S58" i="2"/>
  <c r="S37" i="18"/>
  <c r="S38" i="18" s="1"/>
  <c r="S39" i="2"/>
  <c r="R65" i="10"/>
  <c r="R66" i="10" s="1"/>
  <c r="S63" i="10" s="1"/>
  <c r="S37" i="17"/>
  <c r="Q50" i="18"/>
  <c r="P54" i="18"/>
  <c r="P77" i="18" s="1"/>
  <c r="Q52" i="14"/>
  <c r="Q53" i="14" s="1"/>
  <c r="Q46" i="14"/>
  <c r="P76" i="15"/>
  <c r="P80" i="15" s="1"/>
  <c r="P35" i="5"/>
  <c r="R43" i="9"/>
  <c r="Q47" i="9"/>
  <c r="P85" i="10"/>
  <c r="P56" i="5"/>
  <c r="P84" i="10"/>
  <c r="P88" i="10"/>
  <c r="P73" i="5" s="1"/>
  <c r="S39" i="9"/>
  <c r="P43" i="20"/>
  <c r="O47" i="20"/>
  <c r="O52" i="2"/>
  <c r="O53" i="2" s="1"/>
  <c r="O46" i="2"/>
  <c r="P76" i="18"/>
  <c r="P40" i="5"/>
  <c r="P45" i="19"/>
  <c r="P52" i="19" s="1"/>
  <c r="P51" i="19"/>
  <c r="P46" i="19"/>
  <c r="Q43" i="19" s="1"/>
  <c r="Q83" i="10"/>
  <c r="Q71" i="10"/>
  <c r="Q70" i="10" s="1"/>
  <c r="Q72" i="10" s="1"/>
  <c r="U37" i="15"/>
  <c r="U38" i="15" s="1"/>
  <c r="T66" i="15"/>
  <c r="U63" i="15" s="1"/>
  <c r="N86" i="2"/>
  <c r="U66" i="14"/>
  <c r="V63" i="14" s="1"/>
  <c r="U65" i="14"/>
  <c r="Q66" i="19"/>
  <c r="R63" i="19" s="1"/>
  <c r="R37" i="19"/>
  <c r="Q51" i="15"/>
  <c r="Q45" i="15" s="1"/>
  <c r="Q52" i="15" s="1"/>
  <c r="R50" i="9"/>
  <c r="Q54" i="9"/>
  <c r="Q77" i="9" s="1"/>
  <c r="P85" i="12"/>
  <c r="P84" i="12"/>
  <c r="P59" i="5"/>
  <c r="P88" i="12"/>
  <c r="P76" i="5" s="1"/>
  <c r="P43" i="17"/>
  <c r="O47" i="17"/>
  <c r="P50" i="20"/>
  <c r="O54" i="20"/>
  <c r="O77" i="20" s="1"/>
  <c r="N87" i="13"/>
  <c r="N89" i="13" s="1"/>
  <c r="P86" i="14"/>
  <c r="P87" i="14" s="1"/>
  <c r="P89" i="14" s="1"/>
  <c r="R58" i="20"/>
  <c r="R64" i="20"/>
  <c r="R44" i="20"/>
  <c r="P43" i="13"/>
  <c r="O47" i="13"/>
  <c r="Q45" i="10"/>
  <c r="Q83" i="12"/>
  <c r="Q71" i="12"/>
  <c r="Q70" i="12" s="1"/>
  <c r="Q72" i="12" s="1"/>
  <c r="Q45" i="12"/>
  <c r="Q51" i="18"/>
  <c r="O80" i="19"/>
  <c r="S35" i="10"/>
  <c r="R40" i="10"/>
  <c r="R78" i="10" s="1"/>
  <c r="R59" i="10"/>
  <c r="R60" i="10" s="1"/>
  <c r="S57" i="10" s="1"/>
  <c r="V39" i="14"/>
  <c r="W35" i="14" s="1"/>
  <c r="V38" i="14"/>
  <c r="V37" i="14"/>
  <c r="S35" i="12"/>
  <c r="R40" i="12"/>
  <c r="R78" i="12" s="1"/>
  <c r="M12" i="5"/>
  <c r="U58" i="15" l="1"/>
  <c r="U44" i="15"/>
  <c r="U64" i="15"/>
  <c r="U65" i="15" s="1"/>
  <c r="U39" i="15"/>
  <c r="R69" i="10"/>
  <c r="Q73" i="10"/>
  <c r="Q79" i="10" s="1"/>
  <c r="R69" i="12"/>
  <c r="Q73" i="12"/>
  <c r="Q79" i="12" s="1"/>
  <c r="S44" i="18"/>
  <c r="S64" i="18"/>
  <c r="S58" i="18"/>
  <c r="Q52" i="10"/>
  <c r="Q53" i="10" s="1"/>
  <c r="Q46" i="10"/>
  <c r="P86" i="12"/>
  <c r="P87" i="12"/>
  <c r="P89" i="12" s="1"/>
  <c r="P47" i="19"/>
  <c r="O76" i="20"/>
  <c r="O80" i="20" s="1"/>
  <c r="O43" i="5"/>
  <c r="P86" i="10"/>
  <c r="P87" i="10" s="1"/>
  <c r="R50" i="14"/>
  <c r="Q54" i="14"/>
  <c r="Q77" i="14" s="1"/>
  <c r="Q45" i="18"/>
  <c r="S38" i="17"/>
  <c r="T35" i="2"/>
  <c r="S40" i="2"/>
  <c r="S78" i="2" s="1"/>
  <c r="S39" i="18"/>
  <c r="Q51" i="11"/>
  <c r="S58" i="13"/>
  <c r="S44" i="13"/>
  <c r="S64" i="13"/>
  <c r="T35" i="11"/>
  <c r="S40" i="11"/>
  <c r="S78" i="11" s="1"/>
  <c r="S65" i="11"/>
  <c r="S66" i="11" s="1"/>
  <c r="T63" i="11" s="1"/>
  <c r="S65" i="9"/>
  <c r="S66" i="9" s="1"/>
  <c r="T63" i="9" s="1"/>
  <c r="W37" i="14"/>
  <c r="W38" i="14" s="1"/>
  <c r="S37" i="12"/>
  <c r="S39" i="12" s="1"/>
  <c r="S38" i="12"/>
  <c r="V40" i="14"/>
  <c r="V78" i="14" s="1"/>
  <c r="S37" i="10"/>
  <c r="S38" i="10" s="1"/>
  <c r="Q83" i="18"/>
  <c r="Q71" i="18"/>
  <c r="Q70" i="18" s="1"/>
  <c r="Q72" i="18" s="1"/>
  <c r="O76" i="13"/>
  <c r="O80" i="13" s="1"/>
  <c r="O37" i="5"/>
  <c r="R65" i="20"/>
  <c r="R66" i="20" s="1"/>
  <c r="S63" i="20" s="1"/>
  <c r="O76" i="17"/>
  <c r="O80" i="17" s="1"/>
  <c r="O34" i="5"/>
  <c r="Q83" i="15"/>
  <c r="Q71" i="15"/>
  <c r="Q70" i="15" s="1"/>
  <c r="Q72" i="15" s="1"/>
  <c r="Q46" i="15"/>
  <c r="N87" i="2"/>
  <c r="N89" i="2" s="1"/>
  <c r="Q53" i="15"/>
  <c r="P83" i="19"/>
  <c r="P71" i="19"/>
  <c r="P70" i="19" s="1"/>
  <c r="P72" i="19" s="1"/>
  <c r="P53" i="19"/>
  <c r="Q51" i="19" s="1"/>
  <c r="P43" i="2"/>
  <c r="O47" i="2"/>
  <c r="P51" i="20"/>
  <c r="Q76" i="9"/>
  <c r="Q80" i="9" s="1"/>
  <c r="Q38" i="5"/>
  <c r="P88" i="15"/>
  <c r="P69" i="5" s="1"/>
  <c r="P85" i="15"/>
  <c r="P52" i="5"/>
  <c r="P84" i="15"/>
  <c r="S59" i="2"/>
  <c r="S60" i="2" s="1"/>
  <c r="T57" i="2" s="1"/>
  <c r="V58" i="14"/>
  <c r="V44" i="14"/>
  <c r="V64" i="14"/>
  <c r="V66" i="14" s="1"/>
  <c r="W63" i="14" s="1"/>
  <c r="O84" i="19"/>
  <c r="O88" i="19"/>
  <c r="O67" i="5" s="1"/>
  <c r="O85" i="19"/>
  <c r="O50" i="5"/>
  <c r="Q52" i="12"/>
  <c r="Q53" i="12" s="1"/>
  <c r="Q46" i="12"/>
  <c r="P51" i="13"/>
  <c r="P45" i="13" s="1"/>
  <c r="R59" i="20"/>
  <c r="R60" i="20"/>
  <c r="S57" i="20" s="1"/>
  <c r="P51" i="17"/>
  <c r="R38" i="19"/>
  <c r="V65" i="14"/>
  <c r="P50" i="2"/>
  <c r="O54" i="2"/>
  <c r="O77" i="2" s="1"/>
  <c r="T35" i="9"/>
  <c r="S40" i="9"/>
  <c r="S78" i="9" s="1"/>
  <c r="R51" i="9"/>
  <c r="R43" i="14"/>
  <c r="Q47" i="14"/>
  <c r="S65" i="2"/>
  <c r="S66" i="2" s="1"/>
  <c r="T63" i="2" s="1"/>
  <c r="P76" i="11"/>
  <c r="P80" i="11" s="1"/>
  <c r="P41" i="5"/>
  <c r="S59" i="11"/>
  <c r="S37" i="20"/>
  <c r="S38" i="20" s="1"/>
  <c r="S39" i="13"/>
  <c r="P80" i="18"/>
  <c r="S59" i="9"/>
  <c r="S60" i="9" s="1"/>
  <c r="T57" i="9" s="1"/>
  <c r="K26" i="5"/>
  <c r="K21" i="5"/>
  <c r="K29" i="5"/>
  <c r="N18" i="5"/>
  <c r="U66" i="15" l="1"/>
  <c r="V63" i="15" s="1"/>
  <c r="S64" i="20"/>
  <c r="S58" i="20"/>
  <c r="S59" i="20" s="1"/>
  <c r="S44" i="20"/>
  <c r="P85" i="11"/>
  <c r="P58" i="5"/>
  <c r="P88" i="11"/>
  <c r="P75" i="5" s="1"/>
  <c r="P84" i="11"/>
  <c r="P52" i="13"/>
  <c r="P53" i="13" s="1"/>
  <c r="P46" i="13"/>
  <c r="Q69" i="19"/>
  <c r="P73" i="19"/>
  <c r="P79" i="19" s="1"/>
  <c r="S65" i="20"/>
  <c r="R69" i="18"/>
  <c r="Q73" i="18"/>
  <c r="Q79" i="18" s="1"/>
  <c r="W64" i="14"/>
  <c r="W66" i="14" s="1"/>
  <c r="W58" i="14"/>
  <c r="W59" i="14" s="1"/>
  <c r="W44" i="14"/>
  <c r="W65" i="14"/>
  <c r="Q83" i="19"/>
  <c r="Q71" i="19"/>
  <c r="Q70" i="19" s="1"/>
  <c r="S44" i="10"/>
  <c r="S58" i="10"/>
  <c r="S64" i="10"/>
  <c r="T35" i="12"/>
  <c r="S40" i="12"/>
  <c r="S78" i="12" s="1"/>
  <c r="K28" i="5"/>
  <c r="K27" i="5"/>
  <c r="T35" i="13"/>
  <c r="S40" i="13"/>
  <c r="S78" i="13" s="1"/>
  <c r="S39" i="20"/>
  <c r="R83" i="9"/>
  <c r="R71" i="9"/>
  <c r="R70" i="9" s="1"/>
  <c r="R72" i="9" s="1"/>
  <c r="S60" i="20"/>
  <c r="T57" i="20" s="1"/>
  <c r="O32" i="5"/>
  <c r="O44" i="5" s="1"/>
  <c r="O45" i="5" s="1"/>
  <c r="O76" i="2"/>
  <c r="O80" i="2" s="1"/>
  <c r="R50" i="15"/>
  <c r="Q54" i="15"/>
  <c r="Q77" i="15" s="1"/>
  <c r="R69" i="15"/>
  <c r="Q73" i="15"/>
  <c r="Q79" i="15" s="1"/>
  <c r="S39" i="10"/>
  <c r="W39" i="14"/>
  <c r="W40" i="14" s="1"/>
  <c r="W78" i="14" s="1"/>
  <c r="Q52" i="18"/>
  <c r="Q53" i="18" s="1"/>
  <c r="Q46" i="18"/>
  <c r="P76" i="19"/>
  <c r="P33" i="5"/>
  <c r="S59" i="18"/>
  <c r="V35" i="15"/>
  <c r="U40" i="15"/>
  <c r="U78" i="15" s="1"/>
  <c r="U59" i="15"/>
  <c r="R51" i="14"/>
  <c r="S60" i="11"/>
  <c r="T57" i="11" s="1"/>
  <c r="Q76" i="14"/>
  <c r="Q80" i="14" s="1"/>
  <c r="Q36" i="5"/>
  <c r="R45" i="9"/>
  <c r="R58" i="19"/>
  <c r="R44" i="19"/>
  <c r="R64" i="19"/>
  <c r="R43" i="12"/>
  <c r="Q47" i="12"/>
  <c r="O87" i="19"/>
  <c r="O89" i="19" s="1"/>
  <c r="O86" i="19"/>
  <c r="V59" i="14"/>
  <c r="V60" i="14"/>
  <c r="W57" i="14" s="1"/>
  <c r="W60" i="14" s="1"/>
  <c r="P86" i="15"/>
  <c r="P87" i="15" s="1"/>
  <c r="P89" i="15" s="1"/>
  <c r="Q84" i="9"/>
  <c r="Q55" i="5"/>
  <c r="Q88" i="9"/>
  <c r="Q72" i="5" s="1"/>
  <c r="Q85" i="9"/>
  <c r="P51" i="2"/>
  <c r="O84" i="17"/>
  <c r="O88" i="17"/>
  <c r="O68" i="5" s="1"/>
  <c r="O51" i="5"/>
  <c r="O85" i="17"/>
  <c r="T37" i="11"/>
  <c r="T38" i="11"/>
  <c r="S59" i="13"/>
  <c r="T37" i="2"/>
  <c r="T38" i="2" s="1"/>
  <c r="R43" i="10"/>
  <c r="Q47" i="10"/>
  <c r="S65" i="18"/>
  <c r="R39" i="19"/>
  <c r="P84" i="18"/>
  <c r="P57" i="5"/>
  <c r="P85" i="18"/>
  <c r="P88" i="18"/>
  <c r="P74" i="5" s="1"/>
  <c r="T37" i="9"/>
  <c r="P83" i="17"/>
  <c r="P71" i="17"/>
  <c r="P70" i="17" s="1"/>
  <c r="P72" i="17" s="1"/>
  <c r="P45" i="17"/>
  <c r="P83" i="13"/>
  <c r="P71" i="13"/>
  <c r="P70" i="13" s="1"/>
  <c r="P72" i="13" s="1"/>
  <c r="R50" i="12"/>
  <c r="Q54" i="12"/>
  <c r="Q77" i="12" s="1"/>
  <c r="P83" i="20"/>
  <c r="P71" i="20"/>
  <c r="P70" i="20" s="1"/>
  <c r="P72" i="20" s="1"/>
  <c r="P45" i="20"/>
  <c r="Q50" i="19"/>
  <c r="P54" i="19"/>
  <c r="P77" i="19" s="1"/>
  <c r="R43" i="15"/>
  <c r="Q47" i="15"/>
  <c r="O85" i="13"/>
  <c r="O86" i="13" s="1"/>
  <c r="O87" i="13" s="1"/>
  <c r="O84" i="13"/>
  <c r="O54" i="5"/>
  <c r="O88" i="13"/>
  <c r="O71" i="5" s="1"/>
  <c r="S64" i="12"/>
  <c r="S58" i="12"/>
  <c r="S44" i="12"/>
  <c r="S65" i="13"/>
  <c r="Q83" i="11"/>
  <c r="Q71" i="11"/>
  <c r="Q70" i="11" s="1"/>
  <c r="Q72" i="11" s="1"/>
  <c r="Q45" i="11"/>
  <c r="T35" i="18"/>
  <c r="S40" i="18"/>
  <c r="S78" i="18" s="1"/>
  <c r="S64" i="17"/>
  <c r="S58" i="17"/>
  <c r="S44" i="17"/>
  <c r="P89" i="10"/>
  <c r="P15" i="5" s="1"/>
  <c r="O85" i="20"/>
  <c r="O84" i="20"/>
  <c r="O60" i="5"/>
  <c r="O88" i="20"/>
  <c r="O77" i="5" s="1"/>
  <c r="R50" i="10"/>
  <c r="Q54" i="10"/>
  <c r="Q77" i="10" s="1"/>
  <c r="S39" i="17"/>
  <c r="L9" i="5"/>
  <c r="O11" i="5"/>
  <c r="L20" i="5" l="1"/>
  <c r="R69" i="11"/>
  <c r="Q73" i="11"/>
  <c r="Q79" i="11" s="1"/>
  <c r="Q69" i="20"/>
  <c r="P73" i="20"/>
  <c r="P79" i="20" s="1"/>
  <c r="Q69" i="13"/>
  <c r="P73" i="13"/>
  <c r="P79" i="13" s="1"/>
  <c r="T64" i="2"/>
  <c r="T58" i="2"/>
  <c r="T44" i="2"/>
  <c r="S69" i="9"/>
  <c r="R73" i="9"/>
  <c r="R79" i="9" s="1"/>
  <c r="T35" i="17"/>
  <c r="S40" i="17"/>
  <c r="S78" i="17" s="1"/>
  <c r="O89" i="13"/>
  <c r="Q45" i="19"/>
  <c r="T38" i="9"/>
  <c r="Q76" i="10"/>
  <c r="Q80" i="10" s="1"/>
  <c r="Q39" i="5"/>
  <c r="O86" i="17"/>
  <c r="O87" i="17" s="1"/>
  <c r="O89" i="17" s="1"/>
  <c r="Q86" i="9"/>
  <c r="Q87" i="9" s="1"/>
  <c r="Q89" i="9" s="1"/>
  <c r="Q14" i="5" s="1"/>
  <c r="R59" i="19"/>
  <c r="R60" i="19" s="1"/>
  <c r="S57" i="19" s="1"/>
  <c r="R52" i="9"/>
  <c r="R53" i="9" s="1"/>
  <c r="R46" i="9"/>
  <c r="R83" i="14"/>
  <c r="R71" i="14"/>
  <c r="R70" i="14" s="1"/>
  <c r="R72" i="14" s="1"/>
  <c r="R43" i="18"/>
  <c r="Q47" i="18"/>
  <c r="T35" i="10"/>
  <c r="S40" i="10"/>
  <c r="S78" i="10" s="1"/>
  <c r="T38" i="12"/>
  <c r="T37" i="12"/>
  <c r="T39" i="12" s="1"/>
  <c r="Q72" i="19"/>
  <c r="R69" i="19" s="1"/>
  <c r="P52" i="20"/>
  <c r="P53" i="20" s="1"/>
  <c r="P46" i="20"/>
  <c r="Q69" i="17"/>
  <c r="P73" i="17"/>
  <c r="P79" i="17" s="1"/>
  <c r="R51" i="10"/>
  <c r="R45" i="10" s="1"/>
  <c r="T39" i="2"/>
  <c r="T44" i="11"/>
  <c r="T64" i="11"/>
  <c r="T58" i="11"/>
  <c r="T59" i="11" s="1"/>
  <c r="T39" i="11"/>
  <c r="Q76" i="12"/>
  <c r="Q80" i="12" s="1"/>
  <c r="Q42" i="5"/>
  <c r="R65" i="19"/>
  <c r="R66" i="19"/>
  <c r="S63" i="19" s="1"/>
  <c r="R45" i="14"/>
  <c r="R50" i="18"/>
  <c r="Q54" i="18"/>
  <c r="Q77" i="18" s="1"/>
  <c r="T37" i="13"/>
  <c r="S65" i="10"/>
  <c r="S66" i="20"/>
  <c r="T63" i="20" s="1"/>
  <c r="Q43" i="13"/>
  <c r="P47" i="13"/>
  <c r="P86" i="11"/>
  <c r="P87" i="11" s="1"/>
  <c r="P89" i="11" s="1"/>
  <c r="O86" i="20"/>
  <c r="O87" i="20" s="1"/>
  <c r="O89" i="20" s="1"/>
  <c r="S59" i="17"/>
  <c r="S60" i="17" s="1"/>
  <c r="T57" i="17" s="1"/>
  <c r="T37" i="18"/>
  <c r="T38" i="18" s="1"/>
  <c r="S59" i="12"/>
  <c r="S60" i="12"/>
  <c r="T57" i="12" s="1"/>
  <c r="Q76" i="15"/>
  <c r="Q80" i="15" s="1"/>
  <c r="Q35" i="5"/>
  <c r="S65" i="17"/>
  <c r="Q52" i="11"/>
  <c r="Q53" i="11" s="1"/>
  <c r="Q46" i="11"/>
  <c r="S66" i="13"/>
  <c r="T63" i="13" s="1"/>
  <c r="S65" i="12"/>
  <c r="R51" i="15"/>
  <c r="P52" i="17"/>
  <c r="P53" i="17" s="1"/>
  <c r="P46" i="17"/>
  <c r="P86" i="18"/>
  <c r="P87" i="18" s="1"/>
  <c r="P89" i="18" s="1"/>
  <c r="P16" i="5" s="1"/>
  <c r="S35" i="19"/>
  <c r="R40" i="19"/>
  <c r="R78" i="19" s="1"/>
  <c r="S66" i="18"/>
  <c r="T63" i="18" s="1"/>
  <c r="S60" i="13"/>
  <c r="T57" i="13" s="1"/>
  <c r="P83" i="2"/>
  <c r="P71" i="2"/>
  <c r="P70" i="2" s="1"/>
  <c r="P72" i="2" s="1"/>
  <c r="P45" i="2"/>
  <c r="R51" i="12"/>
  <c r="Q53" i="5"/>
  <c r="Q85" i="14"/>
  <c r="Q84" i="14"/>
  <c r="Q88" i="14"/>
  <c r="Q70" i="5" s="1"/>
  <c r="U60" i="15"/>
  <c r="V57" i="15" s="1"/>
  <c r="V37" i="15"/>
  <c r="S60" i="18"/>
  <c r="T57" i="18" s="1"/>
  <c r="O49" i="5"/>
  <c r="O61" i="5" s="1"/>
  <c r="O62" i="5" s="1"/>
  <c r="O85" i="2"/>
  <c r="O84" i="2"/>
  <c r="O88" i="2"/>
  <c r="O66" i="5" s="1"/>
  <c r="O78" i="5" s="1"/>
  <c r="O79" i="5" s="1"/>
  <c r="T35" i="20"/>
  <c r="S40" i="20"/>
  <c r="S78" i="20" s="1"/>
  <c r="S59" i="10"/>
  <c r="S60" i="10" s="1"/>
  <c r="T57" i="10" s="1"/>
  <c r="P80" i="19"/>
  <c r="Q50" i="13"/>
  <c r="P54" i="13"/>
  <c r="P77" i="13" s="1"/>
  <c r="M19" i="5"/>
  <c r="N10" i="5"/>
  <c r="N17" i="5"/>
  <c r="Q69" i="2" l="1"/>
  <c r="P73" i="2"/>
  <c r="P79" i="2" s="1"/>
  <c r="R52" i="10"/>
  <c r="R53" i="10" s="1"/>
  <c r="R46" i="10"/>
  <c r="U35" i="12"/>
  <c r="T40" i="12"/>
  <c r="T78" i="12" s="1"/>
  <c r="S69" i="14"/>
  <c r="R73" i="14"/>
  <c r="R79" i="14" s="1"/>
  <c r="Q88" i="15"/>
  <c r="Q69" i="5" s="1"/>
  <c r="Q52" i="5"/>
  <c r="Q85" i="15"/>
  <c r="Q86" i="15" s="1"/>
  <c r="Q87" i="15" s="1"/>
  <c r="Q84" i="15"/>
  <c r="T37" i="20"/>
  <c r="T38" i="20" s="1"/>
  <c r="Q86" i="14"/>
  <c r="P85" i="19"/>
  <c r="P88" i="19"/>
  <c r="P67" i="5" s="1"/>
  <c r="P50" i="5"/>
  <c r="P84" i="19"/>
  <c r="V38" i="15"/>
  <c r="V39" i="15" s="1"/>
  <c r="S37" i="19"/>
  <c r="R83" i="15"/>
  <c r="R71" i="15"/>
  <c r="R70" i="15" s="1"/>
  <c r="R72" i="15" s="1"/>
  <c r="T64" i="18"/>
  <c r="T58" i="18"/>
  <c r="T59" i="18" s="1"/>
  <c r="T44" i="18"/>
  <c r="P76" i="13"/>
  <c r="P80" i="13" s="1"/>
  <c r="P37" i="5"/>
  <c r="T38" i="13"/>
  <c r="T39" i="13" s="1"/>
  <c r="Q85" i="12"/>
  <c r="Q86" i="12" s="1"/>
  <c r="Q87" i="12" s="1"/>
  <c r="Q84" i="12"/>
  <c r="Q89" i="12" s="1"/>
  <c r="Q59" i="5"/>
  <c r="Q88" i="12"/>
  <c r="Q76" i="5" s="1"/>
  <c r="U35" i="2"/>
  <c r="T40" i="2"/>
  <c r="T78" i="2" s="1"/>
  <c r="Q76" i="18"/>
  <c r="Q80" i="18" s="1"/>
  <c r="Q40" i="5"/>
  <c r="T58" i="9"/>
  <c r="T64" i="9"/>
  <c r="T44" i="9"/>
  <c r="T65" i="2"/>
  <c r="T66" i="2" s="1"/>
  <c r="U63" i="2" s="1"/>
  <c r="T65" i="18"/>
  <c r="Q43" i="17"/>
  <c r="P47" i="17"/>
  <c r="R43" i="11"/>
  <c r="Q47" i="11"/>
  <c r="S66" i="17"/>
  <c r="T63" i="17" s="1"/>
  <c r="T39" i="18"/>
  <c r="Q51" i="13"/>
  <c r="R52" i="14"/>
  <c r="R53" i="14" s="1"/>
  <c r="R46" i="14"/>
  <c r="T65" i="11"/>
  <c r="R83" i="10"/>
  <c r="R71" i="10"/>
  <c r="R70" i="10" s="1"/>
  <c r="R72" i="10" s="1"/>
  <c r="Q43" i="20"/>
  <c r="P47" i="20"/>
  <c r="T58" i="12"/>
  <c r="T59" i="12" s="1"/>
  <c r="T64" i="12"/>
  <c r="T44" i="12"/>
  <c r="R51" i="18"/>
  <c r="S43" i="9"/>
  <c r="R47" i="9"/>
  <c r="Q52" i="19"/>
  <c r="Q53" i="19" s="1"/>
  <c r="Q46" i="19"/>
  <c r="T37" i="17"/>
  <c r="T38" i="17" s="1"/>
  <c r="T39" i="9"/>
  <c r="O86" i="2"/>
  <c r="O87" i="2" s="1"/>
  <c r="O89" i="2" s="1"/>
  <c r="R83" i="12"/>
  <c r="R71" i="12"/>
  <c r="R70" i="12"/>
  <c r="R72" i="12" s="1"/>
  <c r="R45" i="12"/>
  <c r="P52" i="2"/>
  <c r="P53" i="2" s="1"/>
  <c r="P46" i="2"/>
  <c r="Q50" i="17"/>
  <c r="P54" i="17"/>
  <c r="P77" i="17" s="1"/>
  <c r="R45" i="15"/>
  <c r="S66" i="12"/>
  <c r="T63" i="12" s="1"/>
  <c r="R50" i="11"/>
  <c r="Q54" i="11"/>
  <c r="Q77" i="11" s="1"/>
  <c r="S66" i="10"/>
  <c r="T63" i="10" s="1"/>
  <c r="T60" i="11"/>
  <c r="U57" i="11" s="1"/>
  <c r="U35" i="11"/>
  <c r="T40" i="11"/>
  <c r="T78" i="11" s="1"/>
  <c r="Q50" i="20"/>
  <c r="P54" i="20"/>
  <c r="P77" i="20" s="1"/>
  <c r="Q73" i="19"/>
  <c r="Q79" i="19" s="1"/>
  <c r="T37" i="10"/>
  <c r="S50" i="9"/>
  <c r="R54" i="9"/>
  <c r="R77" i="9" s="1"/>
  <c r="Q56" i="5"/>
  <c r="Q85" i="10"/>
  <c r="Q88" i="10"/>
  <c r="Q73" i="5" s="1"/>
  <c r="Q84" i="10"/>
  <c r="T59" i="2"/>
  <c r="T60" i="2" s="1"/>
  <c r="U57" i="2" s="1"/>
  <c r="L26" i="5"/>
  <c r="L29" i="5"/>
  <c r="L21" i="5"/>
  <c r="O18" i="5"/>
  <c r="T38" i="10" l="1"/>
  <c r="T39" i="10" s="1"/>
  <c r="T64" i="20"/>
  <c r="T58" i="20"/>
  <c r="T44" i="20"/>
  <c r="T39" i="20"/>
  <c r="T64" i="17"/>
  <c r="T58" i="17"/>
  <c r="T44" i="17"/>
  <c r="P54" i="5"/>
  <c r="P85" i="13"/>
  <c r="P84" i="13"/>
  <c r="P88" i="13"/>
  <c r="P71" i="5" s="1"/>
  <c r="T39" i="17"/>
  <c r="R45" i="18"/>
  <c r="S69" i="10"/>
  <c r="R73" i="10"/>
  <c r="R79" i="10" s="1"/>
  <c r="T65" i="17"/>
  <c r="Q83" i="13"/>
  <c r="Q71" i="13"/>
  <c r="Q70" i="13" s="1"/>
  <c r="Q72" i="13" s="1"/>
  <c r="P76" i="17"/>
  <c r="P80" i="17" s="1"/>
  <c r="P34" i="5"/>
  <c r="Q88" i="18"/>
  <c r="Q74" i="5" s="1"/>
  <c r="Q85" i="18"/>
  <c r="Q57" i="5"/>
  <c r="Q84" i="18"/>
  <c r="T64" i="13"/>
  <c r="T58" i="13"/>
  <c r="T44" i="13"/>
  <c r="S38" i="19"/>
  <c r="Q89" i="14"/>
  <c r="W35" i="15"/>
  <c r="V40" i="15"/>
  <c r="V78" i="15" s="1"/>
  <c r="S50" i="10"/>
  <c r="R54" i="10"/>
  <c r="R77" i="10" s="1"/>
  <c r="Q50" i="2"/>
  <c r="P54" i="2"/>
  <c r="P77" i="2" s="1"/>
  <c r="S69" i="12"/>
  <c r="R73" i="12"/>
  <c r="R79" i="12" s="1"/>
  <c r="U37" i="2"/>
  <c r="T65" i="12"/>
  <c r="R52" i="12"/>
  <c r="R53" i="12" s="1"/>
  <c r="R46" i="12"/>
  <c r="R43" i="19"/>
  <c r="Q47" i="19"/>
  <c r="R76" i="9"/>
  <c r="R80" i="9" s="1"/>
  <c r="R38" i="5"/>
  <c r="P76" i="20"/>
  <c r="P80" i="20" s="1"/>
  <c r="P43" i="5"/>
  <c r="U35" i="18"/>
  <c r="T40" i="18"/>
  <c r="T78" i="18" s="1"/>
  <c r="Q76" i="11"/>
  <c r="Q80" i="11" s="1"/>
  <c r="Q41" i="5"/>
  <c r="T66" i="18"/>
  <c r="U63" i="18" s="1"/>
  <c r="T65" i="9"/>
  <c r="T66" i="9" s="1"/>
  <c r="U63" i="9" s="1"/>
  <c r="L27" i="5"/>
  <c r="L28" i="5"/>
  <c r="Q86" i="10"/>
  <c r="Q87" i="10" s="1"/>
  <c r="Q89" i="10" s="1"/>
  <c r="Q15" i="5" s="1"/>
  <c r="U39" i="11"/>
  <c r="V35" i="11" s="1"/>
  <c r="U37" i="11"/>
  <c r="U38" i="11"/>
  <c r="R52" i="15"/>
  <c r="R53" i="15" s="1"/>
  <c r="R46" i="15"/>
  <c r="Q43" i="2"/>
  <c r="P47" i="2"/>
  <c r="T60" i="18"/>
  <c r="U57" i="18" s="1"/>
  <c r="U35" i="9"/>
  <c r="T40" i="9"/>
  <c r="T78" i="9" s="1"/>
  <c r="R50" i="19"/>
  <c r="Q54" i="19"/>
  <c r="Q77" i="19" s="1"/>
  <c r="S51" i="9"/>
  <c r="S45" i="9" s="1"/>
  <c r="S52" i="9" s="1"/>
  <c r="Q51" i="20"/>
  <c r="T66" i="11"/>
  <c r="U63" i="11" s="1"/>
  <c r="S43" i="14"/>
  <c r="R47" i="14"/>
  <c r="Q45" i="13"/>
  <c r="R45" i="11"/>
  <c r="R52" i="11" s="1"/>
  <c r="R51" i="11"/>
  <c r="Q51" i="17"/>
  <c r="T59" i="9"/>
  <c r="T60" i="9" s="1"/>
  <c r="U57" i="9" s="1"/>
  <c r="T60" i="12"/>
  <c r="U57" i="12" s="1"/>
  <c r="V64" i="15"/>
  <c r="V44" i="15"/>
  <c r="V58" i="15"/>
  <c r="Q87" i="14"/>
  <c r="Q89" i="15"/>
  <c r="U37" i="12"/>
  <c r="U38" i="12" s="1"/>
  <c r="R83" i="18"/>
  <c r="R71" i="18"/>
  <c r="R70" i="18" s="1"/>
  <c r="R72" i="18" s="1"/>
  <c r="S50" i="14"/>
  <c r="R54" i="14"/>
  <c r="R77" i="14" s="1"/>
  <c r="S69" i="15"/>
  <c r="R73" i="15"/>
  <c r="R79" i="15" s="1"/>
  <c r="P87" i="19"/>
  <c r="P86" i="19"/>
  <c r="U35" i="13"/>
  <c r="T40" i="13"/>
  <c r="T78" i="13" s="1"/>
  <c r="S43" i="10"/>
  <c r="R47" i="10"/>
  <c r="P11" i="5"/>
  <c r="N12" i="5"/>
  <c r="T64" i="10" l="1"/>
  <c r="T65" i="10" s="1"/>
  <c r="T40" i="10"/>
  <c r="T78" i="10" s="1"/>
  <c r="U35" i="10"/>
  <c r="T58" i="10"/>
  <c r="T44" i="10"/>
  <c r="U38" i="2"/>
  <c r="U39" i="2" s="1"/>
  <c r="U44" i="12"/>
  <c r="U64" i="12"/>
  <c r="U58" i="12"/>
  <c r="U59" i="12" s="1"/>
  <c r="S69" i="18"/>
  <c r="R73" i="18"/>
  <c r="R79" i="18" s="1"/>
  <c r="S51" i="10"/>
  <c r="S45" i="10" s="1"/>
  <c r="S52" i="10" s="1"/>
  <c r="V59" i="15"/>
  <c r="V60" i="15" s="1"/>
  <c r="W57" i="15" s="1"/>
  <c r="U60" i="12"/>
  <c r="V57" i="12" s="1"/>
  <c r="Q83" i="17"/>
  <c r="Q71" i="17"/>
  <c r="Q70" i="17"/>
  <c r="Q72" i="17" s="1"/>
  <c r="R76" i="14"/>
  <c r="R80" i="14" s="1"/>
  <c r="R36" i="5"/>
  <c r="Q83" i="20"/>
  <c r="Q71" i="20"/>
  <c r="Q70" i="20" s="1"/>
  <c r="Q72" i="20" s="1"/>
  <c r="S43" i="15"/>
  <c r="R47" i="15"/>
  <c r="V37" i="11"/>
  <c r="Q58" i="5"/>
  <c r="Q84" i="11"/>
  <c r="Q85" i="11"/>
  <c r="Q88" i="11"/>
  <c r="Q75" i="5" s="1"/>
  <c r="R45" i="19"/>
  <c r="R52" i="19" s="1"/>
  <c r="R53" i="19" s="1"/>
  <c r="R51" i="19"/>
  <c r="T59" i="10"/>
  <c r="T60" i="10" s="1"/>
  <c r="U57" i="10" s="1"/>
  <c r="T59" i="13"/>
  <c r="T60" i="13" s="1"/>
  <c r="U57" i="13" s="1"/>
  <c r="R69" i="13"/>
  <c r="Q73" i="13"/>
  <c r="Q79" i="13" s="1"/>
  <c r="U37" i="13"/>
  <c r="U39" i="12"/>
  <c r="R83" i="11"/>
  <c r="R70" i="11"/>
  <c r="R72" i="11" s="1"/>
  <c r="R71" i="11"/>
  <c r="S45" i="14"/>
  <c r="S52" i="14" s="1"/>
  <c r="S51" i="14"/>
  <c r="S53" i="14" s="1"/>
  <c r="Q45" i="20"/>
  <c r="S83" i="9"/>
  <c r="S71" i="9"/>
  <c r="S70" i="9" s="1"/>
  <c r="S72" i="9" s="1"/>
  <c r="S46" i="9"/>
  <c r="P32" i="5"/>
  <c r="P44" i="5" s="1"/>
  <c r="P45" i="5" s="1"/>
  <c r="P76" i="2"/>
  <c r="P80" i="2" s="1"/>
  <c r="S50" i="15"/>
  <c r="R54" i="15"/>
  <c r="R77" i="15" s="1"/>
  <c r="U44" i="11"/>
  <c r="U64" i="11"/>
  <c r="U58" i="11"/>
  <c r="U40" i="11"/>
  <c r="U78" i="11" s="1"/>
  <c r="R85" i="9"/>
  <c r="R88" i="9"/>
  <c r="R72" i="5" s="1"/>
  <c r="R84" i="9"/>
  <c r="R55" i="5"/>
  <c r="S43" i="12"/>
  <c r="R47" i="12"/>
  <c r="T66" i="12"/>
  <c r="U63" i="12" s="1"/>
  <c r="S44" i="19"/>
  <c r="S64" i="19"/>
  <c r="S58" i="19"/>
  <c r="T65" i="13"/>
  <c r="T66" i="13" s="1"/>
  <c r="U63" i="13" s="1"/>
  <c r="P51" i="5"/>
  <c r="P84" i="17"/>
  <c r="P88" i="17"/>
  <c r="P68" i="5" s="1"/>
  <c r="P85" i="17"/>
  <c r="R76" i="10"/>
  <c r="R80" i="10" s="1"/>
  <c r="R39" i="5"/>
  <c r="P89" i="19"/>
  <c r="R53" i="11"/>
  <c r="V65" i="15"/>
  <c r="V66" i="15" s="1"/>
  <c r="W63" i="15" s="1"/>
  <c r="R46" i="11"/>
  <c r="Q52" i="13"/>
  <c r="Q53" i="13" s="1"/>
  <c r="Q46" i="13"/>
  <c r="U65" i="11"/>
  <c r="U66" i="11" s="1"/>
  <c r="V63" i="11" s="1"/>
  <c r="U37" i="9"/>
  <c r="U38" i="9" s="1"/>
  <c r="Q51" i="2"/>
  <c r="Q45" i="2" s="1"/>
  <c r="Q52" i="2" s="1"/>
  <c r="Q53" i="2" s="1"/>
  <c r="S53" i="9"/>
  <c r="U37" i="18"/>
  <c r="P84" i="20"/>
  <c r="P60" i="5"/>
  <c r="P85" i="20"/>
  <c r="P86" i="20" s="1"/>
  <c r="P87" i="20" s="1"/>
  <c r="P88" i="20"/>
  <c r="P77" i="5" s="1"/>
  <c r="Q76" i="19"/>
  <c r="Q80" i="19" s="1"/>
  <c r="Q33" i="5"/>
  <c r="S50" i="12"/>
  <c r="R54" i="12"/>
  <c r="R77" i="12" s="1"/>
  <c r="W37" i="15"/>
  <c r="T66" i="17"/>
  <c r="U63" i="17" s="1"/>
  <c r="R52" i="18"/>
  <c r="R53" i="18" s="1"/>
  <c r="R46" i="18"/>
  <c r="S39" i="19"/>
  <c r="T59" i="20"/>
  <c r="T60" i="20"/>
  <c r="U57" i="20" s="1"/>
  <c r="U35" i="17"/>
  <c r="T40" i="17"/>
  <c r="T78" i="17" s="1"/>
  <c r="U35" i="20"/>
  <c r="T40" i="20"/>
  <c r="T78" i="20" s="1"/>
  <c r="T65" i="20"/>
  <c r="U37" i="10"/>
  <c r="Q45" i="17"/>
  <c r="Q86" i="18"/>
  <c r="Q87" i="18" s="1"/>
  <c r="Q89" i="18" s="1"/>
  <c r="Q16" i="5" s="1"/>
  <c r="P86" i="13"/>
  <c r="P87" i="13" s="1"/>
  <c r="P89" i="13" s="1"/>
  <c r="T59" i="17"/>
  <c r="T60" i="17" s="1"/>
  <c r="U57" i="17" s="1"/>
  <c r="M9" i="5"/>
  <c r="M20" i="5" l="1"/>
  <c r="T66" i="10"/>
  <c r="U63" i="10" s="1"/>
  <c r="U44" i="2"/>
  <c r="U38" i="18"/>
  <c r="U39" i="18" s="1"/>
  <c r="S53" i="10"/>
  <c r="T50" i="10" s="1"/>
  <c r="W38" i="15"/>
  <c r="W39" i="15" s="1"/>
  <c r="W40" i="15" s="1"/>
  <c r="W78" i="15" s="1"/>
  <c r="U38" i="13"/>
  <c r="U39" i="13" s="1"/>
  <c r="U64" i="2"/>
  <c r="R50" i="2"/>
  <c r="Q54" i="2"/>
  <c r="Q77" i="2" s="1"/>
  <c r="U40" i="2"/>
  <c r="U78" i="2" s="1"/>
  <c r="V35" i="2"/>
  <c r="U58" i="2"/>
  <c r="U44" i="9"/>
  <c r="U64" i="9"/>
  <c r="U58" i="9"/>
  <c r="S50" i="19"/>
  <c r="R54" i="19"/>
  <c r="R77" i="19" s="1"/>
  <c r="T69" i="9"/>
  <c r="S73" i="9"/>
  <c r="S79" i="9" s="1"/>
  <c r="T50" i="14"/>
  <c r="S54" i="14"/>
  <c r="S77" i="14" s="1"/>
  <c r="R69" i="20"/>
  <c r="Q73" i="20"/>
  <c r="Q79" i="20" s="1"/>
  <c r="R84" i="10"/>
  <c r="R56" i="5"/>
  <c r="R85" i="10"/>
  <c r="R86" i="10" s="1"/>
  <c r="R87" i="10" s="1"/>
  <c r="R88" i="10"/>
  <c r="R73" i="5" s="1"/>
  <c r="T35" i="19"/>
  <c r="S40" i="19"/>
  <c r="S78" i="19" s="1"/>
  <c r="Q52" i="17"/>
  <c r="Q53" i="17" s="1"/>
  <c r="Q46" i="17"/>
  <c r="S43" i="18"/>
  <c r="R47" i="18"/>
  <c r="T50" i="9"/>
  <c r="S54" i="9"/>
  <c r="S77" i="9" s="1"/>
  <c r="U38" i="10"/>
  <c r="U37" i="17"/>
  <c r="U38" i="17" s="1"/>
  <c r="S50" i="18"/>
  <c r="R54" i="18"/>
  <c r="R77" i="18" s="1"/>
  <c r="P89" i="20"/>
  <c r="Q83" i="2"/>
  <c r="Q71" i="2"/>
  <c r="Q70" i="2" s="1"/>
  <c r="Q72" i="2" s="1"/>
  <c r="Q46" i="2"/>
  <c r="U39" i="9"/>
  <c r="S43" i="11"/>
  <c r="R47" i="11"/>
  <c r="S45" i="12"/>
  <c r="S52" i="12" s="1"/>
  <c r="S51" i="12"/>
  <c r="T43" i="9"/>
  <c r="S47" i="9"/>
  <c r="S46" i="14"/>
  <c r="U59" i="2"/>
  <c r="U60" i="2" s="1"/>
  <c r="V57" i="2" s="1"/>
  <c r="V38" i="11"/>
  <c r="V39" i="11" s="1"/>
  <c r="S46" i="10"/>
  <c r="U37" i="20"/>
  <c r="U38" i="20" s="1"/>
  <c r="W64" i="15"/>
  <c r="W58" i="15"/>
  <c r="W59" i="15" s="1"/>
  <c r="W44" i="15"/>
  <c r="Q85" i="19"/>
  <c r="Q84" i="19"/>
  <c r="Q88" i="19"/>
  <c r="Q67" i="5" s="1"/>
  <c r="Q50" i="5"/>
  <c r="U64" i="18"/>
  <c r="U58" i="18"/>
  <c r="R43" i="13"/>
  <c r="Q47" i="13"/>
  <c r="S50" i="11"/>
  <c r="R54" i="11"/>
  <c r="R77" i="11" s="1"/>
  <c r="P86" i="17"/>
  <c r="S59" i="19"/>
  <c r="S60" i="19"/>
  <c r="T57" i="19" s="1"/>
  <c r="U66" i="12"/>
  <c r="V63" i="12" s="1"/>
  <c r="U65" i="12"/>
  <c r="R86" i="9"/>
  <c r="R87" i="9" s="1"/>
  <c r="R89" i="9" s="1"/>
  <c r="R14" i="5" s="1"/>
  <c r="P85" i="2"/>
  <c r="P84" i="2"/>
  <c r="P49" i="5"/>
  <c r="P61" i="5" s="1"/>
  <c r="P62" i="5" s="1"/>
  <c r="P88" i="2"/>
  <c r="P66" i="5" s="1"/>
  <c r="P78" i="5" s="1"/>
  <c r="P79" i="5" s="1"/>
  <c r="Q52" i="20"/>
  <c r="Q53" i="20" s="1"/>
  <c r="Q46" i="20"/>
  <c r="S69" i="11"/>
  <c r="R73" i="11"/>
  <c r="R79" i="11" s="1"/>
  <c r="V35" i="12"/>
  <c r="U40" i="12"/>
  <c r="U78" i="12" s="1"/>
  <c r="U65" i="2"/>
  <c r="U66" i="2" s="1"/>
  <c r="V63" i="2" s="1"/>
  <c r="Q86" i="11"/>
  <c r="Q87" i="11"/>
  <c r="R76" i="15"/>
  <c r="R80" i="15" s="1"/>
  <c r="R35" i="5"/>
  <c r="R88" i="14"/>
  <c r="R70" i="5" s="1"/>
  <c r="R53" i="5"/>
  <c r="R85" i="14"/>
  <c r="R84" i="14"/>
  <c r="T66" i="20"/>
  <c r="U63" i="20" s="1"/>
  <c r="R50" i="13"/>
  <c r="Q54" i="13"/>
  <c r="Q77" i="13" s="1"/>
  <c r="S65" i="19"/>
  <c r="S66" i="19" s="1"/>
  <c r="T63" i="19" s="1"/>
  <c r="R76" i="12"/>
  <c r="R80" i="12" s="1"/>
  <c r="R42" i="5"/>
  <c r="U59" i="11"/>
  <c r="U60" i="11"/>
  <c r="V57" i="11" s="1"/>
  <c r="S83" i="14"/>
  <c r="S71" i="14"/>
  <c r="S70" i="14" s="1"/>
  <c r="S72" i="14" s="1"/>
  <c r="U64" i="13"/>
  <c r="U65" i="13" s="1"/>
  <c r="R83" i="19"/>
  <c r="R71" i="19"/>
  <c r="R70" i="19"/>
  <c r="R72" i="19" s="1"/>
  <c r="R46" i="19"/>
  <c r="Q89" i="11"/>
  <c r="S51" i="15"/>
  <c r="S45" i="15" s="1"/>
  <c r="R69" i="17"/>
  <c r="Q73" i="17"/>
  <c r="Q79" i="17" s="1"/>
  <c r="S83" i="10"/>
  <c r="S71" i="10"/>
  <c r="S70" i="10" s="1"/>
  <c r="S72" i="10" s="1"/>
  <c r="V37" i="2"/>
  <c r="O17" i="5"/>
  <c r="N19" i="5"/>
  <c r="U58" i="13" l="1"/>
  <c r="U59" i="13" s="1"/>
  <c r="U44" i="13"/>
  <c r="U40" i="18"/>
  <c r="U78" i="18" s="1"/>
  <c r="V35" i="18"/>
  <c r="V37" i="18" s="1"/>
  <c r="U44" i="18"/>
  <c r="S54" i="10"/>
  <c r="S77" i="10" s="1"/>
  <c r="U40" i="13"/>
  <c r="U78" i="13" s="1"/>
  <c r="V35" i="13"/>
  <c r="S52" i="15"/>
  <c r="S53" i="15" s="1"/>
  <c r="S46" i="15"/>
  <c r="T69" i="14"/>
  <c r="S73" i="14"/>
  <c r="S79" i="14" s="1"/>
  <c r="U58" i="17"/>
  <c r="U44" i="17"/>
  <c r="U64" i="17"/>
  <c r="W35" i="11"/>
  <c r="V40" i="11"/>
  <c r="V78" i="11" s="1"/>
  <c r="U64" i="20"/>
  <c r="U44" i="20"/>
  <c r="U58" i="20"/>
  <c r="V38" i="2"/>
  <c r="S69" i="19"/>
  <c r="R73" i="19"/>
  <c r="R79" i="19" s="1"/>
  <c r="S43" i="19"/>
  <c r="R47" i="19"/>
  <c r="R85" i="15"/>
  <c r="R88" i="15"/>
  <c r="R69" i="5" s="1"/>
  <c r="R52" i="5"/>
  <c r="R84" i="15"/>
  <c r="P86" i="2"/>
  <c r="R51" i="13"/>
  <c r="R45" i="13" s="1"/>
  <c r="U65" i="18"/>
  <c r="U66" i="18" s="1"/>
  <c r="V63" i="18" s="1"/>
  <c r="U39" i="20"/>
  <c r="S76" i="9"/>
  <c r="S80" i="9" s="1"/>
  <c r="S38" i="5"/>
  <c r="R76" i="11"/>
  <c r="R41" i="5"/>
  <c r="R43" i="2"/>
  <c r="Q47" i="2"/>
  <c r="U39" i="17"/>
  <c r="U64" i="10"/>
  <c r="U58" i="10"/>
  <c r="U44" i="10"/>
  <c r="S51" i="18"/>
  <c r="S45" i="18" s="1"/>
  <c r="S52" i="18" s="1"/>
  <c r="S53" i="18" s="1"/>
  <c r="R50" i="17"/>
  <c r="Q54" i="17"/>
  <c r="Q77" i="17" s="1"/>
  <c r="R89" i="10"/>
  <c r="R15" i="5" s="1"/>
  <c r="U66" i="13"/>
  <c r="V63" i="13" s="1"/>
  <c r="V37" i="13"/>
  <c r="V38" i="13" s="1"/>
  <c r="U59" i="9"/>
  <c r="U60" i="9" s="1"/>
  <c r="V57" i="9" s="1"/>
  <c r="U39" i="10"/>
  <c r="T69" i="10"/>
  <c r="S73" i="10"/>
  <c r="S79" i="10" s="1"/>
  <c r="U65" i="20"/>
  <c r="U66" i="20" s="1"/>
  <c r="V63" i="20" s="1"/>
  <c r="V37" i="12"/>
  <c r="R43" i="20"/>
  <c r="Q47" i="20"/>
  <c r="Q86" i="19"/>
  <c r="Q87" i="19"/>
  <c r="Q89" i="19" s="1"/>
  <c r="T43" i="10"/>
  <c r="S47" i="10"/>
  <c r="T43" i="14"/>
  <c r="S47" i="14"/>
  <c r="T51" i="9"/>
  <c r="S83" i="12"/>
  <c r="S71" i="12"/>
  <c r="S70" i="12"/>
  <c r="S72" i="12" s="1"/>
  <c r="S46" i="12"/>
  <c r="S51" i="11"/>
  <c r="W60" i="15"/>
  <c r="U65" i="9"/>
  <c r="U66" i="9" s="1"/>
  <c r="V63" i="9" s="1"/>
  <c r="W65" i="15"/>
  <c r="S83" i="15"/>
  <c r="S71" i="15"/>
  <c r="S70" i="15" s="1"/>
  <c r="S72" i="15" s="1"/>
  <c r="V60" i="11"/>
  <c r="W57" i="11" s="1"/>
  <c r="R59" i="5"/>
  <c r="R85" i="12"/>
  <c r="R84" i="12"/>
  <c r="R88" i="12"/>
  <c r="R76" i="5" s="1"/>
  <c r="R86" i="14"/>
  <c r="R87" i="14"/>
  <c r="R89" i="14" s="1"/>
  <c r="U60" i="13"/>
  <c r="V57" i="13" s="1"/>
  <c r="R80" i="11"/>
  <c r="R50" i="20"/>
  <c r="Q54" i="20"/>
  <c r="Q77" i="20" s="1"/>
  <c r="P87" i="17"/>
  <c r="P89" i="17" s="1"/>
  <c r="Q76" i="13"/>
  <c r="Q80" i="13" s="1"/>
  <c r="Q37" i="5"/>
  <c r="U59" i="18"/>
  <c r="U60" i="18" s="1"/>
  <c r="V57" i="18" s="1"/>
  <c r="V64" i="11"/>
  <c r="V58" i="11"/>
  <c r="V59" i="11" s="1"/>
  <c r="V44" i="11"/>
  <c r="V35" i="9"/>
  <c r="U40" i="9"/>
  <c r="U78" i="9" s="1"/>
  <c r="R69" i="2"/>
  <c r="Q73" i="2"/>
  <c r="Q79" i="2" s="1"/>
  <c r="S53" i="12"/>
  <c r="R76" i="18"/>
  <c r="R80" i="18" s="1"/>
  <c r="R40" i="5"/>
  <c r="R43" i="17"/>
  <c r="Q47" i="17"/>
  <c r="T38" i="19"/>
  <c r="T39" i="19" s="1"/>
  <c r="T37" i="19"/>
  <c r="M26" i="5"/>
  <c r="M29" i="5"/>
  <c r="M21" i="5"/>
  <c r="O10" i="5"/>
  <c r="N9" i="5"/>
  <c r="O12" i="5"/>
  <c r="N20" i="5" l="1"/>
  <c r="V38" i="18"/>
  <c r="V39" i="18" s="1"/>
  <c r="W35" i="18" s="1"/>
  <c r="U35" i="19"/>
  <c r="T40" i="19"/>
  <c r="T78" i="19" s="1"/>
  <c r="R52" i="13"/>
  <c r="R53" i="13" s="1"/>
  <c r="R46" i="13"/>
  <c r="V58" i="13"/>
  <c r="V59" i="13" s="1"/>
  <c r="V60" i="13" s="1"/>
  <c r="W57" i="13" s="1"/>
  <c r="V44" i="13"/>
  <c r="V64" i="13"/>
  <c r="V65" i="13" s="1"/>
  <c r="T50" i="18"/>
  <c r="S54" i="18"/>
  <c r="S77" i="18" s="1"/>
  <c r="T50" i="15"/>
  <c r="S54" i="15"/>
  <c r="S77" i="15" s="1"/>
  <c r="R88" i="18"/>
  <c r="R74" i="5" s="1"/>
  <c r="R85" i="18"/>
  <c r="R86" i="18" s="1"/>
  <c r="R87" i="18" s="1"/>
  <c r="R57" i="5"/>
  <c r="R84" i="18"/>
  <c r="Q84" i="13"/>
  <c r="Q88" i="13"/>
  <c r="Q71" i="5" s="1"/>
  <c r="Q54" i="5"/>
  <c r="Q85" i="13"/>
  <c r="T83" i="9"/>
  <c r="T71" i="9"/>
  <c r="T70" i="9" s="1"/>
  <c r="T72" i="9" s="1"/>
  <c r="T45" i="9"/>
  <c r="R51" i="17"/>
  <c r="R45" i="17" s="1"/>
  <c r="R52" i="17" s="1"/>
  <c r="R86" i="12"/>
  <c r="R87" i="12" s="1"/>
  <c r="S83" i="11"/>
  <c r="S71" i="11"/>
  <c r="S70" i="11" s="1"/>
  <c r="S72" i="11" s="1"/>
  <c r="S76" i="14"/>
  <c r="S36" i="5"/>
  <c r="M27" i="5"/>
  <c r="M28" i="5"/>
  <c r="V37" i="9"/>
  <c r="V65" i="11"/>
  <c r="R84" i="11"/>
  <c r="R58" i="5"/>
  <c r="R85" i="11"/>
  <c r="R86" i="11" s="1"/>
  <c r="R87" i="11" s="1"/>
  <c r="R88" i="11"/>
  <c r="R75" i="5" s="1"/>
  <c r="S45" i="11"/>
  <c r="T43" i="12"/>
  <c r="S47" i="12"/>
  <c r="T45" i="14"/>
  <c r="T52" i="14" s="1"/>
  <c r="T51" i="14"/>
  <c r="T51" i="10"/>
  <c r="T45" i="10" s="1"/>
  <c r="T52" i="10" s="1"/>
  <c r="V38" i="12"/>
  <c r="S85" i="9"/>
  <c r="S86" i="9" s="1"/>
  <c r="S87" i="9" s="1"/>
  <c r="S55" i="5"/>
  <c r="S88" i="9"/>
  <c r="S72" i="5" s="1"/>
  <c r="S84" i="9"/>
  <c r="V39" i="13"/>
  <c r="S46" i="18"/>
  <c r="U59" i="10"/>
  <c r="U60" i="10" s="1"/>
  <c r="V57" i="10" s="1"/>
  <c r="R51" i="2"/>
  <c r="R45" i="2" s="1"/>
  <c r="R52" i="2" s="1"/>
  <c r="V35" i="20"/>
  <c r="U40" i="20"/>
  <c r="U78" i="20" s="1"/>
  <c r="U65" i="17"/>
  <c r="U66" i="17" s="1"/>
  <c r="V63" i="17" s="1"/>
  <c r="T43" i="15"/>
  <c r="S47" i="15"/>
  <c r="T69" i="12"/>
  <c r="S73" i="12"/>
  <c r="S79" i="12" s="1"/>
  <c r="Q76" i="20"/>
  <c r="Q80" i="20" s="1"/>
  <c r="Q43" i="5"/>
  <c r="W37" i="18"/>
  <c r="W38" i="18" s="1"/>
  <c r="U65" i="10"/>
  <c r="U66" i="10" s="1"/>
  <c r="V63" i="10" s="1"/>
  <c r="R83" i="13"/>
  <c r="R71" i="13"/>
  <c r="R70" i="13" s="1"/>
  <c r="R72" i="13" s="1"/>
  <c r="R76" i="19"/>
  <c r="R33" i="5"/>
  <c r="U59" i="20"/>
  <c r="U60" i="20"/>
  <c r="V57" i="20" s="1"/>
  <c r="W37" i="11"/>
  <c r="S80" i="14"/>
  <c r="T64" i="19"/>
  <c r="T58" i="19"/>
  <c r="T44" i="19"/>
  <c r="Q76" i="17"/>
  <c r="Q80" i="17" s="1"/>
  <c r="Q34" i="5"/>
  <c r="T50" i="12"/>
  <c r="S54" i="12"/>
  <c r="S77" i="12" s="1"/>
  <c r="T69" i="15"/>
  <c r="S73" i="15"/>
  <c r="S79" i="15" s="1"/>
  <c r="S76" i="10"/>
  <c r="S80" i="10" s="1"/>
  <c r="S39" i="5"/>
  <c r="R51" i="20"/>
  <c r="R45" i="20" s="1"/>
  <c r="V35" i="10"/>
  <c r="U40" i="10"/>
  <c r="U78" i="10" s="1"/>
  <c r="V44" i="18"/>
  <c r="V58" i="18"/>
  <c r="V59" i="18" s="1"/>
  <c r="V40" i="18"/>
  <c r="V78" i="18" s="1"/>
  <c r="S83" i="18"/>
  <c r="S71" i="18"/>
  <c r="S70" i="18" s="1"/>
  <c r="S72" i="18" s="1"/>
  <c r="V35" i="17"/>
  <c r="U40" i="17"/>
  <c r="U78" i="17" s="1"/>
  <c r="Q76" i="2"/>
  <c r="Q80" i="2" s="1"/>
  <c r="Q32" i="5"/>
  <c r="P87" i="2"/>
  <c r="P89" i="2" s="1"/>
  <c r="R86" i="15"/>
  <c r="R87" i="15" s="1"/>
  <c r="R89" i="15" s="1"/>
  <c r="S45" i="19"/>
  <c r="S52" i="19" s="1"/>
  <c r="S51" i="19"/>
  <c r="R80" i="19"/>
  <c r="V58" i="2"/>
  <c r="V44" i="2"/>
  <c r="V64" i="2"/>
  <c r="W66" i="15"/>
  <c r="U59" i="17"/>
  <c r="U60" i="17" s="1"/>
  <c r="V57" i="17" s="1"/>
  <c r="V39" i="2"/>
  <c r="Q11" i="5"/>
  <c r="V64" i="18" l="1"/>
  <c r="V65" i="18" s="1"/>
  <c r="R89" i="18"/>
  <c r="R16" i="5" s="1"/>
  <c r="T46" i="10"/>
  <c r="U43" i="10" s="1"/>
  <c r="R53" i="17"/>
  <c r="R46" i="2"/>
  <c r="S43" i="2" s="1"/>
  <c r="Q88" i="2"/>
  <c r="Q66" i="5" s="1"/>
  <c r="Q85" i="2"/>
  <c r="Q86" i="2" s="1"/>
  <c r="Q87" i="2" s="1"/>
  <c r="Q84" i="2"/>
  <c r="Q49" i="5"/>
  <c r="R52" i="20"/>
  <c r="R46" i="20"/>
  <c r="S56" i="5"/>
  <c r="S85" i="10"/>
  <c r="S88" i="10"/>
  <c r="S73" i="5" s="1"/>
  <c r="S84" i="10"/>
  <c r="T69" i="18"/>
  <c r="S73" i="18"/>
  <c r="S79" i="18" s="1"/>
  <c r="T69" i="11"/>
  <c r="S73" i="11"/>
  <c r="S79" i="11" s="1"/>
  <c r="U69" i="9"/>
  <c r="T73" i="9"/>
  <c r="T79" i="9" s="1"/>
  <c r="W64" i="18"/>
  <c r="W58" i="18"/>
  <c r="W59" i="18" s="1"/>
  <c r="W44" i="18"/>
  <c r="W39" i="18"/>
  <c r="W40" i="18" s="1"/>
  <c r="W78" i="18" s="1"/>
  <c r="W35" i="2"/>
  <c r="V40" i="2"/>
  <c r="V78" i="2" s="1"/>
  <c r="R88" i="19"/>
  <c r="R67" i="5" s="1"/>
  <c r="R50" i="5"/>
  <c r="R85" i="19"/>
  <c r="R84" i="19"/>
  <c r="V37" i="10"/>
  <c r="Q85" i="17"/>
  <c r="Q51" i="5"/>
  <c r="Q84" i="17"/>
  <c r="Q88" i="17"/>
  <c r="Q68" i="5" s="1"/>
  <c r="T65" i="19"/>
  <c r="T66" i="19"/>
  <c r="U63" i="19" s="1"/>
  <c r="W38" i="11"/>
  <c r="V60" i="18"/>
  <c r="W57" i="18" s="1"/>
  <c r="V37" i="20"/>
  <c r="W35" i="13"/>
  <c r="V40" i="13"/>
  <c r="V78" i="13" s="1"/>
  <c r="V64" i="12"/>
  <c r="V58" i="12"/>
  <c r="V44" i="12"/>
  <c r="T46" i="14"/>
  <c r="S52" i="11"/>
  <c r="S53" i="11" s="1"/>
  <c r="S46" i="11"/>
  <c r="V38" i="9"/>
  <c r="R83" i="17"/>
  <c r="R71" i="17"/>
  <c r="R70" i="17" s="1"/>
  <c r="R72" i="17" s="1"/>
  <c r="Q86" i="13"/>
  <c r="Q87" i="13" s="1"/>
  <c r="S50" i="13"/>
  <c r="R54" i="13"/>
  <c r="R77" i="13" s="1"/>
  <c r="V59" i="2"/>
  <c r="V60" i="2" s="1"/>
  <c r="W57" i="2" s="1"/>
  <c r="V65" i="2"/>
  <c r="V66" i="2" s="1"/>
  <c r="W63" i="2" s="1"/>
  <c r="S46" i="19"/>
  <c r="V66" i="13"/>
  <c r="W63" i="13" s="1"/>
  <c r="S83" i="19"/>
  <c r="S71" i="19"/>
  <c r="S70" i="19" s="1"/>
  <c r="S72" i="19" s="1"/>
  <c r="S53" i="19"/>
  <c r="Q44" i="5"/>
  <c r="Q45" i="5" s="1"/>
  <c r="V37" i="17"/>
  <c r="V38" i="17" s="1"/>
  <c r="S85" i="14"/>
  <c r="S84" i="14"/>
  <c r="S88" i="14"/>
  <c r="S70" i="5" s="1"/>
  <c r="S53" i="5"/>
  <c r="S76" i="15"/>
  <c r="S80" i="15" s="1"/>
  <c r="S35" i="5"/>
  <c r="R83" i="2"/>
  <c r="R71" i="2"/>
  <c r="R70" i="2" s="1"/>
  <c r="R72" i="2" s="1"/>
  <c r="R53" i="2"/>
  <c r="R47" i="2"/>
  <c r="S89" i="9"/>
  <c r="S14" i="5" s="1"/>
  <c r="T83" i="10"/>
  <c r="T71" i="10"/>
  <c r="T70" i="10" s="1"/>
  <c r="T72" i="10" s="1"/>
  <c r="T53" i="10"/>
  <c r="T83" i="14"/>
  <c r="T71" i="14"/>
  <c r="T70" i="14" s="1"/>
  <c r="T72" i="14" s="1"/>
  <c r="T53" i="14"/>
  <c r="S76" i="12"/>
  <c r="S80" i="12" s="1"/>
  <c r="S42" i="5"/>
  <c r="V66" i="11"/>
  <c r="W63" i="11" s="1"/>
  <c r="R89" i="12"/>
  <c r="R46" i="17"/>
  <c r="T52" i="9"/>
  <c r="T53" i="9" s="1"/>
  <c r="T46" i="9"/>
  <c r="V39" i="12"/>
  <c r="U38" i="19"/>
  <c r="U37" i="19"/>
  <c r="U39" i="19" s="1"/>
  <c r="R83" i="20"/>
  <c r="R71" i="20"/>
  <c r="R70" i="20" s="1"/>
  <c r="R72" i="20" s="1"/>
  <c r="R53" i="20"/>
  <c r="T59" i="19"/>
  <c r="S69" i="13"/>
  <c r="R73" i="13"/>
  <c r="R79" i="13" s="1"/>
  <c r="Q84" i="20"/>
  <c r="Q60" i="5"/>
  <c r="Q85" i="20"/>
  <c r="Q86" i="20" s="1"/>
  <c r="Q87" i="20" s="1"/>
  <c r="Q88" i="20"/>
  <c r="Q77" i="5" s="1"/>
  <c r="T51" i="15"/>
  <c r="S51" i="2"/>
  <c r="T43" i="18"/>
  <c r="S47" i="18"/>
  <c r="T51" i="12"/>
  <c r="R89" i="11"/>
  <c r="S43" i="13"/>
  <c r="R47" i="13"/>
  <c r="N29" i="5"/>
  <c r="N26" i="5"/>
  <c r="N21" i="5"/>
  <c r="P18" i="5"/>
  <c r="P17" i="5"/>
  <c r="U51" i="10" l="1"/>
  <c r="U83" i="10" s="1"/>
  <c r="T47" i="10"/>
  <c r="V66" i="18"/>
  <c r="W63" i="18" s="1"/>
  <c r="W65" i="18" s="1"/>
  <c r="W60" i="18"/>
  <c r="S50" i="17"/>
  <c r="R54" i="17"/>
  <c r="R77" i="17" s="1"/>
  <c r="T45" i="15"/>
  <c r="T52" i="15" s="1"/>
  <c r="T53" i="15" s="1"/>
  <c r="Q89" i="2"/>
  <c r="S69" i="20"/>
  <c r="R73" i="20"/>
  <c r="R79" i="20" s="1"/>
  <c r="V64" i="17"/>
  <c r="V44" i="17"/>
  <c r="V58" i="17"/>
  <c r="S69" i="17"/>
  <c r="R73" i="17"/>
  <c r="R79" i="17" s="1"/>
  <c r="V35" i="19"/>
  <c r="U40" i="19"/>
  <c r="U78" i="19" s="1"/>
  <c r="S84" i="12"/>
  <c r="S59" i="5"/>
  <c r="S85" i="12"/>
  <c r="S88" i="12"/>
  <c r="S76" i="5" s="1"/>
  <c r="U69" i="10"/>
  <c r="T73" i="10"/>
  <c r="T79" i="10" s="1"/>
  <c r="T69" i="19"/>
  <c r="S73" i="19"/>
  <c r="S79" i="19" s="1"/>
  <c r="U69" i="14"/>
  <c r="T73" i="14"/>
  <c r="T79" i="14" s="1"/>
  <c r="S69" i="2"/>
  <c r="R73" i="2"/>
  <c r="R79" i="2" s="1"/>
  <c r="Q89" i="20"/>
  <c r="S76" i="18"/>
  <c r="S80" i="18" s="1"/>
  <c r="S40" i="5"/>
  <c r="S83" i="2"/>
  <c r="S71" i="2"/>
  <c r="S70" i="2" s="1"/>
  <c r="S84" i="15"/>
  <c r="S52" i="5"/>
  <c r="S85" i="15"/>
  <c r="S86" i="15" s="1"/>
  <c r="S87" i="15" s="1"/>
  <c r="S88" i="15"/>
  <c r="S69" i="5" s="1"/>
  <c r="U43" i="9"/>
  <c r="T47" i="9"/>
  <c r="U50" i="10"/>
  <c r="T54" i="10"/>
  <c r="T77" i="10" s="1"/>
  <c r="S50" i="2"/>
  <c r="R54" i="2"/>
  <c r="R77" i="2" s="1"/>
  <c r="S86" i="14"/>
  <c r="S87" i="14" s="1"/>
  <c r="V64" i="9"/>
  <c r="V58" i="9"/>
  <c r="V44" i="9"/>
  <c r="T50" i="11"/>
  <c r="S54" i="11"/>
  <c r="S77" i="11" s="1"/>
  <c r="V59" i="12"/>
  <c r="V60" i="12" s="1"/>
  <c r="W57" i="12" s="1"/>
  <c r="W37" i="13"/>
  <c r="W38" i="13" s="1"/>
  <c r="V38" i="20"/>
  <c r="W64" i="11"/>
  <c r="W58" i="11"/>
  <c r="W44" i="11"/>
  <c r="Q86" i="17"/>
  <c r="Q87" i="17" s="1"/>
  <c r="V38" i="10"/>
  <c r="R86" i="19"/>
  <c r="R87" i="19"/>
  <c r="R89" i="19" s="1"/>
  <c r="S86" i="10"/>
  <c r="S87" i="10" s="1"/>
  <c r="R76" i="13"/>
  <c r="R37" i="5"/>
  <c r="N28" i="5"/>
  <c r="N27" i="5"/>
  <c r="S51" i="13"/>
  <c r="S45" i="13" s="1"/>
  <c r="T83" i="12"/>
  <c r="T70" i="12"/>
  <c r="T72" i="12" s="1"/>
  <c r="T71" i="12"/>
  <c r="T45" i="12"/>
  <c r="T51" i="18"/>
  <c r="T83" i="15"/>
  <c r="T71" i="15"/>
  <c r="T70" i="15" s="1"/>
  <c r="T72" i="15" s="1"/>
  <c r="T60" i="19"/>
  <c r="U57" i="19" s="1"/>
  <c r="U50" i="9"/>
  <c r="T54" i="9"/>
  <c r="T77" i="9" s="1"/>
  <c r="W65" i="11"/>
  <c r="U50" i="14"/>
  <c r="T54" i="14"/>
  <c r="T77" i="14" s="1"/>
  <c r="V39" i="17"/>
  <c r="T50" i="19"/>
  <c r="S54" i="19"/>
  <c r="S77" i="19" s="1"/>
  <c r="T43" i="19"/>
  <c r="S47" i="19"/>
  <c r="U43" i="14"/>
  <c r="T47" i="14"/>
  <c r="V65" i="12"/>
  <c r="U71" i="10"/>
  <c r="U70" i="10" s="1"/>
  <c r="W37" i="2"/>
  <c r="W39" i="11"/>
  <c r="W40" i="11" s="1"/>
  <c r="W78" i="11" s="1"/>
  <c r="Q61" i="5"/>
  <c r="Q62" i="5" s="1"/>
  <c r="Q78" i="5"/>
  <c r="Q79" i="5" s="1"/>
  <c r="R80" i="13"/>
  <c r="S50" i="20"/>
  <c r="R54" i="20"/>
  <c r="R77" i="20" s="1"/>
  <c r="U58" i="19"/>
  <c r="U59" i="19" s="1"/>
  <c r="U64" i="19"/>
  <c r="U65" i="19" s="1"/>
  <c r="U44" i="19"/>
  <c r="W35" i="12"/>
  <c r="V40" i="12"/>
  <c r="V78" i="12" s="1"/>
  <c r="S43" i="17"/>
  <c r="R47" i="17"/>
  <c r="T76" i="10"/>
  <c r="T39" i="5"/>
  <c r="R76" i="2"/>
  <c r="R32" i="5"/>
  <c r="Q89" i="13"/>
  <c r="T43" i="11"/>
  <c r="S47" i="11"/>
  <c r="V39" i="9"/>
  <c r="S43" i="20"/>
  <c r="R47" i="20"/>
  <c r="O19" i="5"/>
  <c r="O9" i="5"/>
  <c r="O20" i="5" l="1"/>
  <c r="T46" i="15"/>
  <c r="W66" i="18"/>
  <c r="T54" i="15"/>
  <c r="T77" i="15" s="1"/>
  <c r="U50" i="15"/>
  <c r="W38" i="2"/>
  <c r="W39" i="2" s="1"/>
  <c r="W40" i="2" s="1"/>
  <c r="W78" i="2" s="1"/>
  <c r="U66" i="19"/>
  <c r="V63" i="19" s="1"/>
  <c r="S52" i="13"/>
  <c r="S46" i="13"/>
  <c r="W64" i="13"/>
  <c r="W58" i="13"/>
  <c r="W44" i="13"/>
  <c r="U69" i="15"/>
  <c r="T73" i="15"/>
  <c r="T79" i="15" s="1"/>
  <c r="U69" i="12"/>
  <c r="T73" i="12"/>
  <c r="T79" i="12" s="1"/>
  <c r="W39" i="13"/>
  <c r="W40" i="13" s="1"/>
  <c r="W78" i="13" s="1"/>
  <c r="V65" i="9"/>
  <c r="V66" i="9" s="1"/>
  <c r="W63" i="9" s="1"/>
  <c r="S45" i="2"/>
  <c r="T38" i="5"/>
  <c r="T76" i="9"/>
  <c r="T80" i="9" s="1"/>
  <c r="V59" i="17"/>
  <c r="V60" i="17" s="1"/>
  <c r="W57" i="17" s="1"/>
  <c r="R80" i="20"/>
  <c r="R76" i="20"/>
  <c r="R43" i="5"/>
  <c r="W35" i="9"/>
  <c r="V40" i="9"/>
  <c r="V78" i="9" s="1"/>
  <c r="T51" i="11"/>
  <c r="R34" i="5"/>
  <c r="R44" i="5" s="1"/>
  <c r="R45" i="5" s="1"/>
  <c r="R76" i="17"/>
  <c r="W37" i="12"/>
  <c r="R84" i="13"/>
  <c r="R54" i="5"/>
  <c r="R85" i="13"/>
  <c r="R88" i="13"/>
  <c r="R71" i="5" s="1"/>
  <c r="U45" i="14"/>
  <c r="U52" i="14" s="1"/>
  <c r="U51" i="14"/>
  <c r="S76" i="19"/>
  <c r="S33" i="5"/>
  <c r="U43" i="15"/>
  <c r="T47" i="15"/>
  <c r="S83" i="13"/>
  <c r="S71" i="13"/>
  <c r="S70" i="13" s="1"/>
  <c r="S72" i="13" s="1"/>
  <c r="S51" i="20"/>
  <c r="S51" i="17"/>
  <c r="V66" i="12"/>
  <c r="W63" i="12" s="1"/>
  <c r="S53" i="13"/>
  <c r="T51" i="19"/>
  <c r="W35" i="17"/>
  <c r="V40" i="17"/>
  <c r="V78" i="17" s="1"/>
  <c r="T83" i="18"/>
  <c r="T71" i="18"/>
  <c r="T70" i="18" s="1"/>
  <c r="T72" i="18" s="1"/>
  <c r="S84" i="18"/>
  <c r="S57" i="5"/>
  <c r="S85" i="18"/>
  <c r="S86" i="18" s="1"/>
  <c r="S87" i="18" s="1"/>
  <c r="S88" i="18"/>
  <c r="S74" i="5" s="1"/>
  <c r="S76" i="11"/>
  <c r="S80" i="11" s="1"/>
  <c r="S41" i="5"/>
  <c r="T76" i="14"/>
  <c r="T80" i="14" s="1"/>
  <c r="T36" i="5"/>
  <c r="W66" i="11"/>
  <c r="U60" i="19"/>
  <c r="V57" i="19" s="1"/>
  <c r="T45" i="18"/>
  <c r="T52" i="12"/>
  <c r="T53" i="12" s="1"/>
  <c r="T46" i="12"/>
  <c r="V64" i="10"/>
  <c r="V58" i="10"/>
  <c r="V44" i="10"/>
  <c r="V64" i="20"/>
  <c r="V58" i="20"/>
  <c r="V44" i="20"/>
  <c r="S89" i="14"/>
  <c r="U51" i="9"/>
  <c r="U45" i="9" s="1"/>
  <c r="R80" i="2"/>
  <c r="S80" i="19"/>
  <c r="V39" i="10"/>
  <c r="T80" i="10"/>
  <c r="S86" i="12"/>
  <c r="S87" i="12" s="1"/>
  <c r="R80" i="17"/>
  <c r="U53" i="14"/>
  <c r="V50" i="14" s="1"/>
  <c r="S89" i="10"/>
  <c r="S15" i="5" s="1"/>
  <c r="Q89" i="17"/>
  <c r="W59" i="11"/>
  <c r="W60" i="11" s="1"/>
  <c r="V59" i="9"/>
  <c r="U45" i="10"/>
  <c r="S89" i="15"/>
  <c r="S72" i="2"/>
  <c r="T69" i="2" s="1"/>
  <c r="V39" i="20"/>
  <c r="U72" i="10"/>
  <c r="V69" i="10" s="1"/>
  <c r="V37" i="19"/>
  <c r="V38" i="19" s="1"/>
  <c r="V65" i="17"/>
  <c r="V66" i="17" s="1"/>
  <c r="W63" i="17" s="1"/>
  <c r="P10" i="5"/>
  <c r="P12" i="5"/>
  <c r="R11" i="5"/>
  <c r="W64" i="2" l="1"/>
  <c r="U73" i="10"/>
  <c r="U79" i="10" s="1"/>
  <c r="U52" i="9"/>
  <c r="U53" i="9" s="1"/>
  <c r="U46" i="9"/>
  <c r="V43" i="9" s="1"/>
  <c r="W58" i="2"/>
  <c r="W44" i="2"/>
  <c r="V44" i="19"/>
  <c r="V64" i="19"/>
  <c r="V58" i="19"/>
  <c r="V59" i="19" s="1"/>
  <c r="U69" i="18"/>
  <c r="T73" i="18"/>
  <c r="T79" i="18" s="1"/>
  <c r="T84" i="14"/>
  <c r="T88" i="14"/>
  <c r="T70" i="5" s="1"/>
  <c r="T53" i="5"/>
  <c r="T85" i="14"/>
  <c r="T86" i="14" s="1"/>
  <c r="T87" i="14" s="1"/>
  <c r="T69" i="13"/>
  <c r="S73" i="13"/>
  <c r="S79" i="13" s="1"/>
  <c r="U43" i="12"/>
  <c r="T47" i="12"/>
  <c r="V60" i="19"/>
  <c r="W57" i="19" s="1"/>
  <c r="S89" i="18"/>
  <c r="S16" i="5" s="1"/>
  <c r="W37" i="17"/>
  <c r="W38" i="17" s="1"/>
  <c r="W37" i="9"/>
  <c r="R60" i="5"/>
  <c r="R84" i="20"/>
  <c r="R88" i="20"/>
  <c r="R77" i="5" s="1"/>
  <c r="R85" i="20"/>
  <c r="R86" i="20" s="1"/>
  <c r="R87" i="20" s="1"/>
  <c r="S89" i="12"/>
  <c r="S52" i="2"/>
  <c r="S53" i="2" s="1"/>
  <c r="S46" i="2"/>
  <c r="W65" i="13"/>
  <c r="W66" i="13" s="1"/>
  <c r="V66" i="19"/>
  <c r="W63" i="19" s="1"/>
  <c r="V65" i="19"/>
  <c r="V39" i="19"/>
  <c r="R84" i="17"/>
  <c r="R88" i="17"/>
  <c r="R68" i="5" s="1"/>
  <c r="R51" i="5"/>
  <c r="R85" i="17"/>
  <c r="R86" i="17" s="1"/>
  <c r="R87" i="17" s="1"/>
  <c r="T56" i="5"/>
  <c r="T88" i="10"/>
  <c r="T73" i="5" s="1"/>
  <c r="T84" i="10"/>
  <c r="T85" i="10"/>
  <c r="T86" i="10" s="1"/>
  <c r="T87" i="10" s="1"/>
  <c r="V65" i="20"/>
  <c r="V65" i="10"/>
  <c r="V66" i="10" s="1"/>
  <c r="W63" i="10" s="1"/>
  <c r="U50" i="12"/>
  <c r="T54" i="12"/>
  <c r="T77" i="12" s="1"/>
  <c r="T83" i="19"/>
  <c r="T70" i="19"/>
  <c r="T72" i="19" s="1"/>
  <c r="T71" i="19"/>
  <c r="T45" i="19"/>
  <c r="S83" i="17"/>
  <c r="S71" i="17"/>
  <c r="S70" i="17" s="1"/>
  <c r="S72" i="17" s="1"/>
  <c r="S45" i="17"/>
  <c r="T76" i="15"/>
  <c r="T35" i="5"/>
  <c r="U83" i="14"/>
  <c r="U70" i="14"/>
  <c r="U72" i="14" s="1"/>
  <c r="U71" i="14"/>
  <c r="U46" i="14"/>
  <c r="W59" i="2"/>
  <c r="R86" i="13"/>
  <c r="R87" i="13" s="1"/>
  <c r="R89" i="13" s="1"/>
  <c r="W38" i="12"/>
  <c r="W39" i="12" s="1"/>
  <c r="W40" i="12" s="1"/>
  <c r="W78" i="12" s="1"/>
  <c r="T83" i="11"/>
  <c r="T71" i="11"/>
  <c r="T70" i="11" s="1"/>
  <c r="T72" i="11" s="1"/>
  <c r="T45" i="11"/>
  <c r="T55" i="5"/>
  <c r="T85" i="9"/>
  <c r="T84" i="9"/>
  <c r="T88" i="9"/>
  <c r="T72" i="5" s="1"/>
  <c r="T43" i="13"/>
  <c r="S47" i="13"/>
  <c r="S85" i="19"/>
  <c r="S84" i="19"/>
  <c r="S50" i="5"/>
  <c r="S88" i="19"/>
  <c r="S67" i="5" s="1"/>
  <c r="R84" i="2"/>
  <c r="R49" i="5"/>
  <c r="R61" i="5" s="1"/>
  <c r="R62" i="5" s="1"/>
  <c r="R85" i="2"/>
  <c r="R88" i="2"/>
  <c r="R66" i="5" s="1"/>
  <c r="R78" i="5" s="1"/>
  <c r="R79" i="5" s="1"/>
  <c r="V59" i="20"/>
  <c r="V60" i="20" s="1"/>
  <c r="W57" i="20" s="1"/>
  <c r="V59" i="10"/>
  <c r="V60" i="10" s="1"/>
  <c r="W57" i="10" s="1"/>
  <c r="W35" i="20"/>
  <c r="V40" i="20"/>
  <c r="V78" i="20" s="1"/>
  <c r="S73" i="2"/>
  <c r="S79" i="2" s="1"/>
  <c r="U52" i="10"/>
  <c r="U53" i="10" s="1"/>
  <c r="U46" i="10"/>
  <c r="V60" i="9"/>
  <c r="W57" i="9" s="1"/>
  <c r="U54" i="14"/>
  <c r="U77" i="14" s="1"/>
  <c r="W35" i="10"/>
  <c r="V40" i="10"/>
  <c r="V78" i="10" s="1"/>
  <c r="U83" i="9"/>
  <c r="U71" i="9"/>
  <c r="U70" i="9" s="1"/>
  <c r="U72" i="9" s="1"/>
  <c r="U47" i="9"/>
  <c r="T52" i="18"/>
  <c r="T53" i="18" s="1"/>
  <c r="T46" i="18"/>
  <c r="S88" i="11"/>
  <c r="S75" i="5" s="1"/>
  <c r="S58" i="5"/>
  <c r="S84" i="11"/>
  <c r="S85" i="11"/>
  <c r="S86" i="11" s="1"/>
  <c r="S87" i="11" s="1"/>
  <c r="T50" i="13"/>
  <c r="S54" i="13"/>
  <c r="S77" i="13" s="1"/>
  <c r="S83" i="20"/>
  <c r="S71" i="20"/>
  <c r="S70" i="20" s="1"/>
  <c r="S72" i="20" s="1"/>
  <c r="S45" i="20"/>
  <c r="U51" i="15"/>
  <c r="W65" i="2"/>
  <c r="W66" i="2" s="1"/>
  <c r="T80" i="15"/>
  <c r="W59" i="13"/>
  <c r="W60" i="13" s="1"/>
  <c r="O26" i="5"/>
  <c r="O29" i="5"/>
  <c r="O21" i="5"/>
  <c r="Q18" i="5"/>
  <c r="V50" i="9" l="1"/>
  <c r="V51" i="9"/>
  <c r="V83" i="9" s="1"/>
  <c r="U54" i="9"/>
  <c r="U77" i="9" s="1"/>
  <c r="W38" i="9"/>
  <c r="W39" i="9" s="1"/>
  <c r="W40" i="9" s="1"/>
  <c r="W78" i="9" s="1"/>
  <c r="W39" i="17"/>
  <c r="W40" i="17" s="1"/>
  <c r="W78" i="17" s="1"/>
  <c r="T69" i="17"/>
  <c r="S73" i="17"/>
  <c r="S79" i="17" s="1"/>
  <c r="T69" i="20"/>
  <c r="S73" i="20"/>
  <c r="S79" i="20" s="1"/>
  <c r="U69" i="11"/>
  <c r="T73" i="11"/>
  <c r="T79" i="11" s="1"/>
  <c r="T43" i="2"/>
  <c r="S47" i="2"/>
  <c r="R89" i="20"/>
  <c r="T76" i="12"/>
  <c r="T80" i="12" s="1"/>
  <c r="T42" i="5"/>
  <c r="T89" i="14"/>
  <c r="T88" i="15"/>
  <c r="T69" i="5" s="1"/>
  <c r="T85" i="15"/>
  <c r="T86" i="15" s="1"/>
  <c r="T87" i="15" s="1"/>
  <c r="T84" i="15"/>
  <c r="T52" i="5"/>
  <c r="U83" i="15"/>
  <c r="U71" i="15"/>
  <c r="U70" i="15" s="1"/>
  <c r="U72" i="15" s="1"/>
  <c r="U43" i="18"/>
  <c r="T47" i="18"/>
  <c r="V50" i="10"/>
  <c r="U54" i="10"/>
  <c r="U77" i="10" s="1"/>
  <c r="W37" i="20"/>
  <c r="S76" i="13"/>
  <c r="S80" i="13" s="1"/>
  <c r="S37" i="5"/>
  <c r="S52" i="20"/>
  <c r="S53" i="20" s="1"/>
  <c r="S46" i="20"/>
  <c r="U50" i="18"/>
  <c r="T54" i="18"/>
  <c r="T77" i="18" s="1"/>
  <c r="W37" i="10"/>
  <c r="W38" i="10" s="1"/>
  <c r="T51" i="13"/>
  <c r="V69" i="14"/>
  <c r="U73" i="14"/>
  <c r="U79" i="14" s="1"/>
  <c r="U69" i="19"/>
  <c r="T73" i="19"/>
  <c r="T79" i="19" s="1"/>
  <c r="R89" i="17"/>
  <c r="W35" i="19"/>
  <c r="V40" i="19"/>
  <c r="V78" i="19" s="1"/>
  <c r="U45" i="15"/>
  <c r="S89" i="11"/>
  <c r="U76" i="9"/>
  <c r="U38" i="5"/>
  <c r="V43" i="10"/>
  <c r="U47" i="10"/>
  <c r="R86" i="2"/>
  <c r="R87" i="2" s="1"/>
  <c r="R89" i="2" s="1"/>
  <c r="S87" i="19"/>
  <c r="S86" i="19"/>
  <c r="V71" i="9"/>
  <c r="V70" i="9" s="1"/>
  <c r="T86" i="9"/>
  <c r="T87" i="9" s="1"/>
  <c r="T89" i="9" s="1"/>
  <c r="T14" i="5" s="1"/>
  <c r="T52" i="11"/>
  <c r="T53" i="11" s="1"/>
  <c r="T46" i="11"/>
  <c r="V43" i="14"/>
  <c r="U47" i="14"/>
  <c r="T52" i="19"/>
  <c r="T53" i="19" s="1"/>
  <c r="T46" i="19"/>
  <c r="V66" i="20"/>
  <c r="W63" i="20" s="1"/>
  <c r="V45" i="9"/>
  <c r="T50" i="2"/>
  <c r="S54" i="2"/>
  <c r="S77" i="2" s="1"/>
  <c r="U45" i="12"/>
  <c r="U52" i="12" s="1"/>
  <c r="U51" i="12"/>
  <c r="U53" i="12" s="1"/>
  <c r="O28" i="5"/>
  <c r="O27" i="5"/>
  <c r="V69" i="9"/>
  <c r="U73" i="9"/>
  <c r="U79" i="9" s="1"/>
  <c r="U80" i="9" s="1"/>
  <c r="W44" i="12"/>
  <c r="W64" i="12"/>
  <c r="W58" i="12"/>
  <c r="W60" i="2"/>
  <c r="S52" i="17"/>
  <c r="S53" i="17" s="1"/>
  <c r="S46" i="17"/>
  <c r="T89" i="10"/>
  <c r="T15" i="5" s="1"/>
  <c r="W64" i="9"/>
  <c r="W58" i="9"/>
  <c r="W59" i="9" s="1"/>
  <c r="W44" i="9"/>
  <c r="W64" i="17"/>
  <c r="W58" i="17"/>
  <c r="W44" i="17"/>
  <c r="Q17" i="5"/>
  <c r="Q12" i="5"/>
  <c r="Q10" i="5"/>
  <c r="P19" i="5"/>
  <c r="W39" i="10" l="1"/>
  <c r="W40" i="10" s="1"/>
  <c r="W78" i="10" s="1"/>
  <c r="S84" i="13"/>
  <c r="S54" i="5"/>
  <c r="S85" i="13"/>
  <c r="S88" i="13"/>
  <c r="S71" i="5" s="1"/>
  <c r="V69" i="15"/>
  <c r="U73" i="15"/>
  <c r="U79" i="15" s="1"/>
  <c r="V50" i="12"/>
  <c r="U54" i="12"/>
  <c r="U77" i="12" s="1"/>
  <c r="V52" i="9"/>
  <c r="V53" i="9" s="1"/>
  <c r="V46" i="9"/>
  <c r="U50" i="11"/>
  <c r="T54" i="11"/>
  <c r="T77" i="11" s="1"/>
  <c r="U76" i="10"/>
  <c r="U80" i="10" s="1"/>
  <c r="U39" i="5"/>
  <c r="U52" i="15"/>
  <c r="U53" i="15" s="1"/>
  <c r="U46" i="15"/>
  <c r="W37" i="19"/>
  <c r="W64" i="10"/>
  <c r="W44" i="10"/>
  <c r="W58" i="10"/>
  <c r="T43" i="20"/>
  <c r="S47" i="20"/>
  <c r="U51" i="18"/>
  <c r="W59" i="17"/>
  <c r="W60" i="17" s="1"/>
  <c r="T43" i="17"/>
  <c r="S47" i="17"/>
  <c r="W59" i="12"/>
  <c r="W60" i="12"/>
  <c r="U46" i="12"/>
  <c r="U43" i="19"/>
  <c r="T47" i="19"/>
  <c r="V51" i="14"/>
  <c r="V45" i="14" s="1"/>
  <c r="V51" i="10"/>
  <c r="V45" i="10" s="1"/>
  <c r="T50" i="20"/>
  <c r="S54" i="20"/>
  <c r="S77" i="20" s="1"/>
  <c r="S32" i="5"/>
  <c r="S76" i="2"/>
  <c r="S80" i="2" s="1"/>
  <c r="W65" i="17"/>
  <c r="W66" i="17" s="1"/>
  <c r="W65" i="9"/>
  <c r="T50" i="17"/>
  <c r="S54" i="17"/>
  <c r="S77" i="17" s="1"/>
  <c r="W65" i="12"/>
  <c r="W66" i="12" s="1"/>
  <c r="U85" i="9"/>
  <c r="U88" i="9"/>
  <c r="U72" i="5" s="1"/>
  <c r="U84" i="9"/>
  <c r="U55" i="5"/>
  <c r="U83" i="12"/>
  <c r="U71" i="12"/>
  <c r="U70" i="12" s="1"/>
  <c r="U72" i="12" s="1"/>
  <c r="U50" i="19"/>
  <c r="T54" i="19"/>
  <c r="T77" i="19" s="1"/>
  <c r="U43" i="11"/>
  <c r="T47" i="11"/>
  <c r="S89" i="19"/>
  <c r="U80" i="14"/>
  <c r="T83" i="13"/>
  <c r="T71" i="13"/>
  <c r="T70" i="13" s="1"/>
  <c r="T72" i="13" s="1"/>
  <c r="T45" i="13"/>
  <c r="W60" i="9"/>
  <c r="W38" i="20"/>
  <c r="W39" i="20" s="1"/>
  <c r="W40" i="20" s="1"/>
  <c r="W78" i="20" s="1"/>
  <c r="T76" i="18"/>
  <c r="T80" i="18" s="1"/>
  <c r="T40" i="5"/>
  <c r="T89" i="15"/>
  <c r="T59" i="5"/>
  <c r="T88" i="12"/>
  <c r="T76" i="5" s="1"/>
  <c r="T85" i="12"/>
  <c r="T84" i="12"/>
  <c r="T51" i="2"/>
  <c r="V72" i="9"/>
  <c r="W69" i="9" s="1"/>
  <c r="U76" i="14"/>
  <c r="U36" i="5"/>
  <c r="P9" i="5"/>
  <c r="S11" i="5"/>
  <c r="P20" i="5" l="1"/>
  <c r="V73" i="9"/>
  <c r="V79" i="9" s="1"/>
  <c r="V52" i="10"/>
  <c r="V46" i="10"/>
  <c r="V52" i="14"/>
  <c r="V46" i="14"/>
  <c r="V69" i="12"/>
  <c r="U73" i="12"/>
  <c r="U79" i="12" s="1"/>
  <c r="T86" i="12"/>
  <c r="T87" i="12" s="1"/>
  <c r="T89" i="12" s="1"/>
  <c r="T83" i="2"/>
  <c r="T71" i="2"/>
  <c r="T70" i="2" s="1"/>
  <c r="T72" i="2" s="1"/>
  <c r="T45" i="2"/>
  <c r="T52" i="13"/>
  <c r="T53" i="13" s="1"/>
  <c r="T46" i="13"/>
  <c r="V53" i="10"/>
  <c r="T76" i="19"/>
  <c r="T80" i="19" s="1"/>
  <c r="T33" i="5"/>
  <c r="V43" i="12"/>
  <c r="U47" i="12"/>
  <c r="S76" i="17"/>
  <c r="S80" i="17" s="1"/>
  <c r="S34" i="5"/>
  <c r="T51" i="20"/>
  <c r="W65" i="10"/>
  <c r="V43" i="15"/>
  <c r="U47" i="15"/>
  <c r="U88" i="10"/>
  <c r="U73" i="5" s="1"/>
  <c r="U85" i="10"/>
  <c r="U56" i="5"/>
  <c r="U84" i="10"/>
  <c r="W43" i="9"/>
  <c r="V47" i="9"/>
  <c r="T57" i="5"/>
  <c r="T85" i="18"/>
  <c r="T84" i="18"/>
  <c r="T88" i="18"/>
  <c r="T74" i="5" s="1"/>
  <c r="U69" i="13"/>
  <c r="T73" i="13"/>
  <c r="T79" i="13" s="1"/>
  <c r="U53" i="5"/>
  <c r="U84" i="14"/>
  <c r="U88" i="14"/>
  <c r="U70" i="5" s="1"/>
  <c r="U85" i="14"/>
  <c r="T76" i="11"/>
  <c r="T80" i="11" s="1"/>
  <c r="T41" i="5"/>
  <c r="S49" i="5"/>
  <c r="S85" i="2"/>
  <c r="S84" i="2"/>
  <c r="S88" i="2"/>
  <c r="S66" i="5" s="1"/>
  <c r="V83" i="10"/>
  <c r="V71" i="10"/>
  <c r="V70" i="10" s="1"/>
  <c r="V72" i="10" s="1"/>
  <c r="U51" i="19"/>
  <c r="T45" i="17"/>
  <c r="T52" i="17" s="1"/>
  <c r="T51" i="17"/>
  <c r="U83" i="18"/>
  <c r="U71" i="18"/>
  <c r="U70" i="18" s="1"/>
  <c r="U72" i="18" s="1"/>
  <c r="U45" i="18"/>
  <c r="W59" i="10"/>
  <c r="W60" i="10" s="1"/>
  <c r="V50" i="15"/>
  <c r="U54" i="15"/>
  <c r="U77" i="15" s="1"/>
  <c r="W50" i="9"/>
  <c r="V54" i="9"/>
  <c r="V77" i="9" s="1"/>
  <c r="W44" i="20"/>
  <c r="W58" i="20"/>
  <c r="W64" i="20"/>
  <c r="U51" i="11"/>
  <c r="U86" i="9"/>
  <c r="U87" i="9" s="1"/>
  <c r="W66" i="9"/>
  <c r="V83" i="14"/>
  <c r="V71" i="14"/>
  <c r="V70" i="14"/>
  <c r="V72" i="14" s="1"/>
  <c r="V53" i="14"/>
  <c r="S76" i="20"/>
  <c r="S80" i="20" s="1"/>
  <c r="S43" i="5"/>
  <c r="S44" i="5" s="1"/>
  <c r="S45" i="5" s="1"/>
  <c r="W38" i="19"/>
  <c r="S86" i="13"/>
  <c r="S87" i="13" s="1"/>
  <c r="S89" i="13" s="1"/>
  <c r="R18" i="5"/>
  <c r="U89" i="9" l="1"/>
  <c r="U14" i="5" s="1"/>
  <c r="T53" i="17"/>
  <c r="U50" i="17"/>
  <c r="T54" i="17"/>
  <c r="T77" i="17" s="1"/>
  <c r="U69" i="2"/>
  <c r="T73" i="2"/>
  <c r="T79" i="2" s="1"/>
  <c r="W64" i="19"/>
  <c r="W44" i="19"/>
  <c r="W58" i="19"/>
  <c r="W69" i="14"/>
  <c r="V73" i="14"/>
  <c r="V79" i="14" s="1"/>
  <c r="W59" i="20"/>
  <c r="W60" i="20" s="1"/>
  <c r="U52" i="18"/>
  <c r="U53" i="18" s="1"/>
  <c r="U46" i="18"/>
  <c r="U83" i="19"/>
  <c r="U71" i="19"/>
  <c r="U70" i="19"/>
  <c r="U72" i="19" s="1"/>
  <c r="S86" i="2"/>
  <c r="S87" i="2" s="1"/>
  <c r="S89" i="2" s="1"/>
  <c r="U86" i="14"/>
  <c r="U87" i="14"/>
  <c r="U89" i="14" s="1"/>
  <c r="V76" i="9"/>
  <c r="V80" i="9" s="1"/>
  <c r="V38" i="5"/>
  <c r="U76" i="15"/>
  <c r="U80" i="15" s="1"/>
  <c r="U35" i="5"/>
  <c r="S84" i="17"/>
  <c r="S51" i="5"/>
  <c r="S85" i="17"/>
  <c r="S86" i="17" s="1"/>
  <c r="S87" i="17" s="1"/>
  <c r="S88" i="17"/>
  <c r="S68" i="5" s="1"/>
  <c r="W39" i="19"/>
  <c r="W40" i="19" s="1"/>
  <c r="W78" i="19" s="1"/>
  <c r="W43" i="10"/>
  <c r="V47" i="10"/>
  <c r="U83" i="11"/>
  <c r="U71" i="11"/>
  <c r="U70" i="11"/>
  <c r="U72" i="11" s="1"/>
  <c r="V69" i="18"/>
  <c r="U73" i="18"/>
  <c r="U79" i="18" s="1"/>
  <c r="W69" i="10"/>
  <c r="V73" i="10"/>
  <c r="V79" i="10" s="1"/>
  <c r="W51" i="9"/>
  <c r="U86" i="10"/>
  <c r="U87" i="10" s="1"/>
  <c r="U89" i="10" s="1"/>
  <c r="U15" i="5" s="1"/>
  <c r="V51" i="15"/>
  <c r="T83" i="20"/>
  <c r="T71" i="20"/>
  <c r="T70" i="20" s="1"/>
  <c r="T72" i="20" s="1"/>
  <c r="U76" i="12"/>
  <c r="U42" i="5"/>
  <c r="T84" i="19"/>
  <c r="T85" i="19"/>
  <c r="T50" i="5"/>
  <c r="T88" i="19"/>
  <c r="T67" i="5" s="1"/>
  <c r="W50" i="10"/>
  <c r="V54" i="10"/>
  <c r="V77" i="10" s="1"/>
  <c r="U43" i="13"/>
  <c r="T47" i="13"/>
  <c r="T52" i="2"/>
  <c r="T53" i="2" s="1"/>
  <c r="T46" i="2"/>
  <c r="U80" i="12"/>
  <c r="W43" i="14"/>
  <c r="V47" i="14"/>
  <c r="S85" i="20"/>
  <c r="S88" i="20"/>
  <c r="S77" i="5" s="1"/>
  <c r="S78" i="5" s="1"/>
  <c r="S79" i="5" s="1"/>
  <c r="S84" i="20"/>
  <c r="S60" i="5"/>
  <c r="W50" i="14"/>
  <c r="V54" i="14"/>
  <c r="V77" i="14" s="1"/>
  <c r="U45" i="11"/>
  <c r="W65" i="20"/>
  <c r="W66" i="20" s="1"/>
  <c r="T83" i="17"/>
  <c r="T71" i="17"/>
  <c r="T70" i="17"/>
  <c r="T72" i="17" s="1"/>
  <c r="T46" i="17"/>
  <c r="U45" i="19"/>
  <c r="T58" i="5"/>
  <c r="T84" i="11"/>
  <c r="T88" i="11"/>
  <c r="T75" i="5" s="1"/>
  <c r="T85" i="11"/>
  <c r="T86" i="11" s="1"/>
  <c r="T87" i="11" s="1"/>
  <c r="T86" i="18"/>
  <c r="T87" i="18" s="1"/>
  <c r="T89" i="18" s="1"/>
  <c r="T16" i="5" s="1"/>
  <c r="W66" i="10"/>
  <c r="T45" i="20"/>
  <c r="V51" i="12"/>
  <c r="U50" i="13"/>
  <c r="T54" i="13"/>
  <c r="T77" i="13" s="1"/>
  <c r="P29" i="5"/>
  <c r="P21" i="5"/>
  <c r="P26" i="5"/>
  <c r="R12" i="5"/>
  <c r="U69" i="20" l="1"/>
  <c r="T73" i="20"/>
  <c r="T79" i="20" s="1"/>
  <c r="W51" i="14"/>
  <c r="U50" i="2"/>
  <c r="T54" i="2"/>
  <c r="T77" i="2" s="1"/>
  <c r="V83" i="15"/>
  <c r="V71" i="15"/>
  <c r="V70" i="15" s="1"/>
  <c r="V72" i="15" s="1"/>
  <c r="V69" i="11"/>
  <c r="U73" i="11"/>
  <c r="U79" i="11" s="1"/>
  <c r="V76" i="10"/>
  <c r="V80" i="10" s="1"/>
  <c r="V39" i="5"/>
  <c r="S89" i="17"/>
  <c r="U85" i="15"/>
  <c r="U84" i="15"/>
  <c r="U52" i="5"/>
  <c r="U88" i="15"/>
  <c r="U69" i="5" s="1"/>
  <c r="V43" i="18"/>
  <c r="U47" i="18"/>
  <c r="V83" i="12"/>
  <c r="V71" i="12"/>
  <c r="V70" i="12"/>
  <c r="V72" i="12" s="1"/>
  <c r="U69" i="17"/>
  <c r="T73" i="17"/>
  <c r="T79" i="17" s="1"/>
  <c r="U52" i="11"/>
  <c r="U53" i="11" s="1"/>
  <c r="U46" i="11"/>
  <c r="P28" i="5"/>
  <c r="P27" i="5"/>
  <c r="V45" i="12"/>
  <c r="T52" i="20"/>
  <c r="T53" i="20" s="1"/>
  <c r="T46" i="20"/>
  <c r="T89" i="11"/>
  <c r="U52" i="19"/>
  <c r="U53" i="19" s="1"/>
  <c r="U46" i="19"/>
  <c r="S87" i="20"/>
  <c r="S89" i="20" s="1"/>
  <c r="S86" i="20"/>
  <c r="U84" i="12"/>
  <c r="U85" i="12"/>
  <c r="U86" i="12" s="1"/>
  <c r="U87" i="12" s="1"/>
  <c r="U59" i="5"/>
  <c r="U88" i="12"/>
  <c r="U76" i="5" s="1"/>
  <c r="T76" i="13"/>
  <c r="T80" i="13" s="1"/>
  <c r="T37" i="5"/>
  <c r="T86" i="19"/>
  <c r="T87" i="19"/>
  <c r="W51" i="10"/>
  <c r="V50" i="18"/>
  <c r="U54" i="18"/>
  <c r="U77" i="18" s="1"/>
  <c r="W65" i="19"/>
  <c r="U43" i="17"/>
  <c r="T47" i="17"/>
  <c r="V76" i="14"/>
  <c r="V80" i="14" s="1"/>
  <c r="V36" i="5"/>
  <c r="U43" i="2"/>
  <c r="T47" i="2"/>
  <c r="U51" i="13"/>
  <c r="U45" i="13" s="1"/>
  <c r="U52" i="13" s="1"/>
  <c r="T89" i="19"/>
  <c r="V45" i="15"/>
  <c r="W83" i="9"/>
  <c r="W71" i="9"/>
  <c r="W70" i="9" s="1"/>
  <c r="W72" i="9" s="1"/>
  <c r="W73" i="9" s="1"/>
  <c r="W79" i="9" s="1"/>
  <c r="W45" i="9"/>
  <c r="S61" i="5"/>
  <c r="S62" i="5" s="1"/>
  <c r="V84" i="9"/>
  <c r="V88" i="9"/>
  <c r="V72" i="5" s="1"/>
  <c r="V55" i="5"/>
  <c r="V85" i="9"/>
  <c r="V69" i="19"/>
  <c r="U73" i="19"/>
  <c r="U79" i="19" s="1"/>
  <c r="W59" i="19"/>
  <c r="R10" i="5"/>
  <c r="Q19" i="5"/>
  <c r="R17" i="5"/>
  <c r="Q9" i="5"/>
  <c r="Q20" i="5" l="1"/>
  <c r="V85" i="14"/>
  <c r="V84" i="14"/>
  <c r="V53" i="5"/>
  <c r="V88" i="14"/>
  <c r="V70" i="5" s="1"/>
  <c r="V88" i="10"/>
  <c r="V73" i="5" s="1"/>
  <c r="V85" i="10"/>
  <c r="V86" i="10" s="1"/>
  <c r="V87" i="10" s="1"/>
  <c r="V56" i="5"/>
  <c r="V84" i="10"/>
  <c r="W69" i="15"/>
  <c r="V73" i="15"/>
  <c r="V79" i="15" s="1"/>
  <c r="U51" i="2"/>
  <c r="U45" i="2" s="1"/>
  <c r="U52" i="2" s="1"/>
  <c r="U53" i="2" s="1"/>
  <c r="W83" i="10"/>
  <c r="W71" i="10"/>
  <c r="W70" i="10" s="1"/>
  <c r="W72" i="10" s="1"/>
  <c r="W73" i="10" s="1"/>
  <c r="W79" i="10" s="1"/>
  <c r="U89" i="12"/>
  <c r="V43" i="19"/>
  <c r="U47" i="19"/>
  <c r="U43" i="20"/>
  <c r="T47" i="20"/>
  <c r="W69" i="12"/>
  <c r="V73" i="12"/>
  <c r="V79" i="12" s="1"/>
  <c r="U86" i="15"/>
  <c r="U87" i="15" s="1"/>
  <c r="W83" i="14"/>
  <c r="W71" i="14"/>
  <c r="W70" i="14" s="1"/>
  <c r="W72" i="14" s="1"/>
  <c r="W73" i="14" s="1"/>
  <c r="W79" i="14" s="1"/>
  <c r="V86" i="9"/>
  <c r="W52" i="9"/>
  <c r="W53" i="9" s="1"/>
  <c r="W54" i="9" s="1"/>
  <c r="W77" i="9" s="1"/>
  <c r="W46" i="9"/>
  <c r="W47" i="9" s="1"/>
  <c r="U83" i="13"/>
  <c r="U71" i="13"/>
  <c r="U70" i="13" s="1"/>
  <c r="U72" i="13" s="1"/>
  <c r="U46" i="13"/>
  <c r="T76" i="17"/>
  <c r="T80" i="17" s="1"/>
  <c r="T34" i="5"/>
  <c r="W66" i="19"/>
  <c r="W45" i="10"/>
  <c r="V50" i="19"/>
  <c r="U54" i="19"/>
  <c r="U77" i="19" s="1"/>
  <c r="U50" i="20"/>
  <c r="T54" i="20"/>
  <c r="T77" i="20" s="1"/>
  <c r="U53" i="13"/>
  <c r="V43" i="11"/>
  <c r="U47" i="11"/>
  <c r="U76" i="18"/>
  <c r="U80" i="18" s="1"/>
  <c r="U40" i="5"/>
  <c r="W60" i="19"/>
  <c r="V52" i="15"/>
  <c r="V53" i="15" s="1"/>
  <c r="V46" i="15"/>
  <c r="T76" i="2"/>
  <c r="T80" i="2" s="1"/>
  <c r="T32" i="5"/>
  <c r="U51" i="17"/>
  <c r="T54" i="5"/>
  <c r="T85" i="13"/>
  <c r="T86" i="13" s="1"/>
  <c r="T87" i="13" s="1"/>
  <c r="T84" i="13"/>
  <c r="T88" i="13"/>
  <c r="T71" i="5" s="1"/>
  <c r="V52" i="12"/>
  <c r="V53" i="12" s="1"/>
  <c r="V46" i="12"/>
  <c r="V50" i="11"/>
  <c r="U54" i="11"/>
  <c r="U77" i="11" s="1"/>
  <c r="V51" i="18"/>
  <c r="W45" i="14"/>
  <c r="S18" i="5"/>
  <c r="V89" i="10" l="1"/>
  <c r="V15" i="5" s="1"/>
  <c r="T89" i="13"/>
  <c r="V50" i="2"/>
  <c r="U54" i="2"/>
  <c r="U77" i="2" s="1"/>
  <c r="W52" i="10"/>
  <c r="W53" i="10" s="1"/>
  <c r="W54" i="10" s="1"/>
  <c r="W77" i="10" s="1"/>
  <c r="W46" i="10"/>
  <c r="W47" i="10" s="1"/>
  <c r="U76" i="19"/>
  <c r="U80" i="19" s="1"/>
  <c r="U33" i="5"/>
  <c r="T76" i="20"/>
  <c r="T80" i="20" s="1"/>
  <c r="T43" i="5"/>
  <c r="T44" i="5" s="1"/>
  <c r="T45" i="5" s="1"/>
  <c r="V45" i="19"/>
  <c r="V52" i="19" s="1"/>
  <c r="V46" i="19"/>
  <c r="W43" i="19" s="1"/>
  <c r="V51" i="19"/>
  <c r="U46" i="2"/>
  <c r="W43" i="12"/>
  <c r="V47" i="12"/>
  <c r="U83" i="17"/>
  <c r="U71" i="17"/>
  <c r="U70" i="17" s="1"/>
  <c r="U72" i="17" s="1"/>
  <c r="W43" i="15"/>
  <c r="V47" i="15"/>
  <c r="V46" i="11"/>
  <c r="W43" i="11" s="1"/>
  <c r="V51" i="11"/>
  <c r="V45" i="11"/>
  <c r="V52" i="11" s="1"/>
  <c r="V47" i="11"/>
  <c r="V43" i="13"/>
  <c r="U47" i="13"/>
  <c r="T51" i="5"/>
  <c r="T84" i="17"/>
  <c r="T88" i="17"/>
  <c r="T68" i="5" s="1"/>
  <c r="T85" i="17"/>
  <c r="V86" i="14"/>
  <c r="V87" i="14"/>
  <c r="V83" i="18"/>
  <c r="V71" i="18"/>
  <c r="V70" i="18" s="1"/>
  <c r="V72" i="18" s="1"/>
  <c r="W50" i="12"/>
  <c r="V54" i="12"/>
  <c r="V77" i="12" s="1"/>
  <c r="W50" i="15"/>
  <c r="V54" i="15"/>
  <c r="V77" i="15" s="1"/>
  <c r="V50" i="13"/>
  <c r="U54" i="13"/>
  <c r="U77" i="13" s="1"/>
  <c r="V69" i="13"/>
  <c r="U73" i="13"/>
  <c r="U79" i="13" s="1"/>
  <c r="W76" i="9"/>
  <c r="W80" i="9" s="1"/>
  <c r="W38" i="5"/>
  <c r="V87" i="9"/>
  <c r="V89" i="9" s="1"/>
  <c r="V14" i="5" s="1"/>
  <c r="W52" i="14"/>
  <c r="W53" i="14" s="1"/>
  <c r="W54" i="14" s="1"/>
  <c r="W77" i="14" s="1"/>
  <c r="W46" i="14"/>
  <c r="W47" i="14" s="1"/>
  <c r="V45" i="18"/>
  <c r="V54" i="11"/>
  <c r="V77" i="11" s="1"/>
  <c r="V53" i="11"/>
  <c r="W50" i="11" s="1"/>
  <c r="U45" i="17"/>
  <c r="T85" i="2"/>
  <c r="T88" i="2"/>
  <c r="T66" i="5" s="1"/>
  <c r="T49" i="5"/>
  <c r="T84" i="2"/>
  <c r="U88" i="18"/>
  <c r="U74" i="5" s="1"/>
  <c r="U85" i="18"/>
  <c r="U57" i="5"/>
  <c r="U84" i="18"/>
  <c r="U76" i="11"/>
  <c r="U80" i="11" s="1"/>
  <c r="U41" i="5"/>
  <c r="V53" i="19"/>
  <c r="W50" i="19" s="1"/>
  <c r="U89" i="15"/>
  <c r="U51" i="20"/>
  <c r="U83" i="2"/>
  <c r="U71" i="2"/>
  <c r="U70" i="2" s="1"/>
  <c r="U72" i="2" s="1"/>
  <c r="V89" i="14"/>
  <c r="Q29" i="5"/>
  <c r="Q21" i="5"/>
  <c r="Q26" i="5"/>
  <c r="T11" i="5"/>
  <c r="S12" i="5"/>
  <c r="W69" i="18" l="1"/>
  <c r="V73" i="18"/>
  <c r="V79" i="18" s="1"/>
  <c r="V69" i="2"/>
  <c r="U73" i="2"/>
  <c r="U79" i="2" s="1"/>
  <c r="V69" i="17"/>
  <c r="U73" i="17"/>
  <c r="U79" i="17" s="1"/>
  <c r="W84" i="9"/>
  <c r="W55" i="5"/>
  <c r="W85" i="9"/>
  <c r="W88" i="9"/>
  <c r="W72" i="5" s="1"/>
  <c r="V51" i="13"/>
  <c r="V45" i="13" s="1"/>
  <c r="W51" i="11"/>
  <c r="W76" i="10"/>
  <c r="W80" i="10" s="1"/>
  <c r="W39" i="5"/>
  <c r="U85" i="11"/>
  <c r="U88" i="11"/>
  <c r="U75" i="5" s="1"/>
  <c r="U84" i="11"/>
  <c r="U58" i="5"/>
  <c r="U86" i="18"/>
  <c r="U87" i="18" s="1"/>
  <c r="U52" i="17"/>
  <c r="U53" i="17" s="1"/>
  <c r="U46" i="17"/>
  <c r="V52" i="18"/>
  <c r="V53" i="18" s="1"/>
  <c r="V46" i="18"/>
  <c r="T86" i="17"/>
  <c r="T87" i="17"/>
  <c r="T89" i="17" s="1"/>
  <c r="V76" i="15"/>
  <c r="V80" i="15" s="1"/>
  <c r="V35" i="5"/>
  <c r="V76" i="12"/>
  <c r="V80" i="12" s="1"/>
  <c r="V42" i="5"/>
  <c r="V43" i="2"/>
  <c r="U47" i="2"/>
  <c r="T84" i="20"/>
  <c r="T89" i="20" s="1"/>
  <c r="T85" i="20"/>
  <c r="T86" i="20" s="1"/>
  <c r="T87" i="20" s="1"/>
  <c r="T88" i="20"/>
  <c r="T77" i="5" s="1"/>
  <c r="T60" i="5"/>
  <c r="T61" i="5" s="1"/>
  <c r="T62" i="5" s="1"/>
  <c r="U84" i="19"/>
  <c r="U88" i="19"/>
  <c r="U67" i="5" s="1"/>
  <c r="U50" i="5"/>
  <c r="U85" i="19"/>
  <c r="U86" i="19" s="1"/>
  <c r="U87" i="19" s="1"/>
  <c r="U83" i="20"/>
  <c r="U71" i="20"/>
  <c r="U70" i="20"/>
  <c r="U72" i="20" s="1"/>
  <c r="T86" i="2"/>
  <c r="V76" i="11"/>
  <c r="V41" i="5"/>
  <c r="W51" i="19"/>
  <c r="Q27" i="5"/>
  <c r="Q28" i="5"/>
  <c r="U45" i="20"/>
  <c r="V54" i="19"/>
  <c r="V77" i="19" s="1"/>
  <c r="T78" i="5"/>
  <c r="T79" i="5" s="1"/>
  <c r="W76" i="14"/>
  <c r="W80" i="14" s="1"/>
  <c r="W36" i="5"/>
  <c r="U76" i="13"/>
  <c r="U80" i="13" s="1"/>
  <c r="U37" i="5"/>
  <c r="V83" i="11"/>
  <c r="V70" i="11"/>
  <c r="V72" i="11" s="1"/>
  <c r="V71" i="11"/>
  <c r="W51" i="15"/>
  <c r="W51" i="12"/>
  <c r="V83" i="19"/>
  <c r="V71" i="19"/>
  <c r="V70" i="19" s="1"/>
  <c r="V72" i="19" s="1"/>
  <c r="V47" i="19"/>
  <c r="R19" i="5"/>
  <c r="S10" i="5"/>
  <c r="U89" i="18" l="1"/>
  <c r="U16" i="5" s="1"/>
  <c r="U88" i="13"/>
  <c r="U71" i="5" s="1"/>
  <c r="U54" i="5"/>
  <c r="U85" i="13"/>
  <c r="U84" i="13"/>
  <c r="V52" i="13"/>
  <c r="V53" i="13" s="1"/>
  <c r="V46" i="13"/>
  <c r="W69" i="19"/>
  <c r="V73" i="19"/>
  <c r="V79" i="19" s="1"/>
  <c r="W83" i="12"/>
  <c r="W71" i="12"/>
  <c r="W70" i="12"/>
  <c r="W72" i="12" s="1"/>
  <c r="W73" i="12" s="1"/>
  <c r="W79" i="12" s="1"/>
  <c r="W45" i="12"/>
  <c r="V85" i="15"/>
  <c r="V84" i="15"/>
  <c r="V88" i="15"/>
  <c r="V69" i="5" s="1"/>
  <c r="V52" i="5"/>
  <c r="W43" i="18"/>
  <c r="V47" i="18"/>
  <c r="W84" i="10"/>
  <c r="W56" i="5"/>
  <c r="W85" i="10"/>
  <c r="W88" i="10"/>
  <c r="W73" i="5" s="1"/>
  <c r="U76" i="2"/>
  <c r="U80" i="2" s="1"/>
  <c r="U32" i="5"/>
  <c r="V88" i="12"/>
  <c r="V76" i="5" s="1"/>
  <c r="V85" i="12"/>
  <c r="V86" i="12" s="1"/>
  <c r="V87" i="12" s="1"/>
  <c r="V59" i="5"/>
  <c r="V84" i="12"/>
  <c r="W50" i="18"/>
  <c r="V54" i="18"/>
  <c r="V77" i="18" s="1"/>
  <c r="U86" i="11"/>
  <c r="U87" i="11"/>
  <c r="U89" i="11" s="1"/>
  <c r="W83" i="11"/>
  <c r="W71" i="11"/>
  <c r="W70" i="11"/>
  <c r="W45" i="11"/>
  <c r="W69" i="11"/>
  <c r="V73" i="11"/>
  <c r="V79" i="11" s="1"/>
  <c r="V80" i="11" s="1"/>
  <c r="V69" i="20"/>
  <c r="U73" i="20"/>
  <c r="U79" i="20" s="1"/>
  <c r="V50" i="17"/>
  <c r="U54" i="17"/>
  <c r="U77" i="17" s="1"/>
  <c r="W86" i="9"/>
  <c r="W87" i="9" s="1"/>
  <c r="W89" i="9" s="1"/>
  <c r="W14" i="5" s="1"/>
  <c r="W83" i="15"/>
  <c r="W71" i="15"/>
  <c r="W70" i="15" s="1"/>
  <c r="W72" i="15" s="1"/>
  <c r="W73" i="15" s="1"/>
  <c r="W79" i="15" s="1"/>
  <c r="V33" i="5"/>
  <c r="V76" i="19"/>
  <c r="W45" i="15"/>
  <c r="W53" i="5"/>
  <c r="W85" i="14"/>
  <c r="W84" i="14"/>
  <c r="W88" i="14"/>
  <c r="W70" i="5" s="1"/>
  <c r="U52" i="20"/>
  <c r="U53" i="20" s="1"/>
  <c r="U46" i="20"/>
  <c r="W83" i="19"/>
  <c r="W70" i="19"/>
  <c r="W71" i="19"/>
  <c r="W45" i="19"/>
  <c r="T87" i="2"/>
  <c r="T89" i="2" s="1"/>
  <c r="U89" i="19"/>
  <c r="V51" i="2"/>
  <c r="V43" i="17"/>
  <c r="U47" i="17"/>
  <c r="V83" i="13"/>
  <c r="V71" i="13"/>
  <c r="V70" i="13" s="1"/>
  <c r="V72" i="13" s="1"/>
  <c r="R9" i="5"/>
  <c r="S17" i="5"/>
  <c r="R20" i="5" l="1"/>
  <c r="U34" i="5"/>
  <c r="U76" i="17"/>
  <c r="U80" i="17" s="1"/>
  <c r="V50" i="20"/>
  <c r="U54" i="20"/>
  <c r="U77" i="20" s="1"/>
  <c r="W86" i="14"/>
  <c r="W87" i="14"/>
  <c r="W52" i="11"/>
  <c r="W53" i="11" s="1"/>
  <c r="W54" i="11" s="1"/>
  <c r="W77" i="11" s="1"/>
  <c r="W46" i="11"/>
  <c r="W47" i="11" s="1"/>
  <c r="W51" i="18"/>
  <c r="W45" i="18" s="1"/>
  <c r="W52" i="18" s="1"/>
  <c r="W53" i="18" s="1"/>
  <c r="W54" i="18" s="1"/>
  <c r="W77" i="18" s="1"/>
  <c r="W43" i="13"/>
  <c r="V47" i="13"/>
  <c r="W52" i="19"/>
  <c r="W53" i="19" s="1"/>
  <c r="W54" i="19" s="1"/>
  <c r="W77" i="19" s="1"/>
  <c r="W46" i="19"/>
  <c r="W47" i="19" s="1"/>
  <c r="V84" i="11"/>
  <c r="V58" i="5"/>
  <c r="V85" i="11"/>
  <c r="V88" i="11"/>
  <c r="V75" i="5" s="1"/>
  <c r="V86" i="15"/>
  <c r="V87" i="15" s="1"/>
  <c r="V89" i="15" s="1"/>
  <c r="V80" i="19"/>
  <c r="W50" i="13"/>
  <c r="V54" i="13"/>
  <c r="V77" i="13" s="1"/>
  <c r="W69" i="13"/>
  <c r="V73" i="13"/>
  <c r="V79" i="13" s="1"/>
  <c r="U86" i="13"/>
  <c r="U87" i="13" s="1"/>
  <c r="V51" i="17"/>
  <c r="U85" i="2"/>
  <c r="U86" i="2" s="1"/>
  <c r="U87" i="2" s="1"/>
  <c r="U84" i="2"/>
  <c r="U88" i="2"/>
  <c r="U66" i="5" s="1"/>
  <c r="U49" i="5"/>
  <c r="V83" i="2"/>
  <c r="V71" i="2"/>
  <c r="V70" i="2" s="1"/>
  <c r="V72" i="2" s="1"/>
  <c r="V45" i="2"/>
  <c r="V43" i="20"/>
  <c r="U47" i="20"/>
  <c r="W52" i="15"/>
  <c r="W53" i="15" s="1"/>
  <c r="W54" i="15" s="1"/>
  <c r="W77" i="15" s="1"/>
  <c r="W46" i="15"/>
  <c r="W47" i="15" s="1"/>
  <c r="W72" i="11"/>
  <c r="W73" i="11"/>
  <c r="W79" i="11" s="1"/>
  <c r="V89" i="12"/>
  <c r="W86" i="10"/>
  <c r="W87" i="10" s="1"/>
  <c r="W89" i="10" s="1"/>
  <c r="W15" i="5" s="1"/>
  <c r="V76" i="18"/>
  <c r="V80" i="18" s="1"/>
  <c r="V40" i="5"/>
  <c r="W52" i="12"/>
  <c r="W53" i="12" s="1"/>
  <c r="W54" i="12" s="1"/>
  <c r="W77" i="12" s="1"/>
  <c r="W46" i="12"/>
  <c r="W47" i="12" s="1"/>
  <c r="W72" i="19"/>
  <c r="W73" i="19" s="1"/>
  <c r="W79" i="19" s="1"/>
  <c r="U11" i="5"/>
  <c r="T18" i="5"/>
  <c r="V51" i="20" l="1"/>
  <c r="V83" i="17"/>
  <c r="V70" i="17"/>
  <c r="V72" i="17" s="1"/>
  <c r="V71" i="17"/>
  <c r="V45" i="17"/>
  <c r="W76" i="19"/>
  <c r="W80" i="19" s="1"/>
  <c r="W33" i="5"/>
  <c r="W51" i="13"/>
  <c r="R21" i="5"/>
  <c r="R26" i="5"/>
  <c r="R29" i="5"/>
  <c r="W76" i="15"/>
  <c r="W80" i="15" s="1"/>
  <c r="W35" i="5"/>
  <c r="W69" i="2"/>
  <c r="V73" i="2"/>
  <c r="V79" i="2" s="1"/>
  <c r="V76" i="13"/>
  <c r="V80" i="13" s="1"/>
  <c r="V37" i="5"/>
  <c r="W76" i="11"/>
  <c r="W80" i="11" s="1"/>
  <c r="W41" i="5"/>
  <c r="V52" i="2"/>
  <c r="V53" i="2" s="1"/>
  <c r="V46" i="2"/>
  <c r="W76" i="12"/>
  <c r="W80" i="12" s="1"/>
  <c r="W42" i="5"/>
  <c r="V84" i="18"/>
  <c r="V88" i="18"/>
  <c r="V74" i="5" s="1"/>
  <c r="V85" i="18"/>
  <c r="V57" i="5"/>
  <c r="U76" i="20"/>
  <c r="U80" i="20" s="1"/>
  <c r="U43" i="5"/>
  <c r="U44" i="5" s="1"/>
  <c r="U45" i="5" s="1"/>
  <c r="U89" i="2"/>
  <c r="U89" i="13"/>
  <c r="V85" i="19"/>
  <c r="V84" i="19"/>
  <c r="V88" i="19"/>
  <c r="V67" i="5" s="1"/>
  <c r="V50" i="5"/>
  <c r="V86" i="11"/>
  <c r="V87" i="11"/>
  <c r="V89" i="11" s="1"/>
  <c r="W83" i="18"/>
  <c r="W71" i="18"/>
  <c r="W70" i="18" s="1"/>
  <c r="W72" i="18" s="1"/>
  <c r="W73" i="18" s="1"/>
  <c r="W79" i="18" s="1"/>
  <c r="W46" i="18"/>
  <c r="W47" i="18" s="1"/>
  <c r="W89" i="14"/>
  <c r="U51" i="5"/>
  <c r="U85" i="17"/>
  <c r="U86" i="17" s="1"/>
  <c r="U87" i="17" s="1"/>
  <c r="U84" i="17"/>
  <c r="U88" i="17"/>
  <c r="U68" i="5" s="1"/>
  <c r="T12" i="5"/>
  <c r="T17" i="5"/>
  <c r="U89" i="17" l="1"/>
  <c r="W58" i="5"/>
  <c r="W85" i="11"/>
  <c r="W86" i="11" s="1"/>
  <c r="W87" i="11" s="1"/>
  <c r="W84" i="11"/>
  <c r="W88" i="11"/>
  <c r="W75" i="5" s="1"/>
  <c r="W84" i="19"/>
  <c r="W50" i="5"/>
  <c r="W85" i="19"/>
  <c r="W88" i="19"/>
  <c r="W67" i="5" s="1"/>
  <c r="W40" i="5"/>
  <c r="W76" i="18"/>
  <c r="W80" i="18" s="1"/>
  <c r="V87" i="19"/>
  <c r="V89" i="19" s="1"/>
  <c r="V86" i="19"/>
  <c r="U85" i="20"/>
  <c r="U86" i="20" s="1"/>
  <c r="U87" i="20" s="1"/>
  <c r="U84" i="20"/>
  <c r="U60" i="5"/>
  <c r="U61" i="5" s="1"/>
  <c r="U62" i="5" s="1"/>
  <c r="U88" i="20"/>
  <c r="U77" i="5" s="1"/>
  <c r="U78" i="5" s="1"/>
  <c r="U79" i="5" s="1"/>
  <c r="W85" i="12"/>
  <c r="W86" i="12" s="1"/>
  <c r="W87" i="12" s="1"/>
  <c r="W84" i="12"/>
  <c r="W59" i="5"/>
  <c r="W88" i="12"/>
  <c r="W76" i="5" s="1"/>
  <c r="W85" i="15"/>
  <c r="W84" i="15"/>
  <c r="W88" i="15"/>
  <c r="W69" i="5" s="1"/>
  <c r="W52" i="5"/>
  <c r="V86" i="18"/>
  <c r="V87" i="18" s="1"/>
  <c r="V89" i="18" s="1"/>
  <c r="V16" i="5" s="1"/>
  <c r="W43" i="2"/>
  <c r="V47" i="2"/>
  <c r="V83" i="20"/>
  <c r="V71" i="20"/>
  <c r="V70" i="20" s="1"/>
  <c r="V72" i="20" s="1"/>
  <c r="V45" i="20"/>
  <c r="W50" i="2"/>
  <c r="V54" i="2"/>
  <c r="V77" i="2" s="1"/>
  <c r="R27" i="5"/>
  <c r="R28" i="5"/>
  <c r="V84" i="13"/>
  <c r="V88" i="13"/>
  <c r="V71" i="5" s="1"/>
  <c r="V54" i="5"/>
  <c r="V85" i="13"/>
  <c r="W69" i="17"/>
  <c r="V73" i="17"/>
  <c r="V79" i="17" s="1"/>
  <c r="W83" i="13"/>
  <c r="W71" i="13"/>
  <c r="W70" i="13" s="1"/>
  <c r="W72" i="13" s="1"/>
  <c r="W73" i="13" s="1"/>
  <c r="W79" i="13" s="1"/>
  <c r="W45" i="13"/>
  <c r="V52" i="17"/>
  <c r="V53" i="17" s="1"/>
  <c r="V46" i="17"/>
  <c r="U12" i="5"/>
  <c r="T10" i="5"/>
  <c r="S9" i="5"/>
  <c r="W69" i="20" l="1"/>
  <c r="V73" i="20"/>
  <c r="V79" i="20" s="1"/>
  <c r="W57" i="5"/>
  <c r="W85" i="18"/>
  <c r="W86" i="18" s="1"/>
  <c r="W87" i="18" s="1"/>
  <c r="W84" i="18"/>
  <c r="W88" i="18"/>
  <c r="W74" i="5" s="1"/>
  <c r="W50" i="17"/>
  <c r="V54" i="17"/>
  <c r="V77" i="17" s="1"/>
  <c r="W52" i="13"/>
  <c r="W53" i="13" s="1"/>
  <c r="W54" i="13" s="1"/>
  <c r="W77" i="13" s="1"/>
  <c r="W46" i="13"/>
  <c r="W47" i="13" s="1"/>
  <c r="W43" i="17"/>
  <c r="V47" i="17"/>
  <c r="V86" i="13"/>
  <c r="V87" i="13" s="1"/>
  <c r="V89" i="13" s="1"/>
  <c r="V52" i="20"/>
  <c r="V53" i="20" s="1"/>
  <c r="V46" i="20"/>
  <c r="W89" i="12"/>
  <c r="V32" i="5"/>
  <c r="V76" i="2"/>
  <c r="V80" i="2" s="1"/>
  <c r="U89" i="20"/>
  <c r="W89" i="11"/>
  <c r="W51" i="2"/>
  <c r="W45" i="2" s="1"/>
  <c r="W52" i="2" s="1"/>
  <c r="W86" i="15"/>
  <c r="W87" i="15" s="1"/>
  <c r="W89" i="15" s="1"/>
  <c r="W86" i="19"/>
  <c r="W87" i="19"/>
  <c r="V11" i="5"/>
  <c r="S19" i="5"/>
  <c r="U18" i="5"/>
  <c r="V12" i="5"/>
  <c r="U17" i="5"/>
  <c r="S20" i="5" l="1"/>
  <c r="W51" i="17"/>
  <c r="W45" i="17" s="1"/>
  <c r="W76" i="13"/>
  <c r="W80" i="13" s="1"/>
  <c r="W37" i="5"/>
  <c r="W43" i="20"/>
  <c r="V47" i="20"/>
  <c r="W89" i="19"/>
  <c r="W83" i="2"/>
  <c r="W71" i="2"/>
  <c r="W70" i="2" s="1"/>
  <c r="W72" i="2" s="1"/>
  <c r="W73" i="2" s="1"/>
  <c r="W79" i="2" s="1"/>
  <c r="W46" i="2"/>
  <c r="W47" i="2" s="1"/>
  <c r="V84" i="2"/>
  <c r="V49" i="5"/>
  <c r="V85" i="2"/>
  <c r="V88" i="2"/>
  <c r="V66" i="5" s="1"/>
  <c r="W53" i="2"/>
  <c r="W54" i="2" s="1"/>
  <c r="W77" i="2" s="1"/>
  <c r="W50" i="20"/>
  <c r="V54" i="20"/>
  <c r="V77" i="20" s="1"/>
  <c r="V76" i="17"/>
  <c r="V80" i="17" s="1"/>
  <c r="V34" i="5"/>
  <c r="W89" i="18"/>
  <c r="W16" i="5" s="1"/>
  <c r="W12" i="5"/>
  <c r="V18" i="5"/>
  <c r="T9" i="5"/>
  <c r="V17" i="5"/>
  <c r="W11" i="5"/>
  <c r="W52" i="17" l="1"/>
  <c r="W53" i="17" s="1"/>
  <c r="W54" i="17" s="1"/>
  <c r="W77" i="17" s="1"/>
  <c r="W46" i="17"/>
  <c r="W47" i="17" s="1"/>
  <c r="V84" i="17"/>
  <c r="V51" i="5"/>
  <c r="V85" i="17"/>
  <c r="V86" i="17" s="1"/>
  <c r="V87" i="17" s="1"/>
  <c r="V89" i="17" s="1"/>
  <c r="V88" i="17"/>
  <c r="V68" i="5" s="1"/>
  <c r="V76" i="20"/>
  <c r="V80" i="20" s="1"/>
  <c r="V43" i="5"/>
  <c r="V44" i="5" s="1"/>
  <c r="V45" i="5" s="1"/>
  <c r="W85" i="13"/>
  <c r="W84" i="13"/>
  <c r="W88" i="13"/>
  <c r="W71" i="5" s="1"/>
  <c r="W54" i="5"/>
  <c r="S29" i="5"/>
  <c r="S26" i="5"/>
  <c r="S21" i="5"/>
  <c r="V86" i="2"/>
  <c r="V87" i="2" s="1"/>
  <c r="V89" i="2" s="1"/>
  <c r="W76" i="2"/>
  <c r="W80" i="2" s="1"/>
  <c r="W32" i="5"/>
  <c r="W45" i="20"/>
  <c r="W52" i="20" s="1"/>
  <c r="W51" i="20"/>
  <c r="W83" i="17"/>
  <c r="W71" i="17"/>
  <c r="W70" i="17" s="1"/>
  <c r="W72" i="17" s="1"/>
  <c r="W73" i="17" s="1"/>
  <c r="W79" i="17" s="1"/>
  <c r="W17" i="5"/>
  <c r="U9" i="5"/>
  <c r="U10" i="5"/>
  <c r="W18" i="5"/>
  <c r="W85" i="2" l="1"/>
  <c r="W86" i="2" s="1"/>
  <c r="W87" i="2" s="1"/>
  <c r="W84" i="2"/>
  <c r="W88" i="2"/>
  <c r="W66" i="5" s="1"/>
  <c r="W49" i="5"/>
  <c r="V88" i="20"/>
  <c r="V77" i="5" s="1"/>
  <c r="V85" i="20"/>
  <c r="V86" i="20" s="1"/>
  <c r="V87" i="20" s="1"/>
  <c r="V60" i="5"/>
  <c r="V61" i="5" s="1"/>
  <c r="V62" i="5" s="1"/>
  <c r="V84" i="20"/>
  <c r="W83" i="20"/>
  <c r="W70" i="20"/>
  <c r="W72" i="20" s="1"/>
  <c r="W73" i="20" s="1"/>
  <c r="W79" i="20" s="1"/>
  <c r="W71" i="20"/>
  <c r="W53" i="20"/>
  <c r="W54" i="20" s="1"/>
  <c r="W77" i="20" s="1"/>
  <c r="W86" i="13"/>
  <c r="W87" i="13" s="1"/>
  <c r="W76" i="17"/>
  <c r="W80" i="17" s="1"/>
  <c r="W34" i="5"/>
  <c r="W46" i="20"/>
  <c r="W47" i="20" s="1"/>
  <c r="S28" i="5"/>
  <c r="S27" i="5"/>
  <c r="V78" i="5"/>
  <c r="V79" i="5" s="1"/>
  <c r="V9" i="5"/>
  <c r="W9" i="5"/>
  <c r="W84" i="17" l="1"/>
  <c r="W85" i="17"/>
  <c r="W86" i="17" s="1"/>
  <c r="W87" i="17" s="1"/>
  <c r="W51" i="5"/>
  <c r="W88" i="17"/>
  <c r="W68" i="5" s="1"/>
  <c r="W80" i="20"/>
  <c r="W89" i="13"/>
  <c r="W89" i="2"/>
  <c r="W76" i="20"/>
  <c r="W43" i="5"/>
  <c r="W44" i="5" s="1"/>
  <c r="W45" i="5" s="1"/>
  <c r="V89" i="20"/>
  <c r="T19" i="5"/>
  <c r="T20" i="5" l="1"/>
  <c r="W60" i="5"/>
  <c r="W61" i="5" s="1"/>
  <c r="W62" i="5" s="1"/>
  <c r="W85" i="20"/>
  <c r="W84" i="20"/>
  <c r="W88" i="20"/>
  <c r="W77" i="5" s="1"/>
  <c r="W78" i="5" s="1"/>
  <c r="W79" i="5" s="1"/>
  <c r="W89" i="17"/>
  <c r="V10" i="5"/>
  <c r="T26" i="5" l="1"/>
  <c r="T21" i="5"/>
  <c r="T29" i="5"/>
  <c r="W87" i="20"/>
  <c r="W86" i="20"/>
  <c r="W10" i="5"/>
  <c r="T28" i="5" l="1"/>
  <c r="T27" i="5"/>
  <c r="W89" i="20"/>
  <c r="U19" i="5"/>
  <c r="V19" i="5" s="1"/>
  <c r="W19" i="5"/>
  <c r="W20" i="5" l="1"/>
  <c r="W29" i="5" s="1"/>
  <c r="V20" i="5"/>
  <c r="V26" i="5" s="1"/>
  <c r="U20" i="5"/>
  <c r="U26" i="5" s="1"/>
  <c r="W26" i="5" l="1"/>
  <c r="W28" i="5" s="1"/>
  <c r="V29" i="5"/>
  <c r="U29" i="5"/>
  <c r="V21" i="5"/>
  <c r="U21" i="5"/>
  <c r="W21" i="5"/>
  <c r="V27" i="5"/>
  <c r="V28" i="5"/>
  <c r="U28" i="5"/>
  <c r="U27" i="5"/>
  <c r="W27" i="5" l="1"/>
</calcChain>
</file>

<file path=xl/sharedStrings.xml><?xml version="1.0" encoding="utf-8"?>
<sst xmlns="http://schemas.openxmlformats.org/spreadsheetml/2006/main" count="1157" uniqueCount="163">
  <si>
    <t>($ million)</t>
  </si>
  <si>
    <t>Line</t>
  </si>
  <si>
    <t>Column</t>
  </si>
  <si>
    <t>Reference</t>
  </si>
  <si>
    <t>Amortization</t>
  </si>
  <si>
    <t>Total</t>
  </si>
  <si>
    <t>Per Cent Increase</t>
  </si>
  <si>
    <t>Construction Work in Progress</t>
  </si>
  <si>
    <t xml:space="preserve"> </t>
  </si>
  <si>
    <t>Opening Balance</t>
  </si>
  <si>
    <t>Capital Expenditures</t>
  </si>
  <si>
    <t>Capital Additions</t>
  </si>
  <si>
    <t>Closing Balance</t>
  </si>
  <si>
    <t>Gross Property</t>
  </si>
  <si>
    <t>Retirements</t>
  </si>
  <si>
    <t>Accumulated Depreciation</t>
  </si>
  <si>
    <t>Mid-Year Balance</t>
  </si>
  <si>
    <t>Revenue Requirements</t>
  </si>
  <si>
    <t>Income Taxes</t>
  </si>
  <si>
    <t>Operations &amp; Maintenance</t>
  </si>
  <si>
    <t>CWIP in Rate Base</t>
  </si>
  <si>
    <t>Mid-Year Rate Base</t>
  </si>
  <si>
    <t>Project:</t>
  </si>
  <si>
    <t>In-Service Year (yyyy)</t>
  </si>
  <si>
    <t>Debt (% of Capital)</t>
  </si>
  <si>
    <t>Cost of Debt (%)</t>
  </si>
  <si>
    <t>Equity (% of Capital)</t>
  </si>
  <si>
    <t>Cost of Equity (%)</t>
  </si>
  <si>
    <t>O&amp;M (% of Capital Additions)</t>
  </si>
  <si>
    <t>O&amp;M Escalation Rate (%)</t>
  </si>
  <si>
    <t>CWIP Carrying Cost (IDC or AFUDC)</t>
  </si>
  <si>
    <t>CWIP in Rate Base (Y or N)</t>
  </si>
  <si>
    <t>Capital Expenditures (nominal $ millions)</t>
  </si>
  <si>
    <t>AFUDC</t>
  </si>
  <si>
    <t>Cost of Debt</t>
  </si>
  <si>
    <t>Cost of Equity</t>
  </si>
  <si>
    <t>Deferred Income Tax Account</t>
  </si>
  <si>
    <t>Y</t>
  </si>
  <si>
    <t>SCE</t>
  </si>
  <si>
    <t>Anaheim</t>
  </si>
  <si>
    <t>Azusa</t>
  </si>
  <si>
    <t>Banning</t>
  </si>
  <si>
    <t>Pasadena</t>
  </si>
  <si>
    <t>Riverside</t>
  </si>
  <si>
    <t>Vernon</t>
  </si>
  <si>
    <t>HV Base TRR</t>
  </si>
  <si>
    <t>HV TRBAA</t>
  </si>
  <si>
    <t>HV Standby Credit</t>
  </si>
  <si>
    <t>HV TRBAA Escalation</t>
  </si>
  <si>
    <t>HV Standby Credit Escalation</t>
  </si>
  <si>
    <t>Gross Load Growth</t>
  </si>
  <si>
    <t>Gross Load (GWh)</t>
  </si>
  <si>
    <t>TAC Rate ($/MWh)</t>
  </si>
  <si>
    <t>HV Revenue Requirements</t>
  </si>
  <si>
    <t>Existing Facilities</t>
  </si>
  <si>
    <t>Summary</t>
  </si>
  <si>
    <t>Rate Base</t>
  </si>
  <si>
    <t>Return</t>
  </si>
  <si>
    <t>Subtotal</t>
  </si>
  <si>
    <t>Other PTOs</t>
  </si>
  <si>
    <t>Gross Plant</t>
  </si>
  <si>
    <t>HV Gross Plant</t>
  </si>
  <si>
    <t>HV Rate Base</t>
  </si>
  <si>
    <t>Total HV Base TRR</t>
  </si>
  <si>
    <t>Forecast Assumptions:</t>
  </si>
  <si>
    <t>Average Return Rate</t>
  </si>
  <si>
    <t>Reliability</t>
  </si>
  <si>
    <t>South CC</t>
  </si>
  <si>
    <t>WOD</t>
  </si>
  <si>
    <t>CW-Lugo</t>
  </si>
  <si>
    <t>Depreciation Rate (%)</t>
  </si>
  <si>
    <t>Depreciation</t>
  </si>
  <si>
    <t>Income Taxes - Federal</t>
  </si>
  <si>
    <t>Income Taxes - State</t>
  </si>
  <si>
    <t>Cumulative Per Cent Increase</t>
  </si>
  <si>
    <t>Deferred Income Taxes</t>
  </si>
  <si>
    <t>Deferred Income Taxes - Federal</t>
  </si>
  <si>
    <t>Deferred Income Taxes - State</t>
  </si>
  <si>
    <t>Depreciation - Federal Income Tax</t>
  </si>
  <si>
    <t>Depreciation - State Income Tax</t>
  </si>
  <si>
    <t>Federal Income Tax (MACRS 15-year)</t>
  </si>
  <si>
    <t>Federal Income Tax Rate (%)</t>
  </si>
  <si>
    <t>State Income Tax Declining Balance (%)</t>
  </si>
  <si>
    <t>State Income Tax Rate</t>
  </si>
  <si>
    <t>Deferred Federal Income Tax (Y or N)</t>
  </si>
  <si>
    <t>Deferred State Income Tax (Y or N)</t>
  </si>
  <si>
    <t>Links</t>
  </si>
  <si>
    <t>PG&amp;E</t>
  </si>
  <si>
    <t>SDG&amp;E</t>
  </si>
  <si>
    <t>Trans Bay Cable</t>
  </si>
  <si>
    <t>Citizens Sunrise</t>
  </si>
  <si>
    <t>Colton</t>
  </si>
  <si>
    <t>Line 141</t>
  </si>
  <si>
    <t xml:space="preserve">HV Total </t>
  </si>
  <si>
    <r>
      <t xml:space="preserve">Gross Load </t>
    </r>
    <r>
      <rPr>
        <b/>
        <sz val="10"/>
        <color theme="1"/>
        <rFont val="Arial"/>
        <family val="2"/>
      </rPr>
      <t xml:space="preserve">(GWh) </t>
    </r>
  </si>
  <si>
    <t xml:space="preserve">TAC Rate ($/MWh) </t>
  </si>
  <si>
    <t xml:space="preserve">HV Utility Specific Rates ($/MWh) </t>
  </si>
  <si>
    <t>DATC Path 15</t>
  </si>
  <si>
    <t>Startrans IO</t>
  </si>
  <si>
    <t>Tariff Filing, Exhibit DAT-3, Page 1, Line 11</t>
  </si>
  <si>
    <t>Tariff Filing, Exhibit DAT-3, Page 1, Line 18</t>
  </si>
  <si>
    <t>Tariff Filing, Exhibit DAT-3, Page 1, Line 20</t>
  </si>
  <si>
    <t>Tariff Filing, Exhibit DAT-3, Page 1, Line 1</t>
  </si>
  <si>
    <t>Tariff Filing, Exhibit DAT-3, Page 1, Line 10</t>
  </si>
  <si>
    <t>Tariff Filing, Exhibit DAT-3, Page 1, Line 14</t>
  </si>
  <si>
    <t>Non-ISO Capital (% of Gross Plant)</t>
  </si>
  <si>
    <t>Tariff Filing, Statement BK, Period II, Line 1</t>
  </si>
  <si>
    <t>DATC Path 15 Tariff Filing</t>
  </si>
  <si>
    <t>Trans Bay Cable Tariff Filing</t>
  </si>
  <si>
    <t>Operations and Maintenance Costs</t>
  </si>
  <si>
    <t>New Project 10</t>
  </si>
  <si>
    <t>New Project 11</t>
  </si>
  <si>
    <t>New Project 12</t>
  </si>
  <si>
    <t>ClrdoRvr</t>
  </si>
  <si>
    <t>Tariff Filing, Statement BK, Period II, Line 20</t>
  </si>
  <si>
    <t>Tariff Filing, Statement BK, Period II, Line 16</t>
  </si>
  <si>
    <t>Tariff Filing, Statement BK, Period II, Line 11</t>
  </si>
  <si>
    <t>Tariff Filing, Statement BK, Period II, Line 13</t>
  </si>
  <si>
    <t>Tariff Filing, Statement BK, Period II, Line 9</t>
  </si>
  <si>
    <t>TAC Rate excluding existing facilities</t>
  </si>
  <si>
    <t>GWT/VEA</t>
  </si>
  <si>
    <t>Docket</t>
  </si>
  <si>
    <t>https://elibrary.ferc.gov/idmws/common/OpenNat.asp?fileID=14495819</t>
  </si>
  <si>
    <t>ER17-998-000</t>
  </si>
  <si>
    <t>2018-19 Policy and Econ</t>
  </si>
  <si>
    <t>CAISO January 01, 2019 TAC Rates (updated as of January 7, 2019)</t>
  </si>
  <si>
    <t>CAISO January 01, 2019 TAC Rates</t>
  </si>
  <si>
    <t>https://www.caiso.com/Documents/HighVoltageAccessChargeRatesEffectiveJan01_2019_RevisedJan01_2019.pdf</t>
  </si>
  <si>
    <t>PG&amp;E TO20 Filing</t>
  </si>
  <si>
    <t>ER19-13-000</t>
  </si>
  <si>
    <t>https://elibrary.ferc.gov/idmws/common/OpenNat.asp?fileID=15055388</t>
  </si>
  <si>
    <t>SCE TO2019 Annual Update</t>
  </si>
  <si>
    <t>ER18-169-000</t>
  </si>
  <si>
    <t>https://elibrary.ferc.gov/idmws/common/OpenNat.asp?fileID=15107079</t>
  </si>
  <si>
    <t>https://elibrary.ferc.gov/idmws/common/OpenNat.asp?fileID=15107081</t>
  </si>
  <si>
    <t>SDG&amp;E T05 First Cycle Filing</t>
  </si>
  <si>
    <t>ER19-221-000</t>
  </si>
  <si>
    <t>https://elibrary.ferc.gov/idmws/common/OpenNat.asp?fileID=15085850</t>
  </si>
  <si>
    <t>https://elibrary.ferc.gov/idmws/common/opennat.asp?fileID=15088629</t>
  </si>
  <si>
    <t>ER16-2632-004</t>
  </si>
  <si>
    <t>https://elibrary.ferc.gov/idmws/common/opennat.asp?fileID=14660354</t>
  </si>
  <si>
    <t>TO20 Filing Model, 26-WholesaleTRRs, Line 5</t>
  </si>
  <si>
    <t>TO20 Filing Model, 26-WholesaleTRRs, Line 17</t>
  </si>
  <si>
    <t>TO20 Filing Model, 26-WholesaleTRRs, Line 21 &amp; 22</t>
  </si>
  <si>
    <t>TO20 Filing Model, 26-WholesaleTRRs, Line 24</t>
  </si>
  <si>
    <t>TO20 Filing Model, 26-WholesaleTRRs, Line 25 &amp; 26</t>
  </si>
  <si>
    <t>TO20 Filing Model, 26-WholesaleTRRs, Line 35</t>
  </si>
  <si>
    <t>TO2019 Annual Update, Attachment 1, Schedule 1, Line 1</t>
  </si>
  <si>
    <t>TO2019 Annual Update, Attachment 1, Schedule 1, Line 18</t>
  </si>
  <si>
    <t>TO2019 Annual Update, Attachment 1, Schedule 1, Line 69</t>
  </si>
  <si>
    <t>TO2019 Annual Update, Attachment 1, Schedule 1, Line 73</t>
  </si>
  <si>
    <t>TO2019 Annual Update, Attachment 1, Schedule 1, Line 74</t>
  </si>
  <si>
    <t>TO2019 Annual Update, Attachment 1, Schedule 1, Line 80</t>
  </si>
  <si>
    <t>T05 Filing Cycle 1, Statement BK-1, Page 1, Line 18</t>
  </si>
  <si>
    <t>T05 Filing Cycle 1, Statement BK-1, Page 1, Line 8</t>
  </si>
  <si>
    <t>T05 Filing Cycle 1, Statement AV, Page 2, Line 29</t>
  </si>
  <si>
    <t>T05 Filing Cycle 1, Statement AV, Page 2, Line 27</t>
  </si>
  <si>
    <t>T05 Filing Cycle 1, Statement BK-1, Page 1, Line 53</t>
  </si>
  <si>
    <t>January 1, 2019 ISO Access Charge Rate</t>
  </si>
  <si>
    <t>Tehachapi (Completed)</t>
  </si>
  <si>
    <t>N</t>
  </si>
  <si>
    <t>Red Bluff 2nd 'AA' Bank</t>
  </si>
  <si>
    <t>Calcite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</si>
</sst>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#,##0.0"/>
    <numFmt numFmtId="165" formatCode="#,##0.0_);\(#,##0.0\)"/>
    <numFmt numFmtId="166" formatCode="0.0%"/>
    <numFmt numFmtId="167" formatCode="#,##0.000_);\(#,##0.000\)"/>
    <numFmt numFmtId="168" formatCode="#,##0.0000_);\(#,##0.0000\)"/>
    <numFmt numFmtId="169" formatCode="0.000%"/>
    <numFmt numFmtId="170" formatCode="#,##0.000000"/>
    <numFmt numFmtId="171" formatCode="#,##0.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  <font>
      <b/>
      <strike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164" fontId="4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left"/>
    </xf>
    <xf numFmtId="1" fontId="4" fillId="0" borderId="0" xfId="0" applyNumberFormat="1" applyFont="1" applyFill="1"/>
    <xf numFmtId="164" fontId="6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165" fontId="8" fillId="0" borderId="0" xfId="0" applyNumberFormat="1" applyFont="1" applyFill="1" applyBorder="1"/>
    <xf numFmtId="1" fontId="8" fillId="0" borderId="0" xfId="0" applyNumberFormat="1" applyFont="1" applyFill="1"/>
    <xf numFmtId="165" fontId="8" fillId="2" borderId="0" xfId="0" applyNumberFormat="1" applyFont="1" applyFill="1" applyBorder="1"/>
    <xf numFmtId="166" fontId="8" fillId="0" borderId="0" xfId="1" applyNumberFormat="1" applyFont="1" applyFill="1" applyBorder="1"/>
    <xf numFmtId="1" fontId="4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right"/>
    </xf>
    <xf numFmtId="165" fontId="8" fillId="0" borderId="1" xfId="0" applyNumberFormat="1" applyFont="1" applyFill="1" applyBorder="1"/>
    <xf numFmtId="1" fontId="8" fillId="2" borderId="0" xfId="0" applyNumberFormat="1" applyFont="1" applyFill="1" applyBorder="1" applyAlignment="1">
      <alignment horizontal="center" vertical="center"/>
    </xf>
    <xf numFmtId="166" fontId="8" fillId="2" borderId="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166" fontId="4" fillId="0" borderId="0" xfId="0" applyNumberFormat="1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/>
    <xf numFmtId="1" fontId="8" fillId="0" borderId="0" xfId="0" applyNumberFormat="1" applyFont="1" applyFill="1" applyAlignment="1">
      <alignment horizontal="center"/>
    </xf>
    <xf numFmtId="165" fontId="4" fillId="2" borderId="0" xfId="0" applyNumberFormat="1" applyFont="1" applyFill="1" applyBorder="1"/>
    <xf numFmtId="164" fontId="5" fillId="0" borderId="0" xfId="0" applyNumberFormat="1" applyFont="1" applyFill="1" applyAlignment="1">
      <alignment horizontal="center" vertical="center"/>
    </xf>
    <xf numFmtId="37" fontId="8" fillId="0" borderId="1" xfId="0" applyNumberFormat="1" applyFont="1" applyFill="1" applyBorder="1"/>
    <xf numFmtId="168" fontId="8" fillId="0" borderId="1" xfId="0" applyNumberFormat="1" applyFont="1" applyFill="1" applyBorder="1"/>
    <xf numFmtId="166" fontId="0" fillId="0" borderId="0" xfId="1" applyNumberFormat="1" applyFont="1" applyFill="1"/>
    <xf numFmtId="10" fontId="0" fillId="0" borderId="0" xfId="1" applyNumberFormat="1" applyFont="1" applyFill="1"/>
    <xf numFmtId="169" fontId="0" fillId="0" borderId="0" xfId="1" applyNumberFormat="1" applyFont="1" applyFill="1"/>
    <xf numFmtId="166" fontId="8" fillId="4" borderId="0" xfId="1" applyNumberFormat="1" applyFont="1" applyFill="1" applyBorder="1"/>
    <xf numFmtId="10" fontId="0" fillId="4" borderId="0" xfId="1" applyNumberFormat="1" applyFont="1" applyFill="1"/>
    <xf numFmtId="9" fontId="8" fillId="2" borderId="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Border="1" applyAlignment="1">
      <alignment horizontal="center" vertical="center"/>
    </xf>
    <xf numFmtId="10" fontId="8" fillId="4" borderId="0" xfId="1" applyNumberFormat="1" applyFont="1" applyFill="1" applyBorder="1"/>
    <xf numFmtId="166" fontId="8" fillId="0" borderId="0" xfId="1" applyNumberFormat="1" applyFont="1" applyFill="1" applyBorder="1" applyAlignment="1">
      <alignment horizontal="center" vertical="center"/>
    </xf>
    <xf numFmtId="10" fontId="8" fillId="0" borderId="0" xfId="1" applyNumberFormat="1" applyFont="1" applyFill="1" applyBorder="1"/>
    <xf numFmtId="164" fontId="9" fillId="0" borderId="0" xfId="0" applyNumberFormat="1" applyFont="1" applyFill="1"/>
    <xf numFmtId="169" fontId="9" fillId="0" borderId="0" xfId="1" applyNumberFormat="1" applyFont="1" applyFill="1"/>
    <xf numFmtId="164" fontId="13" fillId="0" borderId="0" xfId="0" applyNumberFormat="1" applyFont="1" applyFill="1"/>
    <xf numFmtId="165" fontId="8" fillId="6" borderId="0" xfId="0" applyNumberFormat="1" applyFont="1" applyFill="1" applyBorder="1"/>
    <xf numFmtId="1" fontId="11" fillId="6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5" fontId="3" fillId="6" borderId="0" xfId="0" applyNumberFormat="1" applyFont="1" applyFill="1" applyBorder="1"/>
    <xf numFmtId="1" fontId="14" fillId="0" borderId="0" xfId="0" applyNumberFormat="1" applyFont="1" applyFill="1"/>
    <xf numFmtId="1" fontId="13" fillId="0" borderId="0" xfId="0" applyNumberFormat="1" applyFont="1" applyFill="1"/>
    <xf numFmtId="165" fontId="3" fillId="2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165" fontId="5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 wrapText="1"/>
    </xf>
    <xf numFmtId="164" fontId="0" fillId="0" borderId="0" xfId="0" applyNumberFormat="1" applyFill="1" applyBorder="1"/>
    <xf numFmtId="165" fontId="0" fillId="0" borderId="0" xfId="0" applyNumberFormat="1" applyFill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164" fontId="0" fillId="7" borderId="0" xfId="0" applyNumberFormat="1" applyFill="1"/>
    <xf numFmtId="164" fontId="4" fillId="7" borderId="0" xfId="0" applyNumberFormat="1" applyFont="1" applyFill="1"/>
    <xf numFmtId="165" fontId="3" fillId="0" borderId="0" xfId="0" applyNumberFormat="1" applyFont="1" applyFill="1" applyBorder="1"/>
    <xf numFmtId="164" fontId="15" fillId="0" borderId="0" xfId="2" applyNumberFormat="1" applyFill="1"/>
    <xf numFmtId="164" fontId="3" fillId="0" borderId="0" xfId="4" applyNumberFormat="1" applyFill="1"/>
    <xf numFmtId="170" fontId="3" fillId="0" borderId="0" xfId="4" applyNumberFormat="1" applyFill="1"/>
    <xf numFmtId="164" fontId="5" fillId="0" borderId="0" xfId="4" applyNumberFormat="1" applyFont="1" applyFill="1" applyAlignment="1">
      <alignment horizontal="center"/>
    </xf>
    <xf numFmtId="164" fontId="4" fillId="0" borderId="0" xfId="4" applyNumberFormat="1" applyFont="1" applyFill="1"/>
    <xf numFmtId="0" fontId="15" fillId="0" borderId="0" xfId="2"/>
    <xf numFmtId="0" fontId="9" fillId="0" borderId="0" xfId="4" applyFont="1"/>
    <xf numFmtId="3" fontId="5" fillId="0" borderId="0" xfId="4" applyNumberFormat="1" applyFont="1" applyFill="1" applyAlignment="1">
      <alignment horizontal="center"/>
    </xf>
    <xf numFmtId="170" fontId="15" fillId="0" borderId="0" xfId="2" applyNumberFormat="1" applyFill="1"/>
    <xf numFmtId="165" fontId="3" fillId="0" borderId="1" xfId="4" applyNumberFormat="1" applyFont="1" applyFill="1" applyBorder="1"/>
    <xf numFmtId="165" fontId="3" fillId="0" borderId="0" xfId="4" applyNumberFormat="1" applyFont="1" applyFill="1" applyBorder="1"/>
    <xf numFmtId="165" fontId="3" fillId="0" borderId="2" xfId="4" applyNumberFormat="1" applyFont="1" applyFill="1" applyBorder="1"/>
    <xf numFmtId="1" fontId="3" fillId="0" borderId="0" xfId="4" applyNumberFormat="1" applyFont="1" applyFill="1"/>
    <xf numFmtId="164" fontId="9" fillId="0" borderId="0" xfId="4" applyNumberFormat="1" applyFont="1" applyFill="1"/>
    <xf numFmtId="165" fontId="3" fillId="5" borderId="1" xfId="4" applyNumberFormat="1" applyFont="1" applyFill="1" applyBorder="1"/>
    <xf numFmtId="165" fontId="3" fillId="3" borderId="0" xfId="4" applyNumberFormat="1" applyFont="1" applyFill="1" applyBorder="1"/>
    <xf numFmtId="165" fontId="3" fillId="5" borderId="0" xfId="4" applyNumberFormat="1" applyFont="1" applyFill="1" applyBorder="1"/>
    <xf numFmtId="1" fontId="4" fillId="0" borderId="0" xfId="4" applyNumberFormat="1" applyFont="1" applyFill="1"/>
    <xf numFmtId="168" fontId="3" fillId="0" borderId="0" xfId="4" applyNumberFormat="1" applyFont="1" applyFill="1" applyBorder="1"/>
    <xf numFmtId="164" fontId="6" fillId="0" borderId="0" xfId="4" applyNumberFormat="1" applyFont="1" applyFill="1" applyAlignment="1">
      <alignment horizontal="right"/>
    </xf>
    <xf numFmtId="170" fontId="3" fillId="0" borderId="0" xfId="4" applyNumberFormat="1" applyFont="1" applyFill="1" applyBorder="1"/>
    <xf numFmtId="37" fontId="3" fillId="4" borderId="1" xfId="4" applyNumberFormat="1" applyFont="1" applyFill="1" applyBorder="1"/>
    <xf numFmtId="37" fontId="3" fillId="0" borderId="1" xfId="4" applyNumberFormat="1" applyFont="1" applyFill="1" applyBorder="1"/>
    <xf numFmtId="165" fontId="9" fillId="0" borderId="0" xfId="4" applyNumberFormat="1" applyFont="1" applyFill="1" applyBorder="1"/>
    <xf numFmtId="37" fontId="3" fillId="5" borderId="0" xfId="4" applyNumberFormat="1" applyFont="1" applyFill="1" applyBorder="1"/>
    <xf numFmtId="165" fontId="3" fillId="4" borderId="1" xfId="4" applyNumberFormat="1" applyFont="1" applyFill="1" applyBorder="1"/>
    <xf numFmtId="166" fontId="3" fillId="7" borderId="0" xfId="1" applyNumberFormat="1" applyFont="1" applyFill="1" applyBorder="1"/>
    <xf numFmtId="170" fontId="5" fillId="0" borderId="0" xfId="4" applyNumberFormat="1" applyFont="1" applyFill="1" applyAlignment="1">
      <alignment horizontal="center"/>
    </xf>
    <xf numFmtId="1" fontId="4" fillId="0" borderId="0" xfId="4" applyNumberFormat="1" applyFont="1" applyFill="1" applyAlignment="1">
      <alignment horizontal="center" vertical="center"/>
    </xf>
    <xf numFmtId="164" fontId="6" fillId="0" borderId="0" xfId="4" applyNumberFormat="1" applyFont="1" applyFill="1" applyAlignment="1">
      <alignment horizontal="center"/>
    </xf>
    <xf numFmtId="166" fontId="3" fillId="4" borderId="0" xfId="1" applyNumberFormat="1" applyFont="1" applyFill="1" applyBorder="1"/>
    <xf numFmtId="170" fontId="3" fillId="0" borderId="0" xfId="1" applyNumberFormat="1" applyFont="1" applyFill="1" applyBorder="1"/>
    <xf numFmtId="166" fontId="3" fillId="2" borderId="0" xfId="1" applyNumberFormat="1" applyFont="1" applyFill="1" applyBorder="1" applyAlignment="1">
      <alignment horizontal="center" vertical="center"/>
    </xf>
    <xf numFmtId="164" fontId="6" fillId="7" borderId="0" xfId="4" applyNumberFormat="1" applyFont="1" applyFill="1" applyAlignment="1">
      <alignment horizontal="right"/>
    </xf>
    <xf numFmtId="1" fontId="3" fillId="7" borderId="0" xfId="4" applyNumberFormat="1" applyFont="1" applyFill="1"/>
    <xf numFmtId="166" fontId="4" fillId="0" borderId="0" xfId="4" applyNumberFormat="1" applyFont="1" applyFill="1"/>
    <xf numFmtId="164" fontId="5" fillId="0" borderId="0" xfId="4" applyNumberFormat="1" applyFont="1" applyFill="1" applyAlignment="1">
      <alignment horizontal="right"/>
    </xf>
    <xf numFmtId="1" fontId="4" fillId="0" borderId="0" xfId="4" applyNumberFormat="1" applyFont="1" applyFill="1" applyAlignment="1">
      <alignment horizontal="right" vertical="center"/>
    </xf>
    <xf numFmtId="164" fontId="6" fillId="0" borderId="0" xfId="4" applyNumberFormat="1" applyFont="1" applyFill="1" applyAlignment="1">
      <alignment horizontal="left"/>
    </xf>
    <xf numFmtId="1" fontId="4" fillId="0" borderId="0" xfId="4" applyNumberFormat="1" applyFont="1" applyFill="1" applyAlignment="1">
      <alignment horizontal="center"/>
    </xf>
    <xf numFmtId="1" fontId="6" fillId="0" borderId="0" xfId="4" applyNumberFormat="1" applyFont="1" applyFill="1" applyAlignment="1">
      <alignment horizontal="right"/>
    </xf>
    <xf numFmtId="165" fontId="4" fillId="0" borderId="0" xfId="4" applyNumberFormat="1" applyFont="1" applyFill="1" applyBorder="1"/>
    <xf numFmtId="0" fontId="16" fillId="0" borderId="0" xfId="0" applyFont="1"/>
    <xf numFmtId="2" fontId="4" fillId="0" borderId="0" xfId="0" applyNumberFormat="1" applyFont="1" applyFill="1"/>
    <xf numFmtId="171" fontId="5" fillId="0" borderId="0" xfId="4" applyNumberFormat="1" applyFont="1" applyFill="1" applyAlignment="1">
      <alignment horizontal="center"/>
    </xf>
    <xf numFmtId="165" fontId="17" fillId="2" borderId="0" xfId="0" applyNumberFormat="1" applyFont="1" applyFill="1" applyBorder="1"/>
  </cellXfs>
  <cellStyles count="7">
    <cellStyle name="Comma 2" xfId="6"/>
    <cellStyle name="Hyperlink" xfId="2" builtinId="8"/>
    <cellStyle name="Normal" xfId="0" builtinId="0"/>
    <cellStyle name="Normal 2" xfId="3"/>
    <cellStyle name="Normal 3" xfId="4"/>
    <cellStyle name="Normal 4" xfId="5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aiso.com/Documents/HighVoltageAccessChargeRatesEffectiveJan01_2018_RevisedFeb15_2018.pdf" TargetMode="External"/><Relationship Id="rId1" Type="http://schemas.openxmlformats.org/officeDocument/2006/relationships/hyperlink" Target="https://elibrary-backup.ferc.gov/idmws/common/OpenNat.asp?fileID=1435886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zoomScale="90" zoomScaleNormal="90" workbookViewId="0">
      <selection activeCell="F48" sqref="F48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3.7109375" style="1" customWidth="1"/>
    <col min="4" max="4" width="16.85546875" style="3" bestFit="1" customWidth="1"/>
    <col min="5" max="5" width="30.855468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3" x14ac:dyDescent="0.2">
      <c r="A1" s="1" t="s">
        <v>55</v>
      </c>
      <c r="B1" s="1"/>
      <c r="D1" s="1"/>
      <c r="E1" s="1"/>
    </row>
    <row r="2" spans="1:23" x14ac:dyDescent="0.2">
      <c r="A2" s="1" t="s">
        <v>0</v>
      </c>
      <c r="B2" s="1"/>
    </row>
    <row r="3" spans="1:23" s="5" customFormat="1" x14ac:dyDescent="0.2">
      <c r="A3" s="4"/>
      <c r="E3" s="6"/>
      <c r="F3" s="4" t="s">
        <v>3</v>
      </c>
      <c r="H3" s="5">
        <v>2018</v>
      </c>
      <c r="I3" s="5">
        <f>H3+1</f>
        <v>2019</v>
      </c>
      <c r="J3" s="5">
        <f t="shared" ref="J3:W3" si="0">I3+1</f>
        <v>2020</v>
      </c>
      <c r="K3" s="5">
        <f t="shared" si="0"/>
        <v>2021</v>
      </c>
      <c r="L3" s="5">
        <f t="shared" si="0"/>
        <v>2022</v>
      </c>
      <c r="M3" s="5">
        <f t="shared" si="0"/>
        <v>2023</v>
      </c>
      <c r="N3" s="5">
        <f t="shared" si="0"/>
        <v>2024</v>
      </c>
      <c r="O3" s="5">
        <f t="shared" si="0"/>
        <v>2025</v>
      </c>
      <c r="P3" s="5">
        <f t="shared" si="0"/>
        <v>2026</v>
      </c>
      <c r="Q3" s="5">
        <f t="shared" si="0"/>
        <v>2027</v>
      </c>
      <c r="R3" s="5">
        <f t="shared" si="0"/>
        <v>2028</v>
      </c>
      <c r="S3" s="5">
        <f t="shared" si="0"/>
        <v>2029</v>
      </c>
      <c r="T3" s="5">
        <f t="shared" si="0"/>
        <v>2030</v>
      </c>
      <c r="U3" s="5">
        <f t="shared" si="0"/>
        <v>2031</v>
      </c>
      <c r="V3" s="5">
        <f t="shared" si="0"/>
        <v>2032</v>
      </c>
      <c r="W3" s="5">
        <f t="shared" si="0"/>
        <v>2033</v>
      </c>
    </row>
    <row r="4" spans="1:23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1">J4+1</f>
        <v>3</v>
      </c>
      <c r="L4" s="10">
        <f t="shared" si="1"/>
        <v>4</v>
      </c>
      <c r="M4" s="10">
        <f t="shared" si="1"/>
        <v>5</v>
      </c>
      <c r="N4" s="10">
        <f t="shared" si="1"/>
        <v>6</v>
      </c>
      <c r="O4" s="10">
        <f t="shared" si="1"/>
        <v>7</v>
      </c>
      <c r="P4" s="10">
        <f t="shared" si="1"/>
        <v>8</v>
      </c>
      <c r="Q4" s="10">
        <f t="shared" si="1"/>
        <v>9</v>
      </c>
      <c r="R4" s="10">
        <f t="shared" si="1"/>
        <v>10</v>
      </c>
      <c r="S4" s="10">
        <f t="shared" si="1"/>
        <v>11</v>
      </c>
      <c r="T4" s="10">
        <f t="shared" si="1"/>
        <v>12</v>
      </c>
      <c r="U4" s="10">
        <f t="shared" si="1"/>
        <v>13</v>
      </c>
      <c r="V4" s="10">
        <f t="shared" si="1"/>
        <v>14</v>
      </c>
      <c r="W4" s="10">
        <f t="shared" si="1"/>
        <v>15</v>
      </c>
    </row>
    <row r="5" spans="1:23" s="8" customFormat="1" x14ac:dyDescent="0.2">
      <c r="A5" s="4"/>
      <c r="E5" s="9"/>
      <c r="F5" s="1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s="8" customFormat="1" x14ac:dyDescent="0.2">
      <c r="A6" s="4"/>
      <c r="C6" s="8" t="s">
        <v>53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8" customFormat="1" x14ac:dyDescent="0.2">
      <c r="A7" s="10">
        <v>1</v>
      </c>
      <c r="D7" s="13" t="s">
        <v>54</v>
      </c>
      <c r="E7" s="9"/>
      <c r="F7" s="17"/>
      <c r="I7" s="12">
        <f>Existing!I83</f>
        <v>2269.0383899999988</v>
      </c>
      <c r="J7" s="12">
        <f>Existing!J83</f>
        <v>2273.0237648541051</v>
      </c>
      <c r="K7" s="12">
        <f>Existing!K83</f>
        <v>2277.090765446892</v>
      </c>
      <c r="L7" s="12">
        <f>Existing!L83</f>
        <v>2281.2410434755507</v>
      </c>
      <c r="M7" s="12">
        <f>Existing!M83</f>
        <v>2285.4762838630381</v>
      </c>
      <c r="N7" s="12">
        <f>Existing!N83</f>
        <v>2289.7982054245153</v>
      </c>
      <c r="O7" s="12">
        <f>Existing!O83</f>
        <v>2294.2085615471219</v>
      </c>
      <c r="P7" s="12">
        <f>Existing!P83</f>
        <v>2298.7091408833803</v>
      </c>
      <c r="Q7" s="12">
        <f>Existing!Q83</f>
        <v>2303.3017680584771</v>
      </c>
      <c r="R7" s="12">
        <f>Existing!R83</f>
        <v>2307.9883043917089</v>
      </c>
      <c r="S7" s="12">
        <f>Existing!S83</f>
        <v>2312.770648632385</v>
      </c>
      <c r="T7" s="12">
        <f>Existing!T83</f>
        <v>2317.6507377104617</v>
      </c>
      <c r="U7" s="12">
        <f>Existing!U83</f>
        <v>2322.6305475022141</v>
      </c>
      <c r="V7" s="12">
        <f>Existing!V83</f>
        <v>2327.7120936112356</v>
      </c>
      <c r="W7" s="12">
        <f>Existing!W83</f>
        <v>2332.8974321650853</v>
      </c>
    </row>
    <row r="8" spans="1:23" s="8" customFormat="1" x14ac:dyDescent="0.2">
      <c r="A8" s="10">
        <f t="shared" ref="A8:A20" si="2">A7+1</f>
        <v>2</v>
      </c>
      <c r="D8" s="13" t="str">
        <f>Reliability!E1</f>
        <v>Reliability</v>
      </c>
      <c r="E8" s="9"/>
      <c r="F8" s="17"/>
      <c r="I8" s="12">
        <f>Reliability!I89</f>
        <v>13.191626035345159</v>
      </c>
      <c r="J8" s="12">
        <f>Reliability!J89</f>
        <v>60.735331354891045</v>
      </c>
      <c r="K8" s="12">
        <f>Reliability!K89</f>
        <v>119.54046897230735</v>
      </c>
      <c r="L8" s="12">
        <f>Reliability!L89</f>
        <v>174.36967565463482</v>
      </c>
      <c r="M8" s="12">
        <f>Reliability!M89</f>
        <v>242.55678101540215</v>
      </c>
      <c r="N8" s="12">
        <f>Reliability!N89</f>
        <v>325.24188161827095</v>
      </c>
      <c r="O8" s="12">
        <f>Reliability!O89</f>
        <v>387.17332221774564</v>
      </c>
      <c r="P8" s="12">
        <f>Reliability!P89</f>
        <v>388.39982601375914</v>
      </c>
      <c r="Q8" s="12">
        <f>Reliability!Q89</f>
        <v>378.85151592333648</v>
      </c>
      <c r="R8" s="12">
        <f>Reliability!R89</f>
        <v>369.67782000011533</v>
      </c>
      <c r="S8" s="12">
        <f>Reliability!S89</f>
        <v>360.78759390584372</v>
      </c>
      <c r="T8" s="12">
        <f>Reliability!T89</f>
        <v>352.08472617128018</v>
      </c>
      <c r="U8" s="12">
        <f>Reliability!U89</f>
        <v>343.48644217305105</v>
      </c>
      <c r="V8" s="12">
        <f>Reliability!V89</f>
        <v>334.954407969984</v>
      </c>
      <c r="W8" s="12">
        <f>Reliability!W89</f>
        <v>326.48260817425501</v>
      </c>
    </row>
    <row r="9" spans="1:23" s="8" customFormat="1" x14ac:dyDescent="0.2">
      <c r="A9" s="10">
        <f t="shared" si="2"/>
        <v>3</v>
      </c>
      <c r="D9" s="13" t="str">
        <f>'South CC'!E1</f>
        <v>South CC</v>
      </c>
      <c r="E9" s="9"/>
      <c r="F9" s="17"/>
      <c r="I9" s="12">
        <f ca="1">IFERROR(OFFSET(INDIRECT("'"&amp;$D9&amp;"'!G89"),0,MATCH(Summary!I$3,INDIRECT("'"&amp;$D9&amp;"'!$H$3:$W$3"),0)),H9)</f>
        <v>0</v>
      </c>
      <c r="J9" s="12">
        <f ca="1">IFERROR(OFFSET(INDIRECT("'"&amp;$D9&amp;"'!G89"),0,MATCH(Summary!J$3,INDIRECT("'"&amp;$D9&amp;"'!$H$3:$W$3"),0)),I9)</f>
        <v>0</v>
      </c>
      <c r="K9" s="12">
        <f ca="1">IFERROR(OFFSET(INDIRECT("'"&amp;$D9&amp;"'!G89"),0,MATCH(Summary!K$3,INDIRECT("'"&amp;$D9&amp;"'!$H$3:$W$3"),0)),J9)</f>
        <v>0</v>
      </c>
      <c r="L9" s="12">
        <f ca="1">IFERROR(OFFSET(INDIRECT("'"&amp;$D9&amp;"'!G89"),0,MATCH(Summary!L$3,INDIRECT("'"&amp;$D9&amp;"'!$H$3:$W$3"),0)),K9)</f>
        <v>0</v>
      </c>
      <c r="M9" s="12">
        <f ca="1">IFERROR(OFFSET(INDIRECT("'"&amp;$D9&amp;"'!G89"),0,MATCH(Summary!M$3,INDIRECT("'"&amp;$D9&amp;"'!$H$3:$W$3"),0)),L9)</f>
        <v>0</v>
      </c>
      <c r="N9" s="12">
        <f ca="1">IFERROR(OFFSET(INDIRECT("'"&amp;$D9&amp;"'!G89"),0,MATCH(Summary!N$3,INDIRECT("'"&amp;$D9&amp;"'!$H$3:$W$3"),0)),M9)</f>
        <v>0</v>
      </c>
      <c r="O9" s="12">
        <f ca="1">IFERROR(OFFSET(INDIRECT("'"&amp;$D9&amp;"'!G89"),0,MATCH(Summary!O$3,INDIRECT("'"&amp;$D9&amp;"'!$H$3:$W$3"),0)),N9)</f>
        <v>0</v>
      </c>
      <c r="P9" s="12">
        <f ca="1">IFERROR(OFFSET(INDIRECT("'"&amp;$D9&amp;"'!G89"),0,MATCH(Summary!P$3,INDIRECT("'"&amp;$D9&amp;"'!$H$3:$W$3"),0)),O9)</f>
        <v>0</v>
      </c>
      <c r="Q9" s="12">
        <f ca="1">IFERROR(OFFSET(INDIRECT("'"&amp;$D9&amp;"'!G89"),0,MATCH(Summary!Q$3,INDIRECT("'"&amp;$D9&amp;"'!$H$3:$W$3"),0)),P9)</f>
        <v>0</v>
      </c>
      <c r="R9" s="12">
        <f ca="1">IFERROR(OFFSET(INDIRECT("'"&amp;$D9&amp;"'!G89"),0,MATCH(Summary!R$3,INDIRECT("'"&amp;$D9&amp;"'!$H$3:$W$3"),0)),Q9)</f>
        <v>0</v>
      </c>
      <c r="S9" s="12">
        <f ca="1">IFERROR(OFFSET(INDIRECT("'"&amp;$D9&amp;"'!G89"),0,MATCH(Summary!S$3,INDIRECT("'"&amp;$D9&amp;"'!$H$3:$W$3"),0)),R9)</f>
        <v>0</v>
      </c>
      <c r="T9" s="12">
        <f ca="1">IFERROR(OFFSET(INDIRECT("'"&amp;$D9&amp;"'!G89"),0,MATCH(Summary!T$3,INDIRECT("'"&amp;$D9&amp;"'!$H$3:$W$3"),0)),S9)</f>
        <v>0</v>
      </c>
      <c r="U9" s="12">
        <f ca="1">IFERROR(OFFSET(INDIRECT("'"&amp;$D9&amp;"'!G89"),0,MATCH(Summary!U$3,INDIRECT("'"&amp;$D9&amp;"'!$H$3:$W$3"),0)),T9)</f>
        <v>0</v>
      </c>
      <c r="V9" s="12">
        <f ca="1">IFERROR(OFFSET(INDIRECT("'"&amp;$D9&amp;"'!G89"),0,MATCH(Summary!V$3,INDIRECT("'"&amp;$D9&amp;"'!$H$3:$W$3"),0)),U9)</f>
        <v>0</v>
      </c>
      <c r="W9" s="12">
        <f ca="1">IFERROR(OFFSET(INDIRECT("'"&amp;$D9&amp;"'!G89"),0,MATCH(Summary!W$3,INDIRECT("'"&amp;$D9&amp;"'!$H$3:$W$3"),0)),V9)</f>
        <v>0</v>
      </c>
    </row>
    <row r="10" spans="1:23" s="8" customFormat="1" x14ac:dyDescent="0.2">
      <c r="A10" s="10">
        <f t="shared" si="2"/>
        <v>4</v>
      </c>
      <c r="D10" s="13" t="str">
        <f>Tehachapi!E1</f>
        <v>Tehachapi (Completed)</v>
      </c>
      <c r="E10" s="9"/>
      <c r="F10" s="17"/>
      <c r="I10" s="12">
        <f ca="1">IFERROR(OFFSET(INDIRECT("'"&amp;$D10&amp;"'!G89"),0,MATCH(Summary!I$3,INDIRECT("'"&amp;$D10&amp;"'!$H$3:$W$3"),0)),H10)</f>
        <v>0</v>
      </c>
      <c r="J10" s="12">
        <f ca="1">IFERROR(OFFSET(INDIRECT("'"&amp;$D10&amp;"'!G89"),0,MATCH(Summary!J$3,INDIRECT("'"&amp;$D10&amp;"'!$H$3:$W$3"),0)),I10)</f>
        <v>0</v>
      </c>
      <c r="K10" s="12">
        <f ca="1">IFERROR(OFFSET(INDIRECT("'"&amp;$D10&amp;"'!G89"),0,MATCH(Summary!K$3,INDIRECT("'"&amp;$D10&amp;"'!$H$3:$W$3"),0)),J10)</f>
        <v>0</v>
      </c>
      <c r="L10" s="12">
        <f ca="1">IFERROR(OFFSET(INDIRECT("'"&amp;$D10&amp;"'!G89"),0,MATCH(Summary!L$3,INDIRECT("'"&amp;$D10&amp;"'!$H$3:$W$3"),0)),K10)</f>
        <v>0</v>
      </c>
      <c r="M10" s="12">
        <f ca="1">IFERROR(OFFSET(INDIRECT("'"&amp;$D10&amp;"'!G89"),0,MATCH(Summary!M$3,INDIRECT("'"&amp;$D10&amp;"'!$H$3:$W$3"),0)),L10)</f>
        <v>0</v>
      </c>
      <c r="N10" s="12">
        <f ca="1">IFERROR(OFFSET(INDIRECT("'"&amp;$D10&amp;"'!G89"),0,MATCH(Summary!N$3,INDIRECT("'"&amp;$D10&amp;"'!$H$3:$W$3"),0)),M10)</f>
        <v>0</v>
      </c>
      <c r="O10" s="12">
        <f ca="1">IFERROR(OFFSET(INDIRECT("'"&amp;$D10&amp;"'!G89"),0,MATCH(Summary!O$3,INDIRECT("'"&amp;$D10&amp;"'!$H$3:$W$3"),0)),N10)</f>
        <v>0</v>
      </c>
      <c r="P10" s="12">
        <f ca="1">IFERROR(OFFSET(INDIRECT("'"&amp;$D10&amp;"'!G89"),0,MATCH(Summary!P$3,INDIRECT("'"&amp;$D10&amp;"'!$H$3:$W$3"),0)),O10)</f>
        <v>0</v>
      </c>
      <c r="Q10" s="12">
        <f ca="1">IFERROR(OFFSET(INDIRECT("'"&amp;$D10&amp;"'!G89"),0,MATCH(Summary!Q$3,INDIRECT("'"&amp;$D10&amp;"'!$H$3:$W$3"),0)),P10)</f>
        <v>0</v>
      </c>
      <c r="R10" s="12">
        <f ca="1">IFERROR(OFFSET(INDIRECT("'"&amp;$D10&amp;"'!G89"),0,MATCH(Summary!R$3,INDIRECT("'"&amp;$D10&amp;"'!$H$3:$W$3"),0)),Q10)</f>
        <v>0</v>
      </c>
      <c r="S10" s="12">
        <f ca="1">IFERROR(OFFSET(INDIRECT("'"&amp;$D10&amp;"'!G89"),0,MATCH(Summary!S$3,INDIRECT("'"&amp;$D10&amp;"'!$H$3:$W$3"),0)),R10)</f>
        <v>0</v>
      </c>
      <c r="T10" s="12">
        <f ca="1">IFERROR(OFFSET(INDIRECT("'"&amp;$D10&amp;"'!G89"),0,MATCH(Summary!T$3,INDIRECT("'"&amp;$D10&amp;"'!$H$3:$W$3"),0)),S10)</f>
        <v>0</v>
      </c>
      <c r="U10" s="12">
        <f ca="1">IFERROR(OFFSET(INDIRECT("'"&amp;$D10&amp;"'!G89"),0,MATCH(Summary!U$3,INDIRECT("'"&amp;$D10&amp;"'!$H$3:$W$3"),0)),T10)</f>
        <v>0</v>
      </c>
      <c r="V10" s="12">
        <f ca="1">IFERROR(OFFSET(INDIRECT("'"&amp;$D10&amp;"'!G89"),0,MATCH(Summary!V$3,INDIRECT("'"&amp;$D10&amp;"'!$H$3:$W$3"),0)),U10)</f>
        <v>0</v>
      </c>
      <c r="W10" s="12">
        <f ca="1">IFERROR(OFFSET(INDIRECT("'"&amp;$D10&amp;"'!G89"),0,MATCH(Summary!W$3,INDIRECT("'"&amp;$D10&amp;"'!$H$3:$W$3"),0)),V10)</f>
        <v>0</v>
      </c>
    </row>
    <row r="11" spans="1:23" s="8" customFormat="1" x14ac:dyDescent="0.2">
      <c r="A11" s="10">
        <f t="shared" si="2"/>
        <v>5</v>
      </c>
      <c r="D11" s="13" t="str">
        <f>WOD!E1</f>
        <v>WOD</v>
      </c>
      <c r="E11" s="9"/>
      <c r="F11" s="17"/>
      <c r="I11" s="12">
        <f ca="1">IFERROR(OFFSET(INDIRECT("'"&amp;$D11&amp;"'!G89"),0,MATCH(Summary!I$3,INDIRECT("'"&amp;$D11&amp;"'!$H$3:$W$3"),0)),H11)</f>
        <v>0</v>
      </c>
      <c r="J11" s="12">
        <f ca="1">IFERROR(OFFSET(INDIRECT("'"&amp;$D11&amp;"'!G89"),0,MATCH(Summary!J$3,INDIRECT("'"&amp;$D11&amp;"'!$H$3:$W$3"),0)),I11)</f>
        <v>9.2747302290118494</v>
      </c>
      <c r="K11" s="12">
        <f ca="1">IFERROR(OFFSET(INDIRECT("'"&amp;$D11&amp;"'!G89"),0,MATCH(Summary!K$3,INDIRECT("'"&amp;$D11&amp;"'!$H$3:$W$3"),0)),J11)</f>
        <v>26.721977252774742</v>
      </c>
      <c r="L11" s="12">
        <f ca="1">IFERROR(OFFSET(INDIRECT("'"&amp;$D11&amp;"'!G89"),0,MATCH(Summary!L$3,INDIRECT("'"&amp;$D11&amp;"'!$H$3:$W$3"),0)),K11)</f>
        <v>47.914774484957583</v>
      </c>
      <c r="M11" s="12">
        <f ca="1">IFERROR(OFFSET(INDIRECT("'"&amp;$D11&amp;"'!G89"),0,MATCH(Summary!M$3,INDIRECT("'"&amp;$D11&amp;"'!$H$3:$W$3"),0)),L11)</f>
        <v>69.336045612405741</v>
      </c>
      <c r="N11" s="12">
        <f ca="1">IFERROR(OFFSET(INDIRECT("'"&amp;$D11&amp;"'!G89"),0,MATCH(Summary!N$3,INDIRECT("'"&amp;$D11&amp;"'!$H$3:$W$3"),0)),M11)</f>
        <v>67.502860040420757</v>
      </c>
      <c r="O11" s="12">
        <f ca="1">IFERROR(OFFSET(INDIRECT("'"&amp;$D11&amp;"'!G89"),0,MATCH(Summary!O$3,INDIRECT("'"&amp;$D11&amp;"'!$H$3:$W$3"),0)),N11)</f>
        <v>65.776929175084788</v>
      </c>
      <c r="P11" s="12">
        <f ca="1">IFERROR(OFFSET(INDIRECT("'"&amp;$D11&amp;"'!G89"),0,MATCH(Summary!P$3,INDIRECT("'"&amp;$D11&amp;"'!$H$3:$W$3"),0)),O11)</f>
        <v>64.148397232118342</v>
      </c>
      <c r="Q11" s="12">
        <f ca="1">IFERROR(OFFSET(INDIRECT("'"&amp;$D11&amp;"'!G89"),0,MATCH(Summary!Q$3,INDIRECT("'"&amp;$D11&amp;"'!$H$3:$W$3"),0)),P11)</f>
        <v>62.60838223689494</v>
      </c>
      <c r="R11" s="12">
        <f ca="1">IFERROR(OFFSET(INDIRECT("'"&amp;$D11&amp;"'!G89"),0,MATCH(Summary!R$3,INDIRECT("'"&amp;$D11&amp;"'!$H$3:$W$3"),0)),Q11)</f>
        <v>61.133316626683957</v>
      </c>
      <c r="S11" s="12">
        <f ca="1">IFERROR(OFFSET(INDIRECT("'"&amp;$D11&amp;"'!G89"),0,MATCH(Summary!S$3,INDIRECT("'"&amp;$D11&amp;"'!$H$3:$W$3"),0)),R11)</f>
        <v>59.68641698375945</v>
      </c>
      <c r="T11" s="12">
        <f ca="1">IFERROR(OFFSET(INDIRECT("'"&amp;$D11&amp;"'!G89"),0,MATCH(Summary!T$3,INDIRECT("'"&amp;$D11&amp;"'!$H$3:$W$3"),0)),S11)</f>
        <v>58.250133228505888</v>
      </c>
      <c r="U11" s="12">
        <f ca="1">IFERROR(OFFSET(INDIRECT("'"&amp;$D11&amp;"'!G89"),0,MATCH(Summary!U$3,INDIRECT("'"&amp;$D11&amp;"'!$H$3:$W$3"),0)),T11)</f>
        <v>56.824226370903055</v>
      </c>
      <c r="V11" s="12">
        <f ca="1">IFERROR(OFFSET(INDIRECT("'"&amp;$D11&amp;"'!G89"),0,MATCH(Summary!V$3,INDIRECT("'"&amp;$D11&amp;"'!$H$3:$W$3"),0)),U11)</f>
        <v>55.408475206519014</v>
      </c>
      <c r="W11" s="12">
        <f ca="1">IFERROR(OFFSET(INDIRECT("'"&amp;$D11&amp;"'!G89"),0,MATCH(Summary!W$3,INDIRECT("'"&amp;$D11&amp;"'!$H$3:$W$3"),0)),V11)</f>
        <v>54.002675543952442</v>
      </c>
    </row>
    <row r="12" spans="1:23" s="8" customFormat="1" x14ac:dyDescent="0.2">
      <c r="A12" s="10">
        <f t="shared" si="2"/>
        <v>6</v>
      </c>
      <c r="D12" s="13" t="str">
        <f>'CW-Lugo'!E1</f>
        <v>CW-Lugo</v>
      </c>
      <c r="E12" s="9"/>
      <c r="F12" s="17"/>
      <c r="I12" s="12">
        <f ca="1">IFERROR(OFFSET(INDIRECT("'"&amp;$D12&amp;"'!G89"),0,MATCH(Summary!I$3,INDIRECT("'"&amp;$D12&amp;"'!$H$3:$W$3"),0)),H12)</f>
        <v>0</v>
      </c>
      <c r="J12" s="12">
        <f ca="1">IFERROR(OFFSET(INDIRECT("'"&amp;$D12&amp;"'!G89"),0,MATCH(Summary!J$3,INDIRECT("'"&amp;$D12&amp;"'!$H$3:$W$3"),0)),I12)</f>
        <v>0</v>
      </c>
      <c r="K12" s="12">
        <f ca="1">IFERROR(OFFSET(INDIRECT("'"&amp;$D12&amp;"'!G89"),0,MATCH(Summary!K$3,INDIRECT("'"&amp;$D12&amp;"'!$H$3:$W$3"),0)),J12)</f>
        <v>0</v>
      </c>
      <c r="L12" s="12">
        <f ca="1">IFERROR(OFFSET(INDIRECT("'"&amp;$D12&amp;"'!G89"),0,MATCH(Summary!L$3,INDIRECT("'"&amp;$D12&amp;"'!$H$3:$W$3"),0)),K12)</f>
        <v>0</v>
      </c>
      <c r="M12" s="12">
        <f ca="1">IFERROR(OFFSET(INDIRECT("'"&amp;$D12&amp;"'!G89"),0,MATCH(Summary!M$3,INDIRECT("'"&amp;$D12&amp;"'!$H$3:$W$3"),0)),L12)</f>
        <v>0</v>
      </c>
      <c r="N12" s="12">
        <f ca="1">IFERROR(OFFSET(INDIRECT("'"&amp;$D12&amp;"'!G89"),0,MATCH(Summary!N$3,INDIRECT("'"&amp;$D12&amp;"'!$H$3:$W$3"),0)),M12)</f>
        <v>0</v>
      </c>
      <c r="O12" s="12">
        <f ca="1">IFERROR(OFFSET(INDIRECT("'"&amp;$D12&amp;"'!G89"),0,MATCH(Summary!O$3,INDIRECT("'"&amp;$D12&amp;"'!$H$3:$W$3"),0)),N12)</f>
        <v>0</v>
      </c>
      <c r="P12" s="12">
        <f ca="1">IFERROR(OFFSET(INDIRECT("'"&amp;$D12&amp;"'!G89"),0,MATCH(Summary!P$3,INDIRECT("'"&amp;$D12&amp;"'!$H$3:$W$3"),0)),O12)</f>
        <v>0</v>
      </c>
      <c r="Q12" s="12">
        <f ca="1">IFERROR(OFFSET(INDIRECT("'"&amp;$D12&amp;"'!G89"),0,MATCH(Summary!Q$3,INDIRECT("'"&amp;$D12&amp;"'!$H$3:$W$3"),0)),P12)</f>
        <v>0</v>
      </c>
      <c r="R12" s="12">
        <f ca="1">IFERROR(OFFSET(INDIRECT("'"&amp;$D12&amp;"'!G89"),0,MATCH(Summary!R$3,INDIRECT("'"&amp;$D12&amp;"'!$H$3:$W$3"),0)),Q12)</f>
        <v>0</v>
      </c>
      <c r="S12" s="12">
        <f ca="1">IFERROR(OFFSET(INDIRECT("'"&amp;$D12&amp;"'!G89"),0,MATCH(Summary!S$3,INDIRECT("'"&amp;$D12&amp;"'!$H$3:$W$3"),0)),R12)</f>
        <v>0</v>
      </c>
      <c r="T12" s="12">
        <f ca="1">IFERROR(OFFSET(INDIRECT("'"&amp;$D12&amp;"'!G89"),0,MATCH(Summary!T$3,INDIRECT("'"&amp;$D12&amp;"'!$H$3:$W$3"),0)),S12)</f>
        <v>0</v>
      </c>
      <c r="U12" s="12">
        <f ca="1">IFERROR(OFFSET(INDIRECT("'"&amp;$D12&amp;"'!G89"),0,MATCH(Summary!U$3,INDIRECT("'"&amp;$D12&amp;"'!$H$3:$W$3"),0)),T12)</f>
        <v>0</v>
      </c>
      <c r="V12" s="12">
        <f ca="1">IFERROR(OFFSET(INDIRECT("'"&amp;$D12&amp;"'!G89"),0,MATCH(Summary!V$3,INDIRECT("'"&amp;$D12&amp;"'!$H$3:$W$3"),0)),U12)</f>
        <v>0</v>
      </c>
      <c r="W12" s="12">
        <f ca="1">IFERROR(OFFSET(INDIRECT("'"&amp;$D12&amp;"'!G89"),0,MATCH(Summary!W$3,INDIRECT("'"&amp;$D12&amp;"'!$H$3:$W$3"),0)),V12)</f>
        <v>0</v>
      </c>
    </row>
    <row r="13" spans="1:23" s="8" customFormat="1" x14ac:dyDescent="0.2">
      <c r="A13" s="10">
        <f t="shared" si="2"/>
        <v>7</v>
      </c>
      <c r="D13" s="13" t="str">
        <f>'2018-19 Policy and Econ'!E1</f>
        <v>2018-19 Policy and Econ</v>
      </c>
      <c r="E13" s="9"/>
      <c r="F13" s="17"/>
      <c r="I13" s="12">
        <f>'2018-19 Policy and Econ'!I89</f>
        <v>21.846280391598309</v>
      </c>
      <c r="J13" s="12">
        <f>'2018-19 Policy and Econ'!J89</f>
        <v>76.351627107297787</v>
      </c>
      <c r="K13" s="12">
        <f>'2018-19 Policy and Econ'!K89</f>
        <v>114.50553424058107</v>
      </c>
      <c r="L13" s="12">
        <f>'2018-19 Policy and Econ'!L89</f>
        <v>121.07471817477544</v>
      </c>
      <c r="M13" s="12">
        <f>'2018-19 Policy and Econ'!M89</f>
        <v>123.33359600490519</v>
      </c>
      <c r="N13" s="12">
        <f>'2018-19 Policy and Econ'!N89</f>
        <v>123.15000137154507</v>
      </c>
      <c r="O13" s="12">
        <f>'2018-19 Policy and Econ'!O89</f>
        <v>120.18421473581802</v>
      </c>
      <c r="P13" s="12">
        <f>'2018-19 Policy and Econ'!P89</f>
        <v>117.32677220182184</v>
      </c>
      <c r="Q13" s="12">
        <f>'2018-19 Policy and Econ'!Q89</f>
        <v>114.52727553239475</v>
      </c>
      <c r="R13" s="12">
        <f>'2018-19 Policy and Econ'!R89</f>
        <v>111.76108233076692</v>
      </c>
      <c r="S13" s="12">
        <f>'2018-19 Policy and Econ'!S89</f>
        <v>109.02005948717523</v>
      </c>
      <c r="T13" s="12">
        <f>'2018-19 Policy and Econ'!T89</f>
        <v>106.29978772463193</v>
      </c>
      <c r="U13" s="12">
        <f>'2018-19 Policy and Econ'!U89</f>
        <v>103.59863075096902</v>
      </c>
      <c r="V13" s="12">
        <f>'2018-19 Policy and Econ'!V89</f>
        <v>100.91622925289123</v>
      </c>
      <c r="W13" s="12">
        <f>'2018-19 Policy and Econ'!W89</f>
        <v>98.25225381129097</v>
      </c>
    </row>
    <row r="14" spans="1:23" s="8" customFormat="1" x14ac:dyDescent="0.2">
      <c r="A14" s="10">
        <f t="shared" si="2"/>
        <v>8</v>
      </c>
      <c r="D14" s="13" t="str">
        <f>ClrdoRvr!E1</f>
        <v>ClrdoRvr</v>
      </c>
      <c r="E14" s="9"/>
      <c r="F14" s="17"/>
      <c r="I14" s="12">
        <f>ClrdoRvr!I89</f>
        <v>0.31911447947967403</v>
      </c>
      <c r="J14" s="12">
        <f>ClrdoRvr!J89</f>
        <v>1.8615011302980988</v>
      </c>
      <c r="K14" s="12">
        <f>ClrdoRvr!K89</f>
        <v>5.6093931360602722</v>
      </c>
      <c r="L14" s="12">
        <f>ClrdoRvr!L89</f>
        <v>9.2554326085645986</v>
      </c>
      <c r="M14" s="12">
        <f>ClrdoRvr!M89</f>
        <v>9.0107269093768139</v>
      </c>
      <c r="N14" s="12">
        <f>ClrdoRvr!N89</f>
        <v>8.780338275729374</v>
      </c>
      <c r="O14" s="12">
        <f>ClrdoRvr!O89</f>
        <v>8.5629510925421677</v>
      </c>
      <c r="P14" s="12">
        <f>ClrdoRvr!P89</f>
        <v>8.3573797352693919</v>
      </c>
      <c r="Q14" s="12">
        <f>ClrdoRvr!Q89</f>
        <v>8.1604782502202333</v>
      </c>
      <c r="R14" s="12">
        <f>ClrdoRvr!R89</f>
        <v>7.9673365442264323</v>
      </c>
      <c r="S14" s="12">
        <f>ClrdoRvr!S89</f>
        <v>7.7756119169259836</v>
      </c>
      <c r="T14" s="12">
        <f>ClrdoRvr!T89</f>
        <v>7.5852724663549544</v>
      </c>
      <c r="U14" s="12">
        <f>ClrdoRvr!U89</f>
        <v>7.3962886646870247</v>
      </c>
      <c r="V14" s="12">
        <f>ClrdoRvr!V89</f>
        <v>7.2086332551073964</v>
      </c>
      <c r="W14" s="12">
        <f>ClrdoRvr!W89</f>
        <v>7.022281154154614</v>
      </c>
    </row>
    <row r="15" spans="1:23" s="8" customFormat="1" x14ac:dyDescent="0.2">
      <c r="A15" s="10">
        <f t="shared" si="2"/>
        <v>9</v>
      </c>
      <c r="D15" s="13" t="str">
        <f>'Red Bluff 2AA Bank'!E1</f>
        <v>Red Bluff 2nd 'AA' Bank</v>
      </c>
      <c r="E15" s="9"/>
      <c r="F15" s="17"/>
      <c r="I15" s="12">
        <f>'Red Bluff 2AA Bank'!I89</f>
        <v>0</v>
      </c>
      <c r="J15" s="12">
        <f>'Red Bluff 2AA Bank'!J89</f>
        <v>0</v>
      </c>
      <c r="K15" s="12">
        <f>'Red Bluff 2AA Bank'!K89</f>
        <v>4.0670064852418468</v>
      </c>
      <c r="L15" s="12">
        <f>'Red Bluff 2AA Bank'!L89</f>
        <v>9.2554326085645986</v>
      </c>
      <c r="M15" s="12">
        <f>'Red Bluff 2AA Bank'!M89</f>
        <v>9.0107269093768139</v>
      </c>
      <c r="N15" s="12">
        <f>'Red Bluff 2AA Bank'!N89</f>
        <v>8.780338275729374</v>
      </c>
      <c r="O15" s="12">
        <f>'Red Bluff 2AA Bank'!O89</f>
        <v>8.5629510925421677</v>
      </c>
      <c r="P15" s="12">
        <f>'Red Bluff 2AA Bank'!P89</f>
        <v>8.3573797352693919</v>
      </c>
      <c r="Q15" s="12">
        <f>'Red Bluff 2AA Bank'!Q89</f>
        <v>8.1604782502202333</v>
      </c>
      <c r="R15" s="12">
        <f>'Red Bluff 2AA Bank'!R89</f>
        <v>7.9673365442264323</v>
      </c>
      <c r="S15" s="12">
        <f>'Red Bluff 2AA Bank'!S89</f>
        <v>7.7756119169259836</v>
      </c>
      <c r="T15" s="12">
        <f>'Red Bluff 2AA Bank'!T89</f>
        <v>7.5852724663549544</v>
      </c>
      <c r="U15" s="12">
        <f>'Red Bluff 2AA Bank'!U89</f>
        <v>7.3962886646870247</v>
      </c>
      <c r="V15" s="12">
        <f>'Red Bluff 2AA Bank'!V89</f>
        <v>7.2086332551073964</v>
      </c>
      <c r="W15" s="12">
        <f>'Red Bluff 2AA Bank'!W89</f>
        <v>7.022281154154614</v>
      </c>
    </row>
    <row r="16" spans="1:23" s="8" customFormat="1" x14ac:dyDescent="0.2">
      <c r="A16" s="10">
        <f t="shared" si="2"/>
        <v>10</v>
      </c>
      <c r="D16" s="13" t="str">
        <f>Calcite!E1</f>
        <v>Calcite</v>
      </c>
      <c r="E16" s="9"/>
      <c r="F16" s="17"/>
      <c r="I16" s="12">
        <f>Calcite!I89</f>
        <v>0.53185746579945681</v>
      </c>
      <c r="J16" s="12">
        <f>Calcite!J89</f>
        <v>2.2338013563577186</v>
      </c>
      <c r="K16" s="12">
        <f>Calcite!K89</f>
        <v>5.3816164248246929</v>
      </c>
      <c r="L16" s="12">
        <f>Calcite!L89</f>
        <v>8.3739628363203504</v>
      </c>
      <c r="M16" s="12">
        <f>Calcite!M89</f>
        <v>8.1525624418171176</v>
      </c>
      <c r="N16" s="12">
        <f>Calcite!N89</f>
        <v>7.9441155828027679</v>
      </c>
      <c r="O16" s="12">
        <f>Calcite!O89</f>
        <v>7.7474319408714836</v>
      </c>
      <c r="P16" s="12">
        <f>Calcite!P89</f>
        <v>7.5614388081008794</v>
      </c>
      <c r="Q16" s="12">
        <f>Calcite!Q89</f>
        <v>7.3832898454373526</v>
      </c>
      <c r="R16" s="12">
        <f>Calcite!R89</f>
        <v>7.2085425876334392</v>
      </c>
      <c r="S16" s="12">
        <f>Calcite!S89</f>
        <v>7.0350774486473169</v>
      </c>
      <c r="T16" s="12">
        <f>Calcite!T89</f>
        <v>6.8628655647973389</v>
      </c>
      <c r="U16" s="12">
        <f>Calcite!U89</f>
        <v>6.691880220431119</v>
      </c>
      <c r="V16" s="12">
        <f>Calcite!V89</f>
        <v>6.5220967546209767</v>
      </c>
      <c r="W16" s="12">
        <f>Calcite!W89</f>
        <v>6.3534924728065558</v>
      </c>
    </row>
    <row r="17" spans="1:25" s="8" customFormat="1" x14ac:dyDescent="0.2">
      <c r="A17" s="10">
        <f t="shared" si="2"/>
        <v>11</v>
      </c>
      <c r="D17" s="13" t="str">
        <f>'New Project 10'!E1</f>
        <v>New Project 10</v>
      </c>
      <c r="E17" s="9"/>
      <c r="F17" s="17"/>
      <c r="I17" s="12">
        <f ca="1">IFERROR(OFFSET(INDIRECT("'"&amp;$D17&amp;"'!G89"),0,MATCH(Summary!I$3,INDIRECT("'"&amp;$D17&amp;"'!$H$3:$W$3"),0)),H17)</f>
        <v>0</v>
      </c>
      <c r="J17" s="12">
        <f ca="1">IFERROR(OFFSET(INDIRECT("'"&amp;$D17&amp;"'!G89"),0,MATCH(Summary!J$3,INDIRECT("'"&amp;$D17&amp;"'!$H$3:$W$3"),0)),I17)</f>
        <v>0</v>
      </c>
      <c r="K17" s="12">
        <f ca="1">IFERROR(OFFSET(INDIRECT("'"&amp;$D17&amp;"'!G89"),0,MATCH(Summary!K$3,INDIRECT("'"&amp;$D17&amp;"'!$H$3:$W$3"),0)),J17)</f>
        <v>0</v>
      </c>
      <c r="L17" s="12">
        <f ca="1">IFERROR(OFFSET(INDIRECT("'"&amp;$D17&amp;"'!G89"),0,MATCH(Summary!L$3,INDIRECT("'"&amp;$D17&amp;"'!$H$3:$W$3"),0)),K17)</f>
        <v>0</v>
      </c>
      <c r="M17" s="12">
        <f ca="1">IFERROR(OFFSET(INDIRECT("'"&amp;$D17&amp;"'!G89"),0,MATCH(Summary!M$3,INDIRECT("'"&amp;$D17&amp;"'!$H$3:$W$3"),0)),L17)</f>
        <v>0</v>
      </c>
      <c r="N17" s="12">
        <f ca="1">IFERROR(OFFSET(INDIRECT("'"&amp;$D17&amp;"'!G89"),0,MATCH(Summary!N$3,INDIRECT("'"&amp;$D17&amp;"'!$H$3:$W$3"),0)),M17)</f>
        <v>0</v>
      </c>
      <c r="O17" s="12">
        <f ca="1">IFERROR(OFFSET(INDIRECT("'"&amp;$D17&amp;"'!G89"),0,MATCH(Summary!O$3,INDIRECT("'"&amp;$D17&amp;"'!$H$3:$W$3"),0)),N17)</f>
        <v>0</v>
      </c>
      <c r="P17" s="12">
        <f ca="1">IFERROR(OFFSET(INDIRECT("'"&amp;$D17&amp;"'!G89"),0,MATCH(Summary!P$3,INDIRECT("'"&amp;$D17&amp;"'!$H$3:$W$3"),0)),O17)</f>
        <v>0</v>
      </c>
      <c r="Q17" s="12">
        <f ca="1">IFERROR(OFFSET(INDIRECT("'"&amp;$D17&amp;"'!G89"),0,MATCH(Summary!Q$3,INDIRECT("'"&amp;$D17&amp;"'!$H$3:$W$3"),0)),P17)</f>
        <v>0</v>
      </c>
      <c r="R17" s="12">
        <f ca="1">IFERROR(OFFSET(INDIRECT("'"&amp;$D17&amp;"'!G89"),0,MATCH(Summary!R$3,INDIRECT("'"&amp;$D17&amp;"'!$H$3:$W$3"),0)),Q17)</f>
        <v>0</v>
      </c>
      <c r="S17" s="12">
        <f ca="1">IFERROR(OFFSET(INDIRECT("'"&amp;$D17&amp;"'!G89"),0,MATCH(Summary!S$3,INDIRECT("'"&amp;$D17&amp;"'!$H$3:$W$3"),0)),R17)</f>
        <v>0</v>
      </c>
      <c r="T17" s="12">
        <f ca="1">IFERROR(OFFSET(INDIRECT("'"&amp;$D17&amp;"'!G89"),0,MATCH(Summary!T$3,INDIRECT("'"&amp;$D17&amp;"'!$H$3:$W$3"),0)),S17)</f>
        <v>0</v>
      </c>
      <c r="U17" s="12">
        <f ca="1">IFERROR(OFFSET(INDIRECT("'"&amp;$D17&amp;"'!G89"),0,MATCH(Summary!U$3,INDIRECT("'"&amp;$D17&amp;"'!$H$3:$W$3"),0)),T17)</f>
        <v>0</v>
      </c>
      <c r="V17" s="12">
        <f ca="1">IFERROR(OFFSET(INDIRECT("'"&amp;$D17&amp;"'!G89"),0,MATCH(Summary!V$3,INDIRECT("'"&amp;$D17&amp;"'!$H$3:$W$3"),0)),U17)</f>
        <v>0</v>
      </c>
      <c r="W17" s="12">
        <f ca="1">IFERROR(OFFSET(INDIRECT("'"&amp;$D17&amp;"'!G89"),0,MATCH(Summary!W$3,INDIRECT("'"&amp;$D17&amp;"'!$H$3:$W$3"),0)),V17)</f>
        <v>0</v>
      </c>
    </row>
    <row r="18" spans="1:25" s="8" customFormat="1" x14ac:dyDescent="0.2">
      <c r="A18" s="10">
        <f>A17+1</f>
        <v>12</v>
      </c>
      <c r="D18" s="13" t="str">
        <f>'New Project 11'!E1</f>
        <v>New Project 11</v>
      </c>
      <c r="E18" s="9"/>
      <c r="F18" s="17"/>
      <c r="I18" s="12">
        <f ca="1">IFERROR(OFFSET(INDIRECT("'"&amp;$D18&amp;"'!G89"),0,MATCH(Summary!I$3,INDIRECT("'"&amp;$D18&amp;"'!$H$3:$W$3"),0)),H18)</f>
        <v>0</v>
      </c>
      <c r="J18" s="12">
        <f ca="1">IFERROR(OFFSET(INDIRECT("'"&amp;$D18&amp;"'!G89"),0,MATCH(Summary!J$3,INDIRECT("'"&amp;$D18&amp;"'!$H$3:$W$3"),0)),I18)</f>
        <v>0</v>
      </c>
      <c r="K18" s="12">
        <f ca="1">IFERROR(OFFSET(INDIRECT("'"&amp;$D18&amp;"'!G89"),0,MATCH(Summary!K$3,INDIRECT("'"&amp;$D18&amp;"'!$H$3:$W$3"),0)),J18)</f>
        <v>0</v>
      </c>
      <c r="L18" s="12">
        <f ca="1">IFERROR(OFFSET(INDIRECT("'"&amp;$D18&amp;"'!G89"),0,MATCH(Summary!L$3,INDIRECT("'"&amp;$D18&amp;"'!$H$3:$W$3"),0)),K18)</f>
        <v>0</v>
      </c>
      <c r="M18" s="12">
        <f ca="1">IFERROR(OFFSET(INDIRECT("'"&amp;$D18&amp;"'!G89"),0,MATCH(Summary!M$3,INDIRECT("'"&amp;$D18&amp;"'!$H$3:$W$3"),0)),L18)</f>
        <v>0</v>
      </c>
      <c r="N18" s="12">
        <f ca="1">IFERROR(OFFSET(INDIRECT("'"&amp;$D18&amp;"'!G89"),0,MATCH(Summary!N$3,INDIRECT("'"&amp;$D18&amp;"'!$H$3:$W$3"),0)),M18)</f>
        <v>0</v>
      </c>
      <c r="O18" s="12">
        <f ca="1">IFERROR(OFFSET(INDIRECT("'"&amp;$D18&amp;"'!G89"),0,MATCH(Summary!O$3,INDIRECT("'"&amp;$D18&amp;"'!$H$3:$W$3"),0)),N18)</f>
        <v>0</v>
      </c>
      <c r="P18" s="12">
        <f ca="1">IFERROR(OFFSET(INDIRECT("'"&amp;$D18&amp;"'!G89"),0,MATCH(Summary!P$3,INDIRECT("'"&amp;$D18&amp;"'!$H$3:$W$3"),0)),O18)</f>
        <v>0</v>
      </c>
      <c r="Q18" s="12">
        <f ca="1">IFERROR(OFFSET(INDIRECT("'"&amp;$D18&amp;"'!G89"),0,MATCH(Summary!Q$3,INDIRECT("'"&amp;$D18&amp;"'!$H$3:$W$3"),0)),P18)</f>
        <v>0</v>
      </c>
      <c r="R18" s="12">
        <f ca="1">IFERROR(OFFSET(INDIRECT("'"&amp;$D18&amp;"'!G89"),0,MATCH(Summary!R$3,INDIRECT("'"&amp;$D18&amp;"'!$H$3:$W$3"),0)),Q18)</f>
        <v>0</v>
      </c>
      <c r="S18" s="12">
        <f ca="1">IFERROR(OFFSET(INDIRECT("'"&amp;$D18&amp;"'!G89"),0,MATCH(Summary!S$3,INDIRECT("'"&amp;$D18&amp;"'!$H$3:$W$3"),0)),R18)</f>
        <v>0</v>
      </c>
      <c r="T18" s="12">
        <f ca="1">IFERROR(OFFSET(INDIRECT("'"&amp;$D18&amp;"'!G89"),0,MATCH(Summary!T$3,INDIRECT("'"&amp;$D18&amp;"'!$H$3:$W$3"),0)),S18)</f>
        <v>0</v>
      </c>
      <c r="U18" s="12">
        <f ca="1">IFERROR(OFFSET(INDIRECT("'"&amp;$D18&amp;"'!G89"),0,MATCH(Summary!U$3,INDIRECT("'"&amp;$D18&amp;"'!$H$3:$W$3"),0)),T18)</f>
        <v>0</v>
      </c>
      <c r="V18" s="12">
        <f ca="1">IFERROR(OFFSET(INDIRECT("'"&amp;$D18&amp;"'!G89"),0,MATCH(Summary!V$3,INDIRECT("'"&amp;$D18&amp;"'!$H$3:$W$3"),0)),U18)</f>
        <v>0</v>
      </c>
      <c r="W18" s="12">
        <f ca="1">IFERROR(OFFSET(INDIRECT("'"&amp;$D18&amp;"'!G89"),0,MATCH(Summary!W$3,INDIRECT("'"&amp;$D18&amp;"'!$H$3:$W$3"),0)),V18)</f>
        <v>0</v>
      </c>
    </row>
    <row r="19" spans="1:25" s="8" customFormat="1" x14ac:dyDescent="0.2">
      <c r="A19" s="10">
        <f t="shared" si="2"/>
        <v>13</v>
      </c>
      <c r="D19" s="13" t="str">
        <f>'New Project 12'!E1</f>
        <v>New Project 12</v>
      </c>
      <c r="E19" s="9"/>
      <c r="F19" s="17"/>
      <c r="I19" s="12">
        <f ca="1">IFERROR(OFFSET(INDIRECT("'"&amp;$D19&amp;"'!G89"),0,MATCH(Summary!I$3,INDIRECT("'"&amp;$D19&amp;"'!$H$3:$W$3"),0)),H19)</f>
        <v>0</v>
      </c>
      <c r="J19" s="12">
        <f ca="1">IFERROR(OFFSET(INDIRECT("'"&amp;$D19&amp;"'!G89"),0,MATCH(Summary!J$3,INDIRECT("'"&amp;$D19&amp;"'!$H$3:$W$3"),0)),I19)</f>
        <v>0</v>
      </c>
      <c r="K19" s="12">
        <f ca="1">IFERROR(OFFSET(INDIRECT("'"&amp;$D19&amp;"'!G89"),0,MATCH(Summary!K$3,INDIRECT("'"&amp;$D19&amp;"'!$H$3:$W$3"),0)),J19)</f>
        <v>0</v>
      </c>
      <c r="L19" s="12">
        <f ca="1">IFERROR(OFFSET(INDIRECT("'"&amp;$D19&amp;"'!G89"),0,MATCH(Summary!L$3,INDIRECT("'"&amp;$D19&amp;"'!$H$3:$W$3"),0)),K19)</f>
        <v>0</v>
      </c>
      <c r="M19" s="12">
        <f ca="1">IFERROR(OFFSET(INDIRECT("'"&amp;$D19&amp;"'!G89"),0,MATCH(Summary!M$3,INDIRECT("'"&amp;$D19&amp;"'!$H$3:$W$3"),0)),L19)</f>
        <v>0</v>
      </c>
      <c r="N19" s="12">
        <f ca="1">IFERROR(OFFSET(INDIRECT("'"&amp;$D19&amp;"'!G89"),0,MATCH(Summary!N$3,INDIRECT("'"&amp;$D19&amp;"'!$H$3:$W$3"),0)),M19)</f>
        <v>0</v>
      </c>
      <c r="O19" s="12">
        <f ca="1">IFERROR(OFFSET(INDIRECT("'"&amp;$D19&amp;"'!G89"),0,MATCH(Summary!O$3,INDIRECT("'"&amp;$D19&amp;"'!$H$3:$W$3"),0)),N19)</f>
        <v>0</v>
      </c>
      <c r="P19" s="12">
        <f ca="1">IFERROR(OFFSET(INDIRECT("'"&amp;$D19&amp;"'!G89"),0,MATCH(Summary!P$3,INDIRECT("'"&amp;$D19&amp;"'!$H$3:$W$3"),0)),O19)</f>
        <v>0</v>
      </c>
      <c r="Q19" s="12">
        <f ca="1">IFERROR(OFFSET(INDIRECT("'"&amp;$D19&amp;"'!G89"),0,MATCH(Summary!Q$3,INDIRECT("'"&amp;$D19&amp;"'!$H$3:$W$3"),0)),P19)</f>
        <v>0</v>
      </c>
      <c r="R19" s="12">
        <f ca="1">IFERROR(OFFSET(INDIRECT("'"&amp;$D19&amp;"'!G89"),0,MATCH(Summary!R$3,INDIRECT("'"&amp;$D19&amp;"'!$H$3:$W$3"),0)),Q19)</f>
        <v>0</v>
      </c>
      <c r="S19" s="12">
        <f ca="1">IFERROR(OFFSET(INDIRECT("'"&amp;$D19&amp;"'!G89"),0,MATCH(Summary!S$3,INDIRECT("'"&amp;$D19&amp;"'!$H$3:$W$3"),0)),R19)</f>
        <v>0</v>
      </c>
      <c r="T19" s="12">
        <f ca="1">IFERROR(OFFSET(INDIRECT("'"&amp;$D19&amp;"'!G89"),0,MATCH(Summary!T$3,INDIRECT("'"&amp;$D19&amp;"'!$H$3:$W$3"),0)),S19)</f>
        <v>0</v>
      </c>
      <c r="U19" s="12">
        <f ca="1">IFERROR(OFFSET(INDIRECT("'"&amp;$D19&amp;"'!G89"),0,MATCH(Summary!U$3,INDIRECT("'"&amp;$D19&amp;"'!$H$3:$W$3"),0)),T19)</f>
        <v>0</v>
      </c>
      <c r="V19" s="12">
        <f ca="1">IFERROR(OFFSET(INDIRECT("'"&amp;$D19&amp;"'!G89"),0,MATCH(Summary!V$3,INDIRECT("'"&amp;$D19&amp;"'!$H$3:$W$3"),0)),U19)</f>
        <v>0</v>
      </c>
      <c r="W19" s="12">
        <f ca="1">IFERROR(OFFSET(INDIRECT("'"&amp;$D19&amp;"'!G89"),0,MATCH(Summary!W$3,INDIRECT("'"&amp;$D19&amp;"'!$H$3:$W$3"),0)),V19)</f>
        <v>0</v>
      </c>
    </row>
    <row r="20" spans="1:25" s="8" customFormat="1" x14ac:dyDescent="0.2">
      <c r="A20" s="10">
        <f t="shared" si="2"/>
        <v>14</v>
      </c>
      <c r="D20" s="13" t="s">
        <v>5</v>
      </c>
      <c r="E20" s="9"/>
      <c r="F20" s="17"/>
      <c r="I20" s="20">
        <f ca="1">SUM(I7:I19)</f>
        <v>2304.9272683722211</v>
      </c>
      <c r="J20" s="20">
        <f ca="1">SUM(J7:J19)</f>
        <v>2423.4807560319614</v>
      </c>
      <c r="K20" s="20">
        <f ca="1">SUM(K7:K19)</f>
        <v>2552.9167619586819</v>
      </c>
      <c r="L20" s="20">
        <f ca="1">SUM(L7:L19)</f>
        <v>2651.4850398433682</v>
      </c>
      <c r="M20" s="20">
        <f t="shared" ref="M20:W20" ca="1" si="3">SUM(M7:M19)</f>
        <v>2746.8767227563221</v>
      </c>
      <c r="N20" s="20">
        <f t="shared" ca="1" si="3"/>
        <v>2831.1977405890129</v>
      </c>
      <c r="O20" s="20">
        <f t="shared" ca="1" si="3"/>
        <v>2892.2163618017266</v>
      </c>
      <c r="P20" s="20">
        <f t="shared" ca="1" si="3"/>
        <v>2892.8603346097188</v>
      </c>
      <c r="Q20" s="20">
        <f t="shared" ca="1" si="3"/>
        <v>2882.9931880969821</v>
      </c>
      <c r="R20" s="20">
        <f t="shared" ca="1" si="3"/>
        <v>2873.7037390253613</v>
      </c>
      <c r="S20" s="20">
        <f t="shared" ca="1" si="3"/>
        <v>2864.8510202916632</v>
      </c>
      <c r="T20" s="20">
        <f t="shared" ca="1" si="3"/>
        <v>2856.3187953323873</v>
      </c>
      <c r="U20" s="20">
        <f t="shared" ca="1" si="3"/>
        <v>2848.0243043469418</v>
      </c>
      <c r="V20" s="20">
        <f t="shared" ca="1" si="3"/>
        <v>2839.9305693054662</v>
      </c>
      <c r="W20" s="20">
        <f t="shared" ca="1" si="3"/>
        <v>2832.0330244756997</v>
      </c>
    </row>
    <row r="21" spans="1:25" s="8" customFormat="1" x14ac:dyDescent="0.2">
      <c r="A21" s="10">
        <f>A20+1</f>
        <v>15</v>
      </c>
      <c r="B21" s="3"/>
      <c r="C21" s="1"/>
      <c r="D21" s="11" t="s">
        <v>6</v>
      </c>
      <c r="E21" s="3"/>
      <c r="F21" s="2"/>
      <c r="G21" s="3"/>
      <c r="H21" s="3"/>
      <c r="I21" s="3"/>
      <c r="J21" s="33">
        <f t="shared" ref="J21:W21" ca="1" si="4">J20/I20-1</f>
        <v>5.1434806332724348E-2</v>
      </c>
      <c r="K21" s="33">
        <f t="shared" ca="1" si="4"/>
        <v>5.3409132960746009E-2</v>
      </c>
      <c r="L21" s="33">
        <f t="shared" ca="1" si="4"/>
        <v>3.8610063341454781E-2</v>
      </c>
      <c r="M21" s="33">
        <f t="shared" ca="1" si="4"/>
        <v>3.5976700407326812E-2</v>
      </c>
      <c r="N21" s="33">
        <f t="shared" ca="1" si="4"/>
        <v>3.0697052086152476E-2</v>
      </c>
      <c r="O21" s="33">
        <f t="shared" ca="1" si="4"/>
        <v>2.1552228704456056E-2</v>
      </c>
      <c r="P21" s="33">
        <f t="shared" ca="1" si="4"/>
        <v>2.2265720383063403E-4</v>
      </c>
      <c r="Q21" s="33">
        <f t="shared" ca="1" si="4"/>
        <v>-3.4108616979146023E-3</v>
      </c>
      <c r="R21" s="33">
        <f t="shared" ca="1" si="4"/>
        <v>-3.2221543602579672E-3</v>
      </c>
      <c r="S21" s="33">
        <f t="shared" ca="1" si="4"/>
        <v>-3.0805954745706243E-3</v>
      </c>
      <c r="T21" s="33">
        <f t="shared" ca="1" si="4"/>
        <v>-2.9782438593988214E-3</v>
      </c>
      <c r="U21" s="33">
        <f t="shared" ca="1" si="4"/>
        <v>-2.9039093951976902E-3</v>
      </c>
      <c r="V21" s="33">
        <f t="shared" ca="1" si="4"/>
        <v>-2.8418770967375551E-3</v>
      </c>
      <c r="W21" s="33">
        <f t="shared" ca="1" si="4"/>
        <v>-2.7808936299797971E-3</v>
      </c>
      <c r="Y21" s="23"/>
    </row>
    <row r="22" spans="1:25" s="8" customFormat="1" x14ac:dyDescent="0.2">
      <c r="A22" s="10"/>
      <c r="E22" s="9"/>
      <c r="F22" s="1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5" s="8" customFormat="1" x14ac:dyDescent="0.2">
      <c r="A23" s="10">
        <f>A21+1</f>
        <v>16</v>
      </c>
      <c r="C23" s="8" t="s">
        <v>51</v>
      </c>
      <c r="E23" s="9"/>
      <c r="F23" s="17"/>
      <c r="I23" s="31">
        <f>Existing!I101</f>
        <v>203161.18</v>
      </c>
      <c r="J23" s="31">
        <f>Existing!J101</f>
        <v>202531.38034199999</v>
      </c>
      <c r="K23" s="31">
        <f>Existing!K101</f>
        <v>201903.53306293979</v>
      </c>
      <c r="L23" s="31">
        <f>Existing!L101</f>
        <v>201277.63211044468</v>
      </c>
      <c r="M23" s="31">
        <f>Existing!M101</f>
        <v>200653.6714509023</v>
      </c>
      <c r="N23" s="31">
        <f>Existing!N101</f>
        <v>200031.64506940451</v>
      </c>
      <c r="O23" s="31">
        <f>Existing!O101</f>
        <v>199411.54696968934</v>
      </c>
      <c r="P23" s="31">
        <f>Existing!P101</f>
        <v>198793.3711740833</v>
      </c>
      <c r="Q23" s="31">
        <f>Existing!Q101</f>
        <v>198177.11172344364</v>
      </c>
      <c r="R23" s="31">
        <f>Existing!R101</f>
        <v>197562.76267710095</v>
      </c>
      <c r="S23" s="31">
        <f>Existing!S101</f>
        <v>196950.31811280194</v>
      </c>
      <c r="T23" s="31">
        <f>Existing!T101</f>
        <v>196339.77212665224</v>
      </c>
      <c r="U23" s="31">
        <f>Existing!U101</f>
        <v>195731.11883305962</v>
      </c>
      <c r="V23" s="31">
        <f>Existing!V101</f>
        <v>195124.35236467715</v>
      </c>
      <c r="W23" s="31">
        <f>Existing!W101</f>
        <v>194519.46687234665</v>
      </c>
    </row>
    <row r="24" spans="1:25" s="8" customFormat="1" x14ac:dyDescent="0.2">
      <c r="A24" s="10">
        <f>A23+1</f>
        <v>17</v>
      </c>
      <c r="B24" s="3"/>
      <c r="C24" s="1"/>
      <c r="D24" s="11" t="s">
        <v>6</v>
      </c>
      <c r="E24" s="3"/>
      <c r="F24" s="2"/>
      <c r="G24" s="3"/>
      <c r="H24" s="3"/>
      <c r="I24" s="3"/>
      <c r="J24" s="33">
        <f t="shared" ref="J24:W24" si="5">J23/I23-1</f>
        <v>-3.0999999999999917E-3</v>
      </c>
      <c r="K24" s="33">
        <f t="shared" si="5"/>
        <v>-3.0999999999999917E-3</v>
      </c>
      <c r="L24" s="33">
        <f t="shared" si="5"/>
        <v>-3.0999999999999917E-3</v>
      </c>
      <c r="M24" s="33">
        <f t="shared" si="5"/>
        <v>-3.0999999999999917E-3</v>
      </c>
      <c r="N24" s="33">
        <f t="shared" si="5"/>
        <v>-3.0999999999999917E-3</v>
      </c>
      <c r="O24" s="33">
        <f t="shared" si="5"/>
        <v>-3.1000000000001027E-3</v>
      </c>
      <c r="P24" s="33">
        <f t="shared" si="5"/>
        <v>-3.1000000000001027E-3</v>
      </c>
      <c r="Q24" s="33">
        <f t="shared" si="5"/>
        <v>-3.0999999999999917E-3</v>
      </c>
      <c r="R24" s="33">
        <f t="shared" si="5"/>
        <v>-3.1000000000001027E-3</v>
      </c>
      <c r="S24" s="33">
        <f t="shared" si="5"/>
        <v>-3.0999999999999917E-3</v>
      </c>
      <c r="T24" s="33">
        <f t="shared" si="5"/>
        <v>-3.0999999999999917E-3</v>
      </c>
      <c r="U24" s="33">
        <f t="shared" si="5"/>
        <v>-3.0999999999999917E-3</v>
      </c>
      <c r="V24" s="33">
        <f t="shared" si="5"/>
        <v>-3.0999999999998806E-3</v>
      </c>
      <c r="W24" s="33">
        <f t="shared" si="5"/>
        <v>-3.0999999999999917E-3</v>
      </c>
    </row>
    <row r="25" spans="1:25" s="8" customFormat="1" x14ac:dyDescent="0.2">
      <c r="A25" s="10"/>
      <c r="B25" s="3"/>
      <c r="C25" s="1"/>
      <c r="D25" s="11"/>
      <c r="E25" s="3"/>
      <c r="F25" s="2"/>
      <c r="G25" s="3"/>
      <c r="H25" s="3"/>
      <c r="I25" s="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5" s="8" customFormat="1" x14ac:dyDescent="0.2">
      <c r="A26" s="10">
        <f>A24+1</f>
        <v>18</v>
      </c>
      <c r="C26" s="8" t="s">
        <v>52</v>
      </c>
      <c r="E26" s="9"/>
      <c r="F26" s="17"/>
      <c r="I26" s="32">
        <f ca="1">1000*I20/I23</f>
        <v>11.345313451970602</v>
      </c>
      <c r="J26" s="32">
        <f t="shared" ref="J26:W26" ca="1" si="6">1000*J20/J23</f>
        <v>11.965951903056236</v>
      </c>
      <c r="K26" s="32">
        <f t="shared" ca="1" si="6"/>
        <v>12.644240163756105</v>
      </c>
      <c r="L26" s="32">
        <f ca="1">1000*L20/L23</f>
        <v>13.173272221269229</v>
      </c>
      <c r="M26" s="32">
        <f ca="1">1000*M20/M23</f>
        <v>13.689640976384785</v>
      </c>
      <c r="N26" s="32">
        <f t="shared" ca="1" si="6"/>
        <v>14.153749221062892</v>
      </c>
      <c r="O26" s="32">
        <f t="shared" ca="1" si="6"/>
        <v>14.503755703983105</v>
      </c>
      <c r="P26" s="32">
        <f t="shared" ca="1" si="6"/>
        <v>14.552096569037214</v>
      </c>
      <c r="Q26" s="32">
        <f t="shared" ca="1" si="6"/>
        <v>14.547558812544416</v>
      </c>
      <c r="R26" s="32">
        <f t="shared" ca="1" si="6"/>
        <v>14.545776238825828</v>
      </c>
      <c r="S26" s="32">
        <f t="shared" ca="1" si="6"/>
        <v>14.546059370418684</v>
      </c>
      <c r="T26" s="32">
        <f t="shared" ca="1" si="6"/>
        <v>14.547835949864865</v>
      </c>
      <c r="U26" s="32">
        <f t="shared" ca="1" si="6"/>
        <v>14.550697514665723</v>
      </c>
      <c r="V26" s="32">
        <f t="shared" ca="1" si="6"/>
        <v>14.554465062350522</v>
      </c>
      <c r="W26" s="32">
        <f t="shared" ca="1" si="6"/>
        <v>14.55912392734564</v>
      </c>
      <c r="Y26" s="106"/>
    </row>
    <row r="27" spans="1:25" x14ac:dyDescent="0.2">
      <c r="A27" s="10">
        <f>A26+1</f>
        <v>19</v>
      </c>
      <c r="D27" s="11" t="s">
        <v>6</v>
      </c>
      <c r="J27" s="33">
        <f ca="1">J26/I26-1</f>
        <v>5.4704389941543141E-2</v>
      </c>
      <c r="K27" s="33">
        <f t="shared" ref="K27:W27" ca="1" si="7">K26/J26-1</f>
        <v>5.6684856014390883E-2</v>
      </c>
      <c r="L27" s="33">
        <f t="shared" ca="1" si="7"/>
        <v>4.1839766617970398E-2</v>
      </c>
      <c r="M27" s="33">
        <f t="shared" ca="1" si="7"/>
        <v>3.9198214873434445E-2</v>
      </c>
      <c r="N27" s="33">
        <f t="shared" ca="1" si="7"/>
        <v>3.3902148747269045E-2</v>
      </c>
      <c r="O27" s="33">
        <f t="shared" ca="1" si="7"/>
        <v>2.4728888258056081E-2</v>
      </c>
      <c r="P27" s="33">
        <f t="shared" ca="1" si="7"/>
        <v>3.3329894711915387E-3</v>
      </c>
      <c r="Q27" s="33">
        <f t="shared" ca="1" si="7"/>
        <v>-3.118283658488652E-4</v>
      </c>
      <c r="R27" s="33">
        <f t="shared" ca="1" si="7"/>
        <v>-1.2253421632846262E-4</v>
      </c>
      <c r="S27" s="33">
        <f t="shared" ca="1" si="7"/>
        <v>1.9464866515717105E-5</v>
      </c>
      <c r="T27" s="33">
        <f t="shared" ca="1" si="7"/>
        <v>1.2213475835198828E-4</v>
      </c>
      <c r="U27" s="33">
        <f t="shared" ca="1" si="7"/>
        <v>1.9670037596797307E-4</v>
      </c>
      <c r="V27" s="33">
        <f t="shared" ca="1" si="7"/>
        <v>2.5892557253714976E-4</v>
      </c>
      <c r="W27" s="33">
        <f t="shared" ca="1" si="7"/>
        <v>3.2009867591553665E-4</v>
      </c>
    </row>
    <row r="28" spans="1:25" x14ac:dyDescent="0.2">
      <c r="A28" s="10">
        <f>A27+1</f>
        <v>20</v>
      </c>
      <c r="D28" s="3" t="s">
        <v>74</v>
      </c>
      <c r="J28" s="33">
        <f ca="1">J26/$I26-1</f>
        <v>5.4704389941543141E-2</v>
      </c>
      <c r="K28" s="33">
        <f t="shared" ref="K28:W28" ca="1" si="8">K26/$I26-1</f>
        <v>0.11449015642312532</v>
      </c>
      <c r="L28" s="33">
        <f t="shared" ca="1" si="8"/>
        <v>0.16112016446589439</v>
      </c>
      <c r="M28" s="33">
        <f t="shared" ca="1" si="8"/>
        <v>0.20663400216650607</v>
      </c>
      <c r="N28" s="33">
        <f t="shared" ca="1" si="8"/>
        <v>0.24754148759146744</v>
      </c>
      <c r="O28" s="33">
        <f t="shared" ca="1" si="8"/>
        <v>0.27839180163540589</v>
      </c>
      <c r="P28" s="33">
        <f t="shared" ca="1" si="8"/>
        <v>0.2826526680503143</v>
      </c>
      <c r="Q28" s="33">
        <f t="shared" ca="1" si="8"/>
        <v>0.2822527005648845</v>
      </c>
      <c r="R28" s="33">
        <f t="shared" ca="1" si="8"/>
        <v>0.28209558073508556</v>
      </c>
      <c r="S28" s="33">
        <f t="shared" ca="1" si="8"/>
        <v>0.28212053655442504</v>
      </c>
      <c r="T28" s="33">
        <f t="shared" ca="1" si="8"/>
        <v>0.2822771280363352</v>
      </c>
      <c r="U28" s="33">
        <f t="shared" ca="1" si="8"/>
        <v>0.28252935242951516</v>
      </c>
      <c r="V28" s="33">
        <f t="shared" ca="1" si="8"/>
        <v>0.28286143207638847</v>
      </c>
      <c r="W28" s="33">
        <f t="shared" ca="1" si="8"/>
        <v>0.28327207432217927</v>
      </c>
    </row>
    <row r="29" spans="1:25" x14ac:dyDescent="0.2">
      <c r="A29" s="10"/>
      <c r="D29" s="3" t="s">
        <v>119</v>
      </c>
      <c r="I29" s="3">
        <f ca="1">1000*(I20-I7)/I23</f>
        <v>0.17665224415521844</v>
      </c>
      <c r="J29" s="3">
        <f t="shared" ref="J29:W29" ca="1" si="9">1000*(J20-J7)/J23</f>
        <v>0.74288236679071895</v>
      </c>
      <c r="K29" s="3">
        <f t="shared" ca="1" si="9"/>
        <v>1.3661276369334565</v>
      </c>
      <c r="L29" s="3">
        <f t="shared" ca="1" si="9"/>
        <v>1.8394691575299236</v>
      </c>
      <c r="M29" s="3">
        <f t="shared" ca="1" si="9"/>
        <v>2.2994866505903109</v>
      </c>
      <c r="N29" s="3">
        <f t="shared" ca="1" si="9"/>
        <v>2.7065694279355124</v>
      </c>
      <c r="O29" s="3">
        <f t="shared" ca="1" si="9"/>
        <v>2.9988624497532341</v>
      </c>
      <c r="P29" s="3">
        <f t="shared" ca="1" si="9"/>
        <v>2.9887877559359892</v>
      </c>
      <c r="Q29" s="3">
        <f t="shared" ca="1" si="9"/>
        <v>2.9251179159754073</v>
      </c>
      <c r="R29" s="3">
        <f t="shared" ca="1" si="9"/>
        <v>2.8634719770459216</v>
      </c>
      <c r="S29" s="3">
        <f t="shared" ca="1" si="9"/>
        <v>2.8031453665542085</v>
      </c>
      <c r="T29" s="3">
        <f t="shared" ca="1" si="9"/>
        <v>2.7435503860850399</v>
      </c>
      <c r="U29" s="3">
        <f t="shared" ca="1" si="9"/>
        <v>2.6842627783313269</v>
      </c>
      <c r="V29" s="3">
        <f t="shared" ca="1" si="9"/>
        <v>2.6250873839515494</v>
      </c>
      <c r="W29" s="3">
        <f t="shared" ca="1" si="9"/>
        <v>2.5659930100372526</v>
      </c>
    </row>
    <row r="30" spans="1:25" x14ac:dyDescent="0.2">
      <c r="C30" s="1" t="s">
        <v>61</v>
      </c>
    </row>
    <row r="31" spans="1:25" x14ac:dyDescent="0.2">
      <c r="A31" s="10">
        <f>A28+1</f>
        <v>21</v>
      </c>
      <c r="D31" s="3" t="str">
        <f t="shared" ref="D31:D44" si="10">D7</f>
        <v>Existing Facilities</v>
      </c>
      <c r="I31" s="12">
        <f>Existing!I169</f>
        <v>17803.651824301582</v>
      </c>
      <c r="J31" s="12">
        <f>Existing!J169</f>
        <v>18159.724860787614</v>
      </c>
      <c r="K31" s="12">
        <f>Existing!K169</f>
        <v>18522.919358003368</v>
      </c>
      <c r="L31" s="12">
        <f>Existing!L169</f>
        <v>18893.377745163434</v>
      </c>
      <c r="M31" s="12">
        <f>Existing!M169</f>
        <v>19271.245300066705</v>
      </c>
      <c r="N31" s="12">
        <f>Existing!N169</f>
        <v>19656.67020606804</v>
      </c>
      <c r="O31" s="12">
        <f>Existing!O169</f>
        <v>20049.803610189399</v>
      </c>
      <c r="P31" s="12">
        <f>Existing!P169</f>
        <v>20450.799682393186</v>
      </c>
      <c r="Q31" s="12">
        <f>Existing!Q169</f>
        <v>20859.815676041049</v>
      </c>
      <c r="R31" s="12">
        <f>Existing!R169</f>
        <v>21277.01198956187</v>
      </c>
      <c r="S31" s="12">
        <f>Existing!S169</f>
        <v>21702.552229353107</v>
      </c>
      <c r="T31" s="12">
        <f>Existing!T169</f>
        <v>22136.603273940171</v>
      </c>
      <c r="U31" s="12">
        <f>Existing!U169</f>
        <v>22579.335339418976</v>
      </c>
      <c r="V31" s="12">
        <f>Existing!V169</f>
        <v>23030.922046207357</v>
      </c>
      <c r="W31" s="12">
        <f>Existing!W169</f>
        <v>23491.540487131504</v>
      </c>
    </row>
    <row r="32" spans="1:25" x14ac:dyDescent="0.2">
      <c r="A32" s="10">
        <f t="shared" ref="A32:A45" si="11">A31+1</f>
        <v>22</v>
      </c>
      <c r="D32" s="3" t="str">
        <f t="shared" si="10"/>
        <v>Reliability</v>
      </c>
      <c r="I32" s="12">
        <f>Reliability!I$47</f>
        <v>102.1725</v>
      </c>
      <c r="J32" s="12">
        <f>Reliability!J$47</f>
        <v>442.23796943374998</v>
      </c>
      <c r="K32" s="12">
        <f>Reliability!K$47</f>
        <v>838.25065988774986</v>
      </c>
      <c r="L32" s="12">
        <f>Reliability!L$47</f>
        <v>1239.4190878659999</v>
      </c>
      <c r="M32" s="12">
        <f>Reliability!M$47</f>
        <v>1728.9796179857121</v>
      </c>
      <c r="N32" s="12">
        <f>Reliability!N$47</f>
        <v>2342.8858143036741</v>
      </c>
      <c r="O32" s="12">
        <f>Reliability!O$47</f>
        <v>2775.2801874599245</v>
      </c>
      <c r="P32" s="12">
        <f>Reliability!P$47</f>
        <v>2840.2801874599245</v>
      </c>
      <c r="Q32" s="12">
        <f>Reliability!Q$47</f>
        <v>2840.2801874599245</v>
      </c>
      <c r="R32" s="12">
        <f>Reliability!R$47</f>
        <v>2840.2801874599245</v>
      </c>
      <c r="S32" s="12">
        <f>Reliability!S$47</f>
        <v>2840.2801874599245</v>
      </c>
      <c r="T32" s="12">
        <f>Reliability!T$47</f>
        <v>2840.2801874599245</v>
      </c>
      <c r="U32" s="12">
        <f>Reliability!U$47</f>
        <v>2840.2801874599245</v>
      </c>
      <c r="V32" s="12">
        <f>Reliability!V$47</f>
        <v>2840.2801874599245</v>
      </c>
      <c r="W32" s="12">
        <f>Reliability!W$47</f>
        <v>2840.2801874599245</v>
      </c>
    </row>
    <row r="33" spans="1:23" x14ac:dyDescent="0.2">
      <c r="A33" s="10">
        <f t="shared" si="11"/>
        <v>23</v>
      </c>
      <c r="D33" s="3" t="str">
        <f t="shared" si="10"/>
        <v>South CC</v>
      </c>
      <c r="I33" s="12">
        <f>'South CC'!I$47</f>
        <v>0</v>
      </c>
      <c r="J33" s="12">
        <f>'South CC'!J$47</f>
        <v>0</v>
      </c>
      <c r="K33" s="12">
        <f>'South CC'!K$47</f>
        <v>0</v>
      </c>
      <c r="L33" s="12">
        <f>'South CC'!L$47</f>
        <v>0</v>
      </c>
      <c r="M33" s="12">
        <f>'South CC'!M$47</f>
        <v>0</v>
      </c>
      <c r="N33" s="12">
        <f>'South CC'!N$47</f>
        <v>0</v>
      </c>
      <c r="O33" s="12">
        <f>'South CC'!O$47</f>
        <v>0</v>
      </c>
      <c r="P33" s="12">
        <f>'South CC'!P$47</f>
        <v>0</v>
      </c>
      <c r="Q33" s="12">
        <f>'South CC'!Q$47</f>
        <v>0</v>
      </c>
      <c r="R33" s="12">
        <f>'South CC'!R$47</f>
        <v>0</v>
      </c>
      <c r="S33" s="12">
        <f>'South CC'!S$47</f>
        <v>0</v>
      </c>
      <c r="T33" s="12">
        <f>'South CC'!T$47</f>
        <v>0</v>
      </c>
      <c r="U33" s="12">
        <f>'South CC'!U$47</f>
        <v>0</v>
      </c>
      <c r="V33" s="12">
        <f>'South CC'!V$47</f>
        <v>0</v>
      </c>
      <c r="W33" s="12">
        <f>'South CC'!W$47</f>
        <v>0</v>
      </c>
    </row>
    <row r="34" spans="1:23" x14ac:dyDescent="0.2">
      <c r="A34" s="10">
        <f t="shared" si="11"/>
        <v>24</v>
      </c>
      <c r="D34" s="3" t="str">
        <f t="shared" si="10"/>
        <v>Tehachapi (Completed)</v>
      </c>
      <c r="I34" s="12">
        <f>Tehachapi!I$47</f>
        <v>0</v>
      </c>
      <c r="J34" s="12">
        <f>Tehachapi!J$47</f>
        <v>0</v>
      </c>
      <c r="K34" s="12">
        <f>Tehachapi!K$47</f>
        <v>0</v>
      </c>
      <c r="L34" s="12">
        <f>Tehachapi!L$47</f>
        <v>0</v>
      </c>
      <c r="M34" s="12">
        <f>Tehachapi!M$47</f>
        <v>0</v>
      </c>
      <c r="N34" s="12">
        <f>Tehachapi!N$47</f>
        <v>0</v>
      </c>
      <c r="O34" s="12">
        <f>Tehachapi!O$47</f>
        <v>0</v>
      </c>
      <c r="P34" s="12">
        <f>Tehachapi!P$47</f>
        <v>0</v>
      </c>
      <c r="Q34" s="12">
        <f>Tehachapi!Q$47</f>
        <v>0</v>
      </c>
      <c r="R34" s="12">
        <f>Tehachapi!R$47</f>
        <v>0</v>
      </c>
      <c r="S34" s="12">
        <f>Tehachapi!S$47</f>
        <v>0</v>
      </c>
      <c r="T34" s="12">
        <f>Tehachapi!T$47</f>
        <v>0</v>
      </c>
      <c r="U34" s="12">
        <f>Tehachapi!U$47</f>
        <v>0</v>
      </c>
      <c r="V34" s="12">
        <f>Tehachapi!V$47</f>
        <v>0</v>
      </c>
      <c r="W34" s="12">
        <f>Tehachapi!W$47</f>
        <v>0</v>
      </c>
    </row>
    <row r="35" spans="1:23" x14ac:dyDescent="0.2">
      <c r="A35" s="10">
        <f t="shared" si="11"/>
        <v>25</v>
      </c>
      <c r="D35" s="3" t="str">
        <f t="shared" si="10"/>
        <v>WOD</v>
      </c>
      <c r="I35" s="12">
        <f>WOD!I$47</f>
        <v>0</v>
      </c>
      <c r="J35" s="12">
        <f>WOD!J$47</f>
        <v>0</v>
      </c>
      <c r="K35" s="12">
        <f>WOD!K$47</f>
        <v>0</v>
      </c>
      <c r="L35" s="12">
        <f>WOD!L$47</f>
        <v>235.97875206499992</v>
      </c>
      <c r="M35" s="12">
        <f>WOD!M$47</f>
        <v>471.95750412999985</v>
      </c>
      <c r="N35" s="12">
        <f>WOD!N$47</f>
        <v>471.95750412999985</v>
      </c>
      <c r="O35" s="12">
        <f>WOD!O$47</f>
        <v>471.95750412999985</v>
      </c>
      <c r="P35" s="12">
        <f>WOD!P$47</f>
        <v>471.95750412999985</v>
      </c>
      <c r="Q35" s="12">
        <f>WOD!Q$47</f>
        <v>471.95750412999985</v>
      </c>
      <c r="R35" s="12">
        <f>WOD!R$47</f>
        <v>471.95750412999985</v>
      </c>
      <c r="S35" s="12">
        <f>WOD!S$47</f>
        <v>471.95750412999985</v>
      </c>
      <c r="T35" s="12">
        <f>WOD!T$47</f>
        <v>471.95750412999985</v>
      </c>
      <c r="U35" s="12">
        <f>WOD!U$47</f>
        <v>471.95750412999985</v>
      </c>
      <c r="V35" s="12">
        <f>WOD!V$47</f>
        <v>471.95750412999985</v>
      </c>
      <c r="W35" s="12">
        <f>WOD!W$47</f>
        <v>471.95750412999985</v>
      </c>
    </row>
    <row r="36" spans="1:23" x14ac:dyDescent="0.2">
      <c r="A36" s="10">
        <f t="shared" si="11"/>
        <v>26</v>
      </c>
      <c r="D36" s="3" t="str">
        <f t="shared" si="10"/>
        <v>CW-Lugo</v>
      </c>
      <c r="I36" s="12">
        <f>'CW-Lugo'!I$47</f>
        <v>0</v>
      </c>
      <c r="J36" s="12">
        <f>'CW-Lugo'!J$47</f>
        <v>0</v>
      </c>
      <c r="K36" s="12">
        <f>'CW-Lugo'!K$47</f>
        <v>0</v>
      </c>
      <c r="L36" s="12">
        <f>'CW-Lugo'!L$47</f>
        <v>0</v>
      </c>
      <c r="M36" s="12">
        <f>'CW-Lugo'!M$47</f>
        <v>0</v>
      </c>
      <c r="N36" s="12">
        <f>'CW-Lugo'!N$47</f>
        <v>0</v>
      </c>
      <c r="O36" s="12">
        <f>'CW-Lugo'!O$47</f>
        <v>0</v>
      </c>
      <c r="P36" s="12">
        <f>'CW-Lugo'!P$47</f>
        <v>0</v>
      </c>
      <c r="Q36" s="12">
        <f>'CW-Lugo'!Q$47</f>
        <v>0</v>
      </c>
      <c r="R36" s="12">
        <f>'CW-Lugo'!R$47</f>
        <v>0</v>
      </c>
      <c r="S36" s="12">
        <f>'CW-Lugo'!S$47</f>
        <v>0</v>
      </c>
      <c r="T36" s="12">
        <f>'CW-Lugo'!T$47</f>
        <v>0</v>
      </c>
      <c r="U36" s="12">
        <f>'CW-Lugo'!U$47</f>
        <v>0</v>
      </c>
      <c r="V36" s="12">
        <f>'CW-Lugo'!V$47</f>
        <v>0</v>
      </c>
      <c r="W36" s="12">
        <f>'CW-Lugo'!W$47</f>
        <v>0</v>
      </c>
    </row>
    <row r="37" spans="1:23" x14ac:dyDescent="0.2">
      <c r="A37" s="10">
        <f t="shared" si="11"/>
        <v>27</v>
      </c>
      <c r="D37" s="3" t="str">
        <f t="shared" si="10"/>
        <v>2018-19 Policy and Econ</v>
      </c>
      <c r="I37" s="12">
        <f>'2018-19 Policy and Econ'!I$47</f>
        <v>169.20500000000001</v>
      </c>
      <c r="J37" s="12">
        <f>'2018-19 Policy and Econ'!J$47</f>
        <v>544.70688750000011</v>
      </c>
      <c r="K37" s="12">
        <f>'2018-19 Policy and Econ'!K$47</f>
        <v>793.51596250000011</v>
      </c>
      <c r="L37" s="12">
        <f>'2018-19 Policy and Econ'!L$47</f>
        <v>854.67156325000008</v>
      </c>
      <c r="M37" s="12">
        <f>'2018-19 Policy and Econ'!M$47</f>
        <v>890.31497650000006</v>
      </c>
      <c r="N37" s="12">
        <f>'2018-19 Policy and Econ'!N$47</f>
        <v>907.31497650000006</v>
      </c>
      <c r="O37" s="12">
        <f>'2018-19 Policy and Econ'!O$47</f>
        <v>907.31497650000006</v>
      </c>
      <c r="P37" s="12">
        <f>'2018-19 Policy and Econ'!P$47</f>
        <v>907.31497650000006</v>
      </c>
      <c r="Q37" s="12">
        <f>'2018-19 Policy and Econ'!Q$47</f>
        <v>907.31497650000006</v>
      </c>
      <c r="R37" s="12">
        <f>'2018-19 Policy and Econ'!R$47</f>
        <v>907.31497650000006</v>
      </c>
      <c r="S37" s="12">
        <f>'2018-19 Policy and Econ'!S$47</f>
        <v>907.31497650000006</v>
      </c>
      <c r="T37" s="12">
        <f>'2018-19 Policy and Econ'!T$47</f>
        <v>907.31497650000006</v>
      </c>
      <c r="U37" s="12">
        <f>'2018-19 Policy and Econ'!U$47</f>
        <v>907.31497650000006</v>
      </c>
      <c r="V37" s="12">
        <f>'2018-19 Policy and Econ'!V$47</f>
        <v>907.31497650000006</v>
      </c>
      <c r="W37" s="12">
        <f>'2018-19 Policy and Econ'!W$47</f>
        <v>907.31497650000006</v>
      </c>
    </row>
    <row r="38" spans="1:23" x14ac:dyDescent="0.2">
      <c r="A38" s="10">
        <f t="shared" si="11"/>
        <v>28</v>
      </c>
      <c r="D38" s="3" t="str">
        <f t="shared" si="10"/>
        <v>ClrdoRvr</v>
      </c>
      <c r="I38" s="12">
        <f>ClrdoRvr!I47</f>
        <v>0</v>
      </c>
      <c r="J38" s="12">
        <f>ClrdoRvr!J47</f>
        <v>0</v>
      </c>
      <c r="K38" s="12">
        <f>ClrdoRvr!K47</f>
        <v>31.5</v>
      </c>
      <c r="L38" s="12">
        <f>ClrdoRvr!L47</f>
        <v>63</v>
      </c>
      <c r="M38" s="12">
        <f>ClrdoRvr!M47</f>
        <v>63</v>
      </c>
      <c r="N38" s="12">
        <f>ClrdoRvr!N47</f>
        <v>63</v>
      </c>
      <c r="O38" s="12">
        <f>ClrdoRvr!O47</f>
        <v>63</v>
      </c>
      <c r="P38" s="12">
        <f>ClrdoRvr!P47</f>
        <v>63</v>
      </c>
      <c r="Q38" s="12">
        <f>ClrdoRvr!Q47</f>
        <v>63</v>
      </c>
      <c r="R38" s="12">
        <f>ClrdoRvr!R47</f>
        <v>63</v>
      </c>
      <c r="S38" s="12">
        <f>ClrdoRvr!S47</f>
        <v>63</v>
      </c>
      <c r="T38" s="12">
        <f>ClrdoRvr!T47</f>
        <v>63</v>
      </c>
      <c r="U38" s="12">
        <f>ClrdoRvr!U47</f>
        <v>63</v>
      </c>
      <c r="V38" s="12">
        <f>ClrdoRvr!V47</f>
        <v>63</v>
      </c>
      <c r="W38" s="12">
        <f>ClrdoRvr!W47</f>
        <v>63</v>
      </c>
    </row>
    <row r="39" spans="1:23" x14ac:dyDescent="0.2">
      <c r="A39" s="10">
        <f t="shared" si="11"/>
        <v>29</v>
      </c>
      <c r="D39" s="3" t="str">
        <f t="shared" si="10"/>
        <v>Red Bluff 2nd 'AA' Bank</v>
      </c>
      <c r="I39" s="12">
        <f>'Red Bluff 2AA Bank'!I$47</f>
        <v>0</v>
      </c>
      <c r="J39" s="12">
        <f>'Red Bluff 2AA Bank'!J$47</f>
        <v>0</v>
      </c>
      <c r="K39" s="12">
        <f>'Red Bluff 2AA Bank'!K$47</f>
        <v>31.5</v>
      </c>
      <c r="L39" s="12">
        <f>'Red Bluff 2AA Bank'!L$47</f>
        <v>63</v>
      </c>
      <c r="M39" s="12">
        <f>'Red Bluff 2AA Bank'!M$47</f>
        <v>63</v>
      </c>
      <c r="N39" s="12">
        <f>'Red Bluff 2AA Bank'!N$47</f>
        <v>63</v>
      </c>
      <c r="O39" s="12">
        <f>'Red Bluff 2AA Bank'!O$47</f>
        <v>63</v>
      </c>
      <c r="P39" s="12">
        <f>'Red Bluff 2AA Bank'!P$47</f>
        <v>63</v>
      </c>
      <c r="Q39" s="12">
        <f>'Red Bluff 2AA Bank'!Q$47</f>
        <v>63</v>
      </c>
      <c r="R39" s="12">
        <f>'Red Bluff 2AA Bank'!R$47</f>
        <v>63</v>
      </c>
      <c r="S39" s="12">
        <f>'Red Bluff 2AA Bank'!S$47</f>
        <v>63</v>
      </c>
      <c r="T39" s="12">
        <f>'Red Bluff 2AA Bank'!T$47</f>
        <v>63</v>
      </c>
      <c r="U39" s="12">
        <f>'Red Bluff 2AA Bank'!U$47</f>
        <v>63</v>
      </c>
      <c r="V39" s="12">
        <f>'Red Bluff 2AA Bank'!V$47</f>
        <v>63</v>
      </c>
      <c r="W39" s="12">
        <f>'Red Bluff 2AA Bank'!W$47</f>
        <v>63</v>
      </c>
    </row>
    <row r="40" spans="1:23" x14ac:dyDescent="0.2">
      <c r="A40" s="10">
        <f t="shared" si="11"/>
        <v>30</v>
      </c>
      <c r="D40" s="3" t="str">
        <f t="shared" si="10"/>
        <v>Calcite</v>
      </c>
      <c r="I40" s="12">
        <f>Calcite!I$47</f>
        <v>0</v>
      </c>
      <c r="J40" s="12">
        <f>Calcite!J$47</f>
        <v>0</v>
      </c>
      <c r="K40" s="12">
        <f>Calcite!K$47</f>
        <v>28.5</v>
      </c>
      <c r="L40" s="12">
        <f>Calcite!L$47</f>
        <v>57</v>
      </c>
      <c r="M40" s="12">
        <f>Calcite!M$47</f>
        <v>57</v>
      </c>
      <c r="N40" s="12">
        <f>Calcite!N$47</f>
        <v>57</v>
      </c>
      <c r="O40" s="12">
        <f>Calcite!O$47</f>
        <v>57</v>
      </c>
      <c r="P40" s="12">
        <f>Calcite!P$47</f>
        <v>57</v>
      </c>
      <c r="Q40" s="12">
        <f>Calcite!Q$47</f>
        <v>57</v>
      </c>
      <c r="R40" s="12">
        <f>Calcite!R$47</f>
        <v>57</v>
      </c>
      <c r="S40" s="12">
        <f>Calcite!S$47</f>
        <v>57</v>
      </c>
      <c r="T40" s="12">
        <f>Calcite!T$47</f>
        <v>57</v>
      </c>
      <c r="U40" s="12">
        <f>Calcite!U$47</f>
        <v>57</v>
      </c>
      <c r="V40" s="12">
        <f>Calcite!V$47</f>
        <v>57</v>
      </c>
      <c r="W40" s="12">
        <f>Calcite!W$47</f>
        <v>57</v>
      </c>
    </row>
    <row r="41" spans="1:23" x14ac:dyDescent="0.2">
      <c r="A41" s="10">
        <f t="shared" si="11"/>
        <v>31</v>
      </c>
      <c r="D41" s="3" t="str">
        <f t="shared" si="10"/>
        <v>New Project 10</v>
      </c>
      <c r="I41" s="12">
        <f>'New Project 10'!I$47</f>
        <v>0</v>
      </c>
      <c r="J41" s="12">
        <f>'New Project 10'!J$47</f>
        <v>0</v>
      </c>
      <c r="K41" s="12">
        <f>'New Project 10'!K$47</f>
        <v>0</v>
      </c>
      <c r="L41" s="12">
        <f>'New Project 10'!L$47</f>
        <v>0</v>
      </c>
      <c r="M41" s="12">
        <f>'New Project 10'!M$47</f>
        <v>0</v>
      </c>
      <c r="N41" s="12">
        <f>'New Project 10'!N$47</f>
        <v>0</v>
      </c>
      <c r="O41" s="12">
        <f>'New Project 10'!O$47</f>
        <v>0</v>
      </c>
      <c r="P41" s="12">
        <f>'New Project 10'!P$47</f>
        <v>0</v>
      </c>
      <c r="Q41" s="12">
        <f>'New Project 10'!Q$47</f>
        <v>0</v>
      </c>
      <c r="R41" s="12">
        <f>'New Project 10'!R$47</f>
        <v>0</v>
      </c>
      <c r="S41" s="12">
        <f>'New Project 10'!S$47</f>
        <v>0</v>
      </c>
      <c r="T41" s="12">
        <f>'New Project 10'!T$47</f>
        <v>0</v>
      </c>
      <c r="U41" s="12">
        <f>'New Project 10'!U$47</f>
        <v>0</v>
      </c>
      <c r="V41" s="12">
        <f>'New Project 10'!V$47</f>
        <v>0</v>
      </c>
      <c r="W41" s="12">
        <f>'New Project 10'!W$47</f>
        <v>0</v>
      </c>
    </row>
    <row r="42" spans="1:23" x14ac:dyDescent="0.2">
      <c r="A42" s="10">
        <f t="shared" si="11"/>
        <v>32</v>
      </c>
      <c r="D42" s="3" t="str">
        <f t="shared" si="10"/>
        <v>New Project 11</v>
      </c>
      <c r="I42" s="12">
        <f>'New Project 11'!I$47</f>
        <v>0</v>
      </c>
      <c r="J42" s="12">
        <f>'New Project 11'!J$47</f>
        <v>0</v>
      </c>
      <c r="K42" s="12">
        <f>'New Project 11'!K$47</f>
        <v>0</v>
      </c>
      <c r="L42" s="12">
        <f>'New Project 11'!L$47</f>
        <v>0</v>
      </c>
      <c r="M42" s="12">
        <f>'New Project 11'!M$47</f>
        <v>0</v>
      </c>
      <c r="N42" s="12">
        <f>'New Project 11'!N$47</f>
        <v>0</v>
      </c>
      <c r="O42" s="12">
        <f>'New Project 11'!O$47</f>
        <v>0</v>
      </c>
      <c r="P42" s="12">
        <f>'New Project 11'!P$47</f>
        <v>0</v>
      </c>
      <c r="Q42" s="12">
        <f>'New Project 11'!Q$47</f>
        <v>0</v>
      </c>
      <c r="R42" s="12">
        <f>'New Project 11'!R$47</f>
        <v>0</v>
      </c>
      <c r="S42" s="12">
        <f>'New Project 11'!S$47</f>
        <v>0</v>
      </c>
      <c r="T42" s="12">
        <f>'New Project 11'!T$47</f>
        <v>0</v>
      </c>
      <c r="U42" s="12">
        <f>'New Project 11'!U$47</f>
        <v>0</v>
      </c>
      <c r="V42" s="12">
        <f>'New Project 11'!V$47</f>
        <v>0</v>
      </c>
      <c r="W42" s="12">
        <f>'New Project 11'!W$47</f>
        <v>0</v>
      </c>
    </row>
    <row r="43" spans="1:23" x14ac:dyDescent="0.2">
      <c r="A43" s="10">
        <f t="shared" si="11"/>
        <v>33</v>
      </c>
      <c r="D43" s="3" t="str">
        <f t="shared" si="10"/>
        <v>New Project 12</v>
      </c>
      <c r="I43" s="12">
        <f>'New Project 12'!I$47</f>
        <v>0</v>
      </c>
      <c r="J43" s="12">
        <f>'New Project 12'!J$47</f>
        <v>0</v>
      </c>
      <c r="K43" s="12">
        <f>'New Project 12'!K$47</f>
        <v>0</v>
      </c>
      <c r="L43" s="12">
        <f>'New Project 12'!L$47</f>
        <v>0</v>
      </c>
      <c r="M43" s="12">
        <f>'New Project 12'!M$47</f>
        <v>0</v>
      </c>
      <c r="N43" s="12">
        <f>'New Project 12'!N$47</f>
        <v>0</v>
      </c>
      <c r="O43" s="12">
        <f>'New Project 12'!O$47</f>
        <v>0</v>
      </c>
      <c r="P43" s="12">
        <f>'New Project 12'!P$47</f>
        <v>0</v>
      </c>
      <c r="Q43" s="12">
        <f>'New Project 12'!Q$47</f>
        <v>0</v>
      </c>
      <c r="R43" s="12">
        <f>'New Project 12'!R$47</f>
        <v>0</v>
      </c>
      <c r="S43" s="12">
        <f>'New Project 12'!S$47</f>
        <v>0</v>
      </c>
      <c r="T43" s="12">
        <f>'New Project 12'!T$47</f>
        <v>0</v>
      </c>
      <c r="U43" s="12">
        <f>'New Project 12'!U$47</f>
        <v>0</v>
      </c>
      <c r="V43" s="12">
        <f>'New Project 12'!V$47</f>
        <v>0</v>
      </c>
      <c r="W43" s="12">
        <f>'New Project 12'!W$47</f>
        <v>0</v>
      </c>
    </row>
    <row r="44" spans="1:23" x14ac:dyDescent="0.2">
      <c r="A44" s="10">
        <f t="shared" si="11"/>
        <v>34</v>
      </c>
      <c r="D44" s="3" t="str">
        <f t="shared" si="10"/>
        <v>Total</v>
      </c>
      <c r="I44" s="20">
        <f>SUM(I31:I43)</f>
        <v>18075.029324301584</v>
      </c>
      <c r="J44" s="20">
        <f t="shared" ref="J44:W44" si="12">SUM(J31:J43)</f>
        <v>19146.669717721365</v>
      </c>
      <c r="K44" s="20">
        <f t="shared" si="12"/>
        <v>20246.185980391121</v>
      </c>
      <c r="L44" s="20">
        <f t="shared" si="12"/>
        <v>21406.447148344436</v>
      </c>
      <c r="M44" s="20">
        <f t="shared" si="12"/>
        <v>22545.497398682419</v>
      </c>
      <c r="N44" s="20">
        <f t="shared" si="12"/>
        <v>23561.828501001717</v>
      </c>
      <c r="O44" s="20">
        <f t="shared" si="12"/>
        <v>24387.356278279327</v>
      </c>
      <c r="P44" s="20">
        <f t="shared" si="12"/>
        <v>24853.352350483114</v>
      </c>
      <c r="Q44" s="20">
        <f t="shared" si="12"/>
        <v>25262.368344130977</v>
      </c>
      <c r="R44" s="20">
        <f t="shared" si="12"/>
        <v>25679.564657651797</v>
      </c>
      <c r="S44" s="20">
        <f t="shared" si="12"/>
        <v>26105.104897443034</v>
      </c>
      <c r="T44" s="20">
        <f t="shared" si="12"/>
        <v>26539.155942030098</v>
      </c>
      <c r="U44" s="20">
        <f t="shared" si="12"/>
        <v>26981.888007508904</v>
      </c>
      <c r="V44" s="20">
        <f t="shared" si="12"/>
        <v>27433.474714297285</v>
      </c>
      <c r="W44" s="20">
        <f t="shared" si="12"/>
        <v>27894.093155221432</v>
      </c>
    </row>
    <row r="45" spans="1:23" x14ac:dyDescent="0.2">
      <c r="A45" s="10">
        <f t="shared" si="11"/>
        <v>35</v>
      </c>
      <c r="E45" s="11" t="s">
        <v>6</v>
      </c>
      <c r="J45" s="33">
        <f t="shared" ref="J45:W45" si="13">J44/I44-1</f>
        <v>5.9288445633611131E-2</v>
      </c>
      <c r="K45" s="33">
        <f t="shared" si="13"/>
        <v>5.7425979498256563E-2</v>
      </c>
      <c r="L45" s="33">
        <f t="shared" si="13"/>
        <v>5.7307641502308382E-2</v>
      </c>
      <c r="M45" s="33">
        <f t="shared" si="13"/>
        <v>5.3210616523353238E-2</v>
      </c>
      <c r="N45" s="33">
        <f t="shared" si="13"/>
        <v>4.5079116434960209E-2</v>
      </c>
      <c r="O45" s="33">
        <f t="shared" si="13"/>
        <v>3.5036660131980479E-2</v>
      </c>
      <c r="P45" s="33">
        <f t="shared" si="13"/>
        <v>1.9108101217958806E-2</v>
      </c>
      <c r="Q45" s="33">
        <f t="shared" si="13"/>
        <v>1.6457175992996786E-2</v>
      </c>
      <c r="R45" s="33">
        <f t="shared" si="13"/>
        <v>1.6514536873093455E-2</v>
      </c>
      <c r="S45" s="33">
        <f t="shared" si="13"/>
        <v>1.6571162535827355E-2</v>
      </c>
      <c r="T45" s="33">
        <f t="shared" si="13"/>
        <v>1.6627056136808704E-2</v>
      </c>
      <c r="U45" s="33">
        <f t="shared" si="13"/>
        <v>1.6682221033927025E-2</v>
      </c>
      <c r="V45" s="33">
        <f t="shared" si="13"/>
        <v>1.6736660780102053E-2</v>
      </c>
      <c r="W45" s="33">
        <f t="shared" si="13"/>
        <v>1.6790379116069065E-2</v>
      </c>
    </row>
    <row r="46" spans="1:23" x14ac:dyDescent="0.2"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23" x14ac:dyDescent="0.2">
      <c r="C47" s="1" t="s">
        <v>62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23" x14ac:dyDescent="0.2">
      <c r="A48" s="10">
        <f>A45+1</f>
        <v>36</v>
      </c>
      <c r="D48" s="3" t="str">
        <f t="shared" ref="D48:D61" si="14">D7</f>
        <v>Existing Facilities</v>
      </c>
      <c r="I48" s="12">
        <f>Existing!I170</f>
        <v>11445.847256496794</v>
      </c>
      <c r="J48" s="12">
        <f>Existing!J170</f>
        <v>11253.655969716157</v>
      </c>
      <c r="K48" s="12">
        <f>Existing!K170</f>
        <v>11057.620857199909</v>
      </c>
      <c r="L48" s="12">
        <f>Existing!L170</f>
        <v>10857.665042433331</v>
      </c>
      <c r="M48" s="12">
        <f>Existing!M170</f>
        <v>10653.710111371425</v>
      </c>
      <c r="N48" s="12">
        <f>Existing!N170</f>
        <v>10445.676081688282</v>
      </c>
      <c r="O48" s="12">
        <f>Existing!O170</f>
        <v>10233.481371411472</v>
      </c>
      <c r="P48" s="12">
        <f>Existing!P170</f>
        <v>10017.042766929126</v>
      </c>
      <c r="Q48" s="12">
        <f>Existing!Q170</f>
        <v>9796.2753903571338</v>
      </c>
      <c r="R48" s="12">
        <f>Existing!R170</f>
        <v>9571.0926662537022</v>
      </c>
      <c r="S48" s="12">
        <f>Existing!S170</f>
        <v>9341.4062876682019</v>
      </c>
      <c r="T48" s="12">
        <f>Existing!T170</f>
        <v>9107.1261815109938</v>
      </c>
      <c r="U48" s="12">
        <f>Existing!U170</f>
        <v>8868.1604732306423</v>
      </c>
      <c r="V48" s="12">
        <f>Existing!V170</f>
        <v>8624.4154507846833</v>
      </c>
      <c r="W48" s="12">
        <f>Existing!W170</f>
        <v>8375.7955278898025</v>
      </c>
    </row>
    <row r="49" spans="1:23" x14ac:dyDescent="0.2">
      <c r="A49" s="10">
        <f t="shared" ref="A49:A62" si="15">A48+1</f>
        <v>37</v>
      </c>
      <c r="D49" s="3" t="str">
        <f t="shared" si="14"/>
        <v>Reliability</v>
      </c>
      <c r="I49" s="12">
        <f>Reliability!I$80</f>
        <v>100.00154382862499</v>
      </c>
      <c r="J49" s="12">
        <f>Reliability!J$80</f>
        <v>428.61560710175763</v>
      </c>
      <c r="K49" s="12">
        <f>Reliability!K$80</f>
        <v>798.14472069266856</v>
      </c>
      <c r="L49" s="12">
        <f>Reliability!L$80</f>
        <v>1157.277782302436</v>
      </c>
      <c r="M49" s="12">
        <f>Reliability!M$80</f>
        <v>1588.0368683435217</v>
      </c>
      <c r="N49" s="12">
        <f>Reliability!N$80</f>
        <v>2122.6609703971371</v>
      </c>
      <c r="O49" s="12">
        <f>Reliability!O$80</f>
        <v>2457.4144170132149</v>
      </c>
      <c r="P49" s="12">
        <f>Reliability!P$80</f>
        <v>2418.6225789462042</v>
      </c>
      <c r="Q49" s="12">
        <f>Reliability!Q$80</f>
        <v>2317.5549310703459</v>
      </c>
      <c r="R49" s="12">
        <f>Reliability!R$80</f>
        <v>2219.7829597550181</v>
      </c>
      <c r="S49" s="12">
        <f>Reliability!S$80</f>
        <v>2124.4452941748254</v>
      </c>
      <c r="T49" s="12">
        <f>Reliability!T$80</f>
        <v>2030.633777000829</v>
      </c>
      <c r="U49" s="12">
        <f>Reliability!U$80</f>
        <v>1937.5655385524487</v>
      </c>
      <c r="V49" s="12">
        <f>Reliability!V$80</f>
        <v>1844.8754025837984</v>
      </c>
      <c r="W49" s="12">
        <f>Reliability!W$80</f>
        <v>1752.5019240871393</v>
      </c>
    </row>
    <row r="50" spans="1:23" x14ac:dyDescent="0.2">
      <c r="A50" s="10">
        <f t="shared" si="15"/>
        <v>38</v>
      </c>
      <c r="D50" s="3" t="str">
        <f t="shared" si="14"/>
        <v>South CC</v>
      </c>
      <c r="I50" s="12">
        <f>'South CC'!I$80</f>
        <v>0</v>
      </c>
      <c r="J50" s="12">
        <f>'South CC'!J$80</f>
        <v>0</v>
      </c>
      <c r="K50" s="12">
        <f>'South CC'!K$80</f>
        <v>0</v>
      </c>
      <c r="L50" s="12">
        <f>'South CC'!L$80</f>
        <v>0</v>
      </c>
      <c r="M50" s="12">
        <f>'South CC'!M$80</f>
        <v>0</v>
      </c>
      <c r="N50" s="12">
        <f>'South CC'!N$80</f>
        <v>0</v>
      </c>
      <c r="O50" s="12">
        <f>'South CC'!O$80</f>
        <v>0</v>
      </c>
      <c r="P50" s="12">
        <f>'South CC'!P$80</f>
        <v>0</v>
      </c>
      <c r="Q50" s="12">
        <f>'South CC'!Q$80</f>
        <v>0</v>
      </c>
      <c r="R50" s="12">
        <f>'South CC'!R$80</f>
        <v>0</v>
      </c>
      <c r="S50" s="12">
        <f>'South CC'!S$80</f>
        <v>0</v>
      </c>
      <c r="T50" s="12">
        <f>'South CC'!T$80</f>
        <v>0</v>
      </c>
      <c r="U50" s="12">
        <f>'South CC'!U$80</f>
        <v>0</v>
      </c>
      <c r="V50" s="12">
        <f>'South CC'!V$80</f>
        <v>0</v>
      </c>
      <c r="W50" s="12">
        <f>'South CC'!W$80</f>
        <v>0</v>
      </c>
    </row>
    <row r="51" spans="1:23" x14ac:dyDescent="0.2">
      <c r="A51" s="10">
        <f t="shared" si="15"/>
        <v>39</v>
      </c>
      <c r="D51" s="3" t="str">
        <f t="shared" si="14"/>
        <v>Tehachapi (Completed)</v>
      </c>
      <c r="I51" s="12">
        <f>Tehachapi!I$80</f>
        <v>0</v>
      </c>
      <c r="J51" s="12">
        <f>Tehachapi!J$80</f>
        <v>0</v>
      </c>
      <c r="K51" s="12">
        <f>Tehachapi!K$80</f>
        <v>0</v>
      </c>
      <c r="L51" s="12">
        <f>Tehachapi!L$80</f>
        <v>0</v>
      </c>
      <c r="M51" s="12">
        <f>Tehachapi!M$80</f>
        <v>0</v>
      </c>
      <c r="N51" s="12">
        <f>Tehachapi!N$80</f>
        <v>0</v>
      </c>
      <c r="O51" s="12">
        <f>Tehachapi!O$80</f>
        <v>0</v>
      </c>
      <c r="P51" s="12">
        <f>Tehachapi!P$80</f>
        <v>0</v>
      </c>
      <c r="Q51" s="12">
        <f>Tehachapi!Q$80</f>
        <v>0</v>
      </c>
      <c r="R51" s="12">
        <f>Tehachapi!R$80</f>
        <v>0</v>
      </c>
      <c r="S51" s="12">
        <f>Tehachapi!S$80</f>
        <v>0</v>
      </c>
      <c r="T51" s="12">
        <f>Tehachapi!T$80</f>
        <v>0</v>
      </c>
      <c r="U51" s="12">
        <f>Tehachapi!U$80</f>
        <v>0</v>
      </c>
      <c r="V51" s="12">
        <f>Tehachapi!V$80</f>
        <v>0</v>
      </c>
      <c r="W51" s="12">
        <f>Tehachapi!W$80</f>
        <v>0</v>
      </c>
    </row>
    <row r="52" spans="1:23" x14ac:dyDescent="0.2">
      <c r="A52" s="10">
        <f t="shared" si="15"/>
        <v>40</v>
      </c>
      <c r="D52" s="3" t="str">
        <f t="shared" si="14"/>
        <v>WOD</v>
      </c>
      <c r="I52" s="12">
        <f>WOD!I$80</f>
        <v>0</v>
      </c>
      <c r="J52" s="12">
        <f>WOD!J$80</f>
        <v>87.191877762499971</v>
      </c>
      <c r="K52" s="12">
        <f>WOD!K$80</f>
        <v>251.21370828749997</v>
      </c>
      <c r="L52" s="12">
        <f>WOD!L$80</f>
        <v>394.98651786506036</v>
      </c>
      <c r="M52" s="12">
        <f>WOD!M$80</f>
        <v>452.16962268507154</v>
      </c>
      <c r="N52" s="12">
        <f>WOD!N$80</f>
        <v>433.1610658474076</v>
      </c>
      <c r="O52" s="12">
        <f>WOD!O$80</f>
        <v>415.12531707647281</v>
      </c>
      <c r="P52" s="12">
        <f>WOD!P$80</f>
        <v>397.9690120959454</v>
      </c>
      <c r="Q52" s="12">
        <f>WOD!Q$80</f>
        <v>381.60792723061849</v>
      </c>
      <c r="R52" s="12">
        <f>WOD!R$80</f>
        <v>365.81976488964193</v>
      </c>
      <c r="S52" s="12">
        <f>WOD!S$80</f>
        <v>350.25797025984616</v>
      </c>
      <c r="T52" s="12">
        <f>WOD!T$80</f>
        <v>334.75678636059041</v>
      </c>
      <c r="U52" s="12">
        <f>WOD!U$80</f>
        <v>319.3131826553477</v>
      </c>
      <c r="V52" s="12">
        <f>WOD!V$80</f>
        <v>303.92428013441736</v>
      </c>
      <c r="W52" s="12">
        <f>WOD!W$80</f>
        <v>288.58734373858385</v>
      </c>
    </row>
    <row r="53" spans="1:23" x14ac:dyDescent="0.2">
      <c r="A53" s="10">
        <f t="shared" si="15"/>
        <v>41</v>
      </c>
      <c r="D53" s="3" t="str">
        <f t="shared" si="14"/>
        <v>CW-Lugo</v>
      </c>
      <c r="I53" s="12">
        <f>'CW-Lugo'!I$80</f>
        <v>0</v>
      </c>
      <c r="J53" s="12">
        <f>'CW-Lugo'!J$80</f>
        <v>0</v>
      </c>
      <c r="K53" s="12">
        <f>'CW-Lugo'!K$80</f>
        <v>0</v>
      </c>
      <c r="L53" s="12">
        <f>'CW-Lugo'!L$80</f>
        <v>0</v>
      </c>
      <c r="M53" s="12">
        <f>'CW-Lugo'!M$80</f>
        <v>0</v>
      </c>
      <c r="N53" s="12">
        <f>'CW-Lugo'!N$80</f>
        <v>0</v>
      </c>
      <c r="O53" s="12">
        <f>'CW-Lugo'!O$80</f>
        <v>0</v>
      </c>
      <c r="P53" s="12">
        <f>'CW-Lugo'!P$80</f>
        <v>0</v>
      </c>
      <c r="Q53" s="12">
        <f>'CW-Lugo'!Q$80</f>
        <v>0</v>
      </c>
      <c r="R53" s="12">
        <f>'CW-Lugo'!R$80</f>
        <v>0</v>
      </c>
      <c r="S53" s="12">
        <f>'CW-Lugo'!S$80</f>
        <v>0</v>
      </c>
      <c r="T53" s="12">
        <f>'CW-Lugo'!T$80</f>
        <v>0</v>
      </c>
      <c r="U53" s="12">
        <f>'CW-Lugo'!U$80</f>
        <v>0</v>
      </c>
      <c r="V53" s="12">
        <f>'CW-Lugo'!V$80</f>
        <v>0</v>
      </c>
      <c r="W53" s="12">
        <f>'CW-Lugo'!W$80</f>
        <v>0</v>
      </c>
    </row>
    <row r="54" spans="1:23" x14ac:dyDescent="0.2">
      <c r="A54" s="10">
        <f t="shared" si="15"/>
        <v>42</v>
      </c>
      <c r="D54" s="3" t="str">
        <f t="shared" si="14"/>
        <v>2018-19 Policy and Econ</v>
      </c>
      <c r="I54" s="12">
        <f>'2018-19 Policy and Econ'!I$80</f>
        <v>165.60974062025002</v>
      </c>
      <c r="J54" s="12">
        <f>'2018-19 Policy and Econ'!J$80</f>
        <v>526.13490003071945</v>
      </c>
      <c r="K54" s="12">
        <f>'2018-19 Policy and Econ'!K$80</f>
        <v>747.49534218310748</v>
      </c>
      <c r="L54" s="12">
        <f>'2018-19 Policy and Econ'!L$80</f>
        <v>776.04338203133807</v>
      </c>
      <c r="M54" s="12">
        <f>'2018-19 Policy and Econ'!M$80</f>
        <v>778.66509246141129</v>
      </c>
      <c r="N54" s="12">
        <f>'2018-19 Policy and Econ'!N$80</f>
        <v>763.12000942313352</v>
      </c>
      <c r="O54" s="12">
        <f>'2018-19 Policy and Econ'!O$80</f>
        <v>731.61114574083683</v>
      </c>
      <c r="P54" s="12">
        <f>'2018-19 Policy and Econ'!P$80</f>
        <v>701.04827739904943</v>
      </c>
      <c r="Q54" s="12">
        <f>'2018-19 Policy and Econ'!Q$80</f>
        <v>670.95615883190726</v>
      </c>
      <c r="R54" s="12">
        <f>'2018-19 Policy and Econ'!R$80</f>
        <v>641.10164649506567</v>
      </c>
      <c r="S54" s="12">
        <f>'2018-19 Policy and Econ'!S$80</f>
        <v>611.40677129847359</v>
      </c>
      <c r="T54" s="12">
        <f>'2018-19 Policy and Econ'!T$80</f>
        <v>581.82844775754381</v>
      </c>
      <c r="U54" s="12">
        <f>'2018-19 Policy and Econ'!U$80</f>
        <v>552.34972247374321</v>
      </c>
      <c r="V54" s="12">
        <f>'2018-19 Policy and Econ'!V$80</f>
        <v>522.96561553421532</v>
      </c>
      <c r="W54" s="12">
        <f>'2018-19 Policy and Econ'!W$80</f>
        <v>493.67139602174643</v>
      </c>
    </row>
    <row r="55" spans="1:23" x14ac:dyDescent="0.2">
      <c r="A55" s="10">
        <f t="shared" si="15"/>
        <v>43</v>
      </c>
      <c r="D55" s="3" t="str">
        <f t="shared" si="14"/>
        <v>ClrdoRvr</v>
      </c>
      <c r="I55" s="12">
        <f>ClrdoRvr!I$80</f>
        <v>3</v>
      </c>
      <c r="J55" s="12">
        <f>ClrdoRvr!J$80</f>
        <v>17.5</v>
      </c>
      <c r="K55" s="12">
        <f>ClrdoRvr!K$80</f>
        <v>45.330689575000001</v>
      </c>
      <c r="L55" s="12">
        <f>ClrdoRvr!L$80</f>
        <v>60.358583092499998</v>
      </c>
      <c r="M55" s="12">
        <f>ClrdoRvr!M$80</f>
        <v>57.821195572874998</v>
      </c>
      <c r="N55" s="12">
        <f>ClrdoRvr!N$80</f>
        <v>55.413664889231249</v>
      </c>
      <c r="O55" s="12">
        <f>ClrdoRvr!O$80</f>
        <v>53.123528162269693</v>
      </c>
      <c r="P55" s="12">
        <f>ClrdoRvr!P$80</f>
        <v>50.939542660406204</v>
      </c>
      <c r="Q55" s="12">
        <f>ClrdoRvr!Q$80</f>
        <v>48.832034635260889</v>
      </c>
      <c r="R55" s="12">
        <f>ClrdoRvr!R$80</f>
        <v>46.754743664997847</v>
      </c>
      <c r="S55" s="12">
        <f>ClrdoRvr!S$80</f>
        <v>44.685543414747954</v>
      </c>
      <c r="T55" s="12">
        <f>ClrdoRvr!T$80</f>
        <v>42.624029348510561</v>
      </c>
      <c r="U55" s="12">
        <f>ClrdoRvr!U$80</f>
        <v>40.569817157085026</v>
      </c>
      <c r="V55" s="12">
        <f>ClrdoRvr!V$80</f>
        <v>38.522541746730781</v>
      </c>
      <c r="W55" s="12">
        <f>ClrdoRvr!W$80</f>
        <v>36.48185627839424</v>
      </c>
    </row>
    <row r="56" spans="1:23" x14ac:dyDescent="0.2">
      <c r="A56" s="10">
        <f t="shared" si="15"/>
        <v>44</v>
      </c>
      <c r="D56" s="3" t="str">
        <f t="shared" si="14"/>
        <v>Red Bluff 2nd 'AA' Bank</v>
      </c>
      <c r="I56" s="12">
        <f>'Red Bluff 2AA Bank'!I$80</f>
        <v>0</v>
      </c>
      <c r="J56" s="12">
        <f>'Red Bluff 2AA Bank'!J$80</f>
        <v>0</v>
      </c>
      <c r="K56" s="12">
        <f>'Red Bluff 2AA Bank'!K$80</f>
        <v>30.830689575000001</v>
      </c>
      <c r="L56" s="12">
        <f>'Red Bluff 2AA Bank'!L$80</f>
        <v>60.358583092499998</v>
      </c>
      <c r="M56" s="12">
        <f>'Red Bluff 2AA Bank'!M$80</f>
        <v>57.821195572874998</v>
      </c>
      <c r="N56" s="12">
        <f>'Red Bluff 2AA Bank'!N$80</f>
        <v>55.413664889231249</v>
      </c>
      <c r="O56" s="12">
        <f>'Red Bluff 2AA Bank'!O$80</f>
        <v>53.123528162269693</v>
      </c>
      <c r="P56" s="12">
        <f>'Red Bluff 2AA Bank'!P$80</f>
        <v>50.939542660406204</v>
      </c>
      <c r="Q56" s="12">
        <f>'Red Bluff 2AA Bank'!Q$80</f>
        <v>48.832034635260889</v>
      </c>
      <c r="R56" s="12">
        <f>'Red Bluff 2AA Bank'!R$80</f>
        <v>46.754743664997847</v>
      </c>
      <c r="S56" s="12">
        <f>'Red Bluff 2AA Bank'!S$80</f>
        <v>44.685543414747954</v>
      </c>
      <c r="T56" s="12">
        <f>'Red Bluff 2AA Bank'!T$80</f>
        <v>42.624029348510561</v>
      </c>
      <c r="U56" s="12">
        <f>'Red Bluff 2AA Bank'!U$80</f>
        <v>40.569817157085026</v>
      </c>
      <c r="V56" s="12">
        <f>'Red Bluff 2AA Bank'!V$80</f>
        <v>38.522541746730781</v>
      </c>
      <c r="W56" s="12">
        <f>'Red Bluff 2AA Bank'!W$80</f>
        <v>36.48185627839424</v>
      </c>
    </row>
    <row r="57" spans="1:23" x14ac:dyDescent="0.2">
      <c r="A57" s="10">
        <f t="shared" si="15"/>
        <v>45</v>
      </c>
      <c r="D57" s="3" t="str">
        <f t="shared" si="14"/>
        <v>Calcite</v>
      </c>
      <c r="I57" s="12">
        <f>Calcite!I$80</f>
        <v>5</v>
      </c>
      <c r="J57" s="12">
        <f>Calcite!J$80</f>
        <v>21</v>
      </c>
      <c r="K57" s="12">
        <f>Calcite!K$80</f>
        <v>43.894433424999995</v>
      </c>
      <c r="L57" s="12">
        <f>Calcite!L$80</f>
        <v>54.610146607500006</v>
      </c>
      <c r="M57" s="12">
        <f>Calcite!M$80</f>
        <v>52.314415042124999</v>
      </c>
      <c r="N57" s="12">
        <f>Calcite!N$80</f>
        <v>50.136172995018754</v>
      </c>
      <c r="O57" s="12">
        <f>Calcite!O$80</f>
        <v>48.064144527767809</v>
      </c>
      <c r="P57" s="12">
        <f>Calcite!P$80</f>
        <v>46.088157645129421</v>
      </c>
      <c r="Q57" s="12">
        <f>Calcite!Q$80</f>
        <v>44.181364669997954</v>
      </c>
      <c r="R57" s="12">
        <f>Calcite!R$80</f>
        <v>42.301910934998048</v>
      </c>
      <c r="S57" s="12">
        <f>Calcite!S$80</f>
        <v>40.42977737524815</v>
      </c>
      <c r="T57" s="12">
        <f>Calcite!T$80</f>
        <v>38.564597981985742</v>
      </c>
      <c r="U57" s="12">
        <f>Calcite!U$80</f>
        <v>36.70602504688646</v>
      </c>
      <c r="V57" s="12">
        <f>Calcite!V$80</f>
        <v>34.853728247042127</v>
      </c>
      <c r="W57" s="12">
        <f>Calcite!W$80</f>
        <v>33.007393775690026</v>
      </c>
    </row>
    <row r="58" spans="1:23" x14ac:dyDescent="0.2">
      <c r="A58" s="10">
        <f t="shared" si="15"/>
        <v>46</v>
      </c>
      <c r="D58" s="3" t="str">
        <f t="shared" si="14"/>
        <v>New Project 10</v>
      </c>
      <c r="I58" s="12">
        <f>'New Project 10'!I$80</f>
        <v>0</v>
      </c>
      <c r="J58" s="12">
        <f>'New Project 10'!J$80</f>
        <v>0</v>
      </c>
      <c r="K58" s="12">
        <f>'New Project 10'!K$80</f>
        <v>0</v>
      </c>
      <c r="L58" s="12">
        <f>'New Project 10'!L$80</f>
        <v>0</v>
      </c>
      <c r="M58" s="12">
        <f>'New Project 10'!M$80</f>
        <v>0</v>
      </c>
      <c r="N58" s="12">
        <f>'New Project 10'!N$80</f>
        <v>0</v>
      </c>
      <c r="O58" s="12">
        <f>'New Project 10'!O$80</f>
        <v>0</v>
      </c>
      <c r="P58" s="12">
        <f>'New Project 10'!P$80</f>
        <v>0</v>
      </c>
      <c r="Q58" s="12">
        <f>'New Project 10'!Q$80</f>
        <v>0</v>
      </c>
      <c r="R58" s="12">
        <f>'New Project 10'!R$80</f>
        <v>0</v>
      </c>
      <c r="S58" s="12">
        <f>'New Project 10'!S$80</f>
        <v>0</v>
      </c>
      <c r="T58" s="12">
        <f>'New Project 10'!T$80</f>
        <v>0</v>
      </c>
      <c r="U58" s="12">
        <f>'New Project 10'!U$80</f>
        <v>0</v>
      </c>
      <c r="V58" s="12">
        <f>'New Project 10'!V$80</f>
        <v>0</v>
      </c>
      <c r="W58" s="12">
        <f>'New Project 10'!W$80</f>
        <v>0</v>
      </c>
    </row>
    <row r="59" spans="1:23" x14ac:dyDescent="0.2">
      <c r="A59" s="10">
        <f t="shared" si="15"/>
        <v>47</v>
      </c>
      <c r="D59" s="3" t="str">
        <f t="shared" si="14"/>
        <v>New Project 11</v>
      </c>
      <c r="I59" s="12">
        <f>'New Project 11'!I$80</f>
        <v>0</v>
      </c>
      <c r="J59" s="12">
        <f>'New Project 11'!J$80</f>
        <v>0</v>
      </c>
      <c r="K59" s="12">
        <f>'New Project 11'!K$80</f>
        <v>0</v>
      </c>
      <c r="L59" s="12">
        <f>'New Project 11'!L$80</f>
        <v>0</v>
      </c>
      <c r="M59" s="12">
        <f>'New Project 11'!M$80</f>
        <v>0</v>
      </c>
      <c r="N59" s="12">
        <f>'New Project 11'!N$80</f>
        <v>0</v>
      </c>
      <c r="O59" s="12">
        <f>'New Project 11'!O$80</f>
        <v>0</v>
      </c>
      <c r="P59" s="12">
        <f>'New Project 11'!P$80</f>
        <v>0</v>
      </c>
      <c r="Q59" s="12">
        <f>'New Project 11'!Q$80</f>
        <v>0</v>
      </c>
      <c r="R59" s="12">
        <f>'New Project 11'!R$80</f>
        <v>0</v>
      </c>
      <c r="S59" s="12">
        <f>'New Project 11'!S$80</f>
        <v>0</v>
      </c>
      <c r="T59" s="12">
        <f>'New Project 11'!T$80</f>
        <v>0</v>
      </c>
      <c r="U59" s="12">
        <f>'New Project 11'!U$80</f>
        <v>0</v>
      </c>
      <c r="V59" s="12">
        <f>'New Project 11'!V$80</f>
        <v>0</v>
      </c>
      <c r="W59" s="12">
        <f>'New Project 11'!W$80</f>
        <v>0</v>
      </c>
    </row>
    <row r="60" spans="1:23" x14ac:dyDescent="0.2">
      <c r="A60" s="10">
        <f t="shared" si="15"/>
        <v>48</v>
      </c>
      <c r="D60" s="3" t="str">
        <f t="shared" si="14"/>
        <v>New Project 12</v>
      </c>
      <c r="I60" s="12">
        <f>'New Project 12'!I$80</f>
        <v>0</v>
      </c>
      <c r="J60" s="12">
        <f>'New Project 12'!J$80</f>
        <v>0</v>
      </c>
      <c r="K60" s="12">
        <f>'New Project 12'!K$80</f>
        <v>0</v>
      </c>
      <c r="L60" s="12">
        <f>'New Project 12'!L$80</f>
        <v>0</v>
      </c>
      <c r="M60" s="12">
        <f>'New Project 12'!M$80</f>
        <v>0</v>
      </c>
      <c r="N60" s="12">
        <f>'New Project 12'!N$80</f>
        <v>0</v>
      </c>
      <c r="O60" s="12">
        <f>'New Project 12'!O$80</f>
        <v>0</v>
      </c>
      <c r="P60" s="12">
        <f>'New Project 12'!P$80</f>
        <v>0</v>
      </c>
      <c r="Q60" s="12">
        <f>'New Project 12'!Q$80</f>
        <v>0</v>
      </c>
      <c r="R60" s="12">
        <f>'New Project 12'!R$80</f>
        <v>0</v>
      </c>
      <c r="S60" s="12">
        <f>'New Project 12'!S$80</f>
        <v>0</v>
      </c>
      <c r="T60" s="12">
        <f>'New Project 12'!T$80</f>
        <v>0</v>
      </c>
      <c r="U60" s="12">
        <f>'New Project 12'!U$80</f>
        <v>0</v>
      </c>
      <c r="V60" s="12">
        <f>'New Project 12'!V$80</f>
        <v>0</v>
      </c>
      <c r="W60" s="12">
        <f>'New Project 12'!W$80</f>
        <v>0</v>
      </c>
    </row>
    <row r="61" spans="1:23" x14ac:dyDescent="0.2">
      <c r="A61" s="10">
        <f t="shared" si="15"/>
        <v>49</v>
      </c>
      <c r="D61" s="3" t="str">
        <f t="shared" si="14"/>
        <v>Total</v>
      </c>
      <c r="I61" s="20">
        <f t="shared" ref="I61:W61" si="16">SUM(I48:I60)</f>
        <v>11719.458540945669</v>
      </c>
      <c r="J61" s="20">
        <f t="shared" si="16"/>
        <v>12334.098354611135</v>
      </c>
      <c r="K61" s="20">
        <f t="shared" si="16"/>
        <v>12974.530440938182</v>
      </c>
      <c r="L61" s="20">
        <f t="shared" si="16"/>
        <v>13361.300037424664</v>
      </c>
      <c r="M61" s="20">
        <f t="shared" si="16"/>
        <v>13640.538501049303</v>
      </c>
      <c r="N61" s="20">
        <f t="shared" si="16"/>
        <v>13925.58163012944</v>
      </c>
      <c r="O61" s="20">
        <f t="shared" si="16"/>
        <v>13991.943452094303</v>
      </c>
      <c r="P61" s="20">
        <f t="shared" si="16"/>
        <v>13682.649878336268</v>
      </c>
      <c r="Q61" s="20">
        <f t="shared" si="16"/>
        <v>13308.239841430524</v>
      </c>
      <c r="R61" s="20">
        <f t="shared" si="16"/>
        <v>12933.608435658425</v>
      </c>
      <c r="S61" s="20">
        <f t="shared" si="16"/>
        <v>12557.317187606091</v>
      </c>
      <c r="T61" s="20">
        <f t="shared" si="16"/>
        <v>12178.157849308962</v>
      </c>
      <c r="U61" s="20">
        <f t="shared" si="16"/>
        <v>11795.23457627324</v>
      </c>
      <c r="V61" s="20">
        <f t="shared" si="16"/>
        <v>11408.079560777616</v>
      </c>
      <c r="W61" s="20">
        <f t="shared" si="16"/>
        <v>11016.52729806975</v>
      </c>
    </row>
    <row r="62" spans="1:23" x14ac:dyDescent="0.2">
      <c r="A62" s="10">
        <f t="shared" si="15"/>
        <v>50</v>
      </c>
      <c r="E62" s="11" t="s">
        <v>6</v>
      </c>
      <c r="J62" s="33">
        <f t="shared" ref="J62:W62" si="17">J61/I61-1</f>
        <v>5.2446093095344537E-2</v>
      </c>
      <c r="K62" s="33">
        <f t="shared" si="17"/>
        <v>5.1923705155765942E-2</v>
      </c>
      <c r="L62" s="33">
        <f t="shared" si="17"/>
        <v>2.9809910905609138E-2</v>
      </c>
      <c r="M62" s="33">
        <f t="shared" si="17"/>
        <v>2.0899048957998101E-2</v>
      </c>
      <c r="N62" s="33">
        <f t="shared" si="17"/>
        <v>2.0896765113650684E-2</v>
      </c>
      <c r="O62" s="33">
        <f t="shared" si="17"/>
        <v>4.7654614167986775E-3</v>
      </c>
      <c r="P62" s="33">
        <f t="shared" si="17"/>
        <v>-2.2105118907676857E-2</v>
      </c>
      <c r="Q62" s="33">
        <f t="shared" si="17"/>
        <v>-2.7363854241315266E-2</v>
      </c>
      <c r="R62" s="33">
        <f t="shared" si="17"/>
        <v>-2.8150334697592094E-2</v>
      </c>
      <c r="S62" s="33">
        <f t="shared" si="17"/>
        <v>-2.9094065273762681E-2</v>
      </c>
      <c r="T62" s="33">
        <f t="shared" si="17"/>
        <v>-3.0194294898543639E-2</v>
      </c>
      <c r="U62" s="33">
        <f t="shared" si="17"/>
        <v>-3.144344799714105E-2</v>
      </c>
      <c r="V62" s="33">
        <f t="shared" si="17"/>
        <v>-3.2823002628061926E-2</v>
      </c>
      <c r="W62" s="33">
        <f t="shared" si="17"/>
        <v>-3.4322364305213182E-2</v>
      </c>
    </row>
    <row r="64" spans="1:23" x14ac:dyDescent="0.2">
      <c r="A64" s="60"/>
      <c r="B64" s="60"/>
      <c r="C64" s="61" t="s">
        <v>109</v>
      </c>
      <c r="D64" s="60"/>
      <c r="E64" s="60"/>
    </row>
    <row r="65" spans="1:23" x14ac:dyDescent="0.2">
      <c r="A65" s="10">
        <f>A62+1</f>
        <v>51</v>
      </c>
      <c r="D65" s="3" t="str">
        <f t="shared" ref="D65:D78" si="18">D7</f>
        <v>Existing Facilities</v>
      </c>
      <c r="I65" s="12">
        <f>Existing!I175</f>
        <v>612.90078497924469</v>
      </c>
      <c r="J65" s="12">
        <f>Existing!J175</f>
        <v>625.15880067882961</v>
      </c>
      <c r="K65" s="12">
        <f>Existing!K175</f>
        <v>637.66197669240626</v>
      </c>
      <c r="L65" s="12">
        <f>Existing!L175</f>
        <v>650.41521622625442</v>
      </c>
      <c r="M65" s="12">
        <f>Existing!M175</f>
        <v>663.42352055077947</v>
      </c>
      <c r="N65" s="12">
        <f>Existing!N175</f>
        <v>676.69199096179511</v>
      </c>
      <c r="O65" s="12">
        <f>Existing!O175</f>
        <v>690.22583078103105</v>
      </c>
      <c r="P65" s="12">
        <f>Existing!P175</f>
        <v>704.03034739665168</v>
      </c>
      <c r="Q65" s="12">
        <f>Existing!Q175</f>
        <v>718.11095434458468</v>
      </c>
      <c r="R65" s="12">
        <f>Existing!R175</f>
        <v>732.47317343147643</v>
      </c>
      <c r="S65" s="12">
        <f>Existing!S175</f>
        <v>747.12263690010593</v>
      </c>
      <c r="T65" s="12">
        <f>Existing!T175</f>
        <v>762.06508963810802</v>
      </c>
      <c r="U65" s="12">
        <f>Existing!U175</f>
        <v>777.30639143087024</v>
      </c>
      <c r="V65" s="12">
        <f>Existing!V175</f>
        <v>792.85251925948762</v>
      </c>
      <c r="W65" s="12">
        <f>Existing!W175</f>
        <v>808.70956964467734</v>
      </c>
    </row>
    <row r="66" spans="1:23" x14ac:dyDescent="0.2">
      <c r="A66" s="10">
        <f t="shared" ref="A66:A79" si="19">A65+1</f>
        <v>52</v>
      </c>
      <c r="D66" s="3" t="str">
        <f t="shared" si="18"/>
        <v>Reliability</v>
      </c>
      <c r="I66" s="12">
        <f>Reliability!I88</f>
        <v>0</v>
      </c>
      <c r="J66" s="12">
        <f>Reliability!J88</f>
        <v>4.0869</v>
      </c>
      <c r="K66" s="12">
        <f>Reliability!K88</f>
        <v>13.684356777349999</v>
      </c>
      <c r="L66" s="12">
        <f>Reliability!L88</f>
        <v>20.282832753706998</v>
      </c>
      <c r="M66" s="12">
        <f>Reliability!M88</f>
        <v>30.410437687101137</v>
      </c>
      <c r="N66" s="12">
        <f>Reliability!N88</f>
        <v>40.879119367311645</v>
      </c>
      <c r="O66" s="12">
        <f>Reliability!O88</f>
        <v>56.392476680907883</v>
      </c>
      <c r="P66" s="12">
        <f>Reliability!P88</f>
        <v>60.120326214526045</v>
      </c>
      <c r="Q66" s="12">
        <f>Reliability!Q88</f>
        <v>61.322732738816569</v>
      </c>
      <c r="R66" s="12">
        <f>Reliability!R88</f>
        <v>62.549187393592902</v>
      </c>
      <c r="S66" s="12">
        <f>Reliability!S88</f>
        <v>63.800171141464759</v>
      </c>
      <c r="T66" s="12">
        <f>Reliability!T88</f>
        <v>65.07617456429405</v>
      </c>
      <c r="U66" s="12">
        <f>Reliability!U88</f>
        <v>66.377698055579927</v>
      </c>
      <c r="V66" s="12">
        <f>Reliability!V88</f>
        <v>67.705252016691531</v>
      </c>
      <c r="W66" s="12">
        <f>Reliability!W88</f>
        <v>69.059357057025366</v>
      </c>
    </row>
    <row r="67" spans="1:23" x14ac:dyDescent="0.2">
      <c r="A67" s="10">
        <f t="shared" si="19"/>
        <v>53</v>
      </c>
      <c r="D67" s="3" t="str">
        <f t="shared" si="18"/>
        <v>South CC</v>
      </c>
      <c r="I67" s="12">
        <f>'South CC'!I88</f>
        <v>0</v>
      </c>
      <c r="J67" s="12">
        <f>'South CC'!J88</f>
        <v>0</v>
      </c>
      <c r="K67" s="12">
        <f>'South CC'!K88</f>
        <v>0</v>
      </c>
      <c r="L67" s="12">
        <f>'South CC'!L88</f>
        <v>0</v>
      </c>
      <c r="M67" s="12">
        <f>'South CC'!M88</f>
        <v>0</v>
      </c>
      <c r="N67" s="12">
        <f>'South CC'!N88</f>
        <v>0</v>
      </c>
      <c r="O67" s="12">
        <f>'South CC'!O88</f>
        <v>0</v>
      </c>
      <c r="P67" s="12">
        <f>'South CC'!P88</f>
        <v>0</v>
      </c>
      <c r="Q67" s="12">
        <f>'South CC'!Q88</f>
        <v>0</v>
      </c>
      <c r="R67" s="12">
        <f>'South CC'!R88</f>
        <v>0</v>
      </c>
      <c r="S67" s="12">
        <f>'South CC'!S88</f>
        <v>0</v>
      </c>
      <c r="T67" s="12">
        <f>'South CC'!T88</f>
        <v>0</v>
      </c>
      <c r="U67" s="12">
        <f>'South CC'!U88</f>
        <v>0</v>
      </c>
      <c r="V67" s="12">
        <f>'South CC'!V88</f>
        <v>0</v>
      </c>
      <c r="W67" s="12">
        <f>'South CC'!W88</f>
        <v>0</v>
      </c>
    </row>
    <row r="68" spans="1:23" x14ac:dyDescent="0.2">
      <c r="A68" s="10">
        <f t="shared" si="19"/>
        <v>54</v>
      </c>
      <c r="D68" s="3" t="str">
        <f t="shared" si="18"/>
        <v>Tehachapi (Completed)</v>
      </c>
      <c r="I68" s="12">
        <f>Tehachapi!I88</f>
        <v>0</v>
      </c>
      <c r="J68" s="12">
        <f>Tehachapi!J88</f>
        <v>0</v>
      </c>
      <c r="K68" s="12">
        <f>Tehachapi!K88</f>
        <v>0</v>
      </c>
      <c r="L68" s="12">
        <f>Tehachapi!L88</f>
        <v>0</v>
      </c>
      <c r="M68" s="12">
        <f>Tehachapi!M88</f>
        <v>0</v>
      </c>
      <c r="N68" s="12">
        <f>Tehachapi!N88</f>
        <v>0</v>
      </c>
      <c r="O68" s="12">
        <f>Tehachapi!O88</f>
        <v>0</v>
      </c>
      <c r="P68" s="12">
        <f>Tehachapi!P88</f>
        <v>0</v>
      </c>
      <c r="Q68" s="12">
        <f>Tehachapi!Q88</f>
        <v>0</v>
      </c>
      <c r="R68" s="12">
        <f>Tehachapi!R88</f>
        <v>0</v>
      </c>
      <c r="S68" s="12">
        <f>Tehachapi!S88</f>
        <v>0</v>
      </c>
      <c r="T68" s="12">
        <f>Tehachapi!T88</f>
        <v>0</v>
      </c>
      <c r="U68" s="12">
        <f>Tehachapi!U88</f>
        <v>0</v>
      </c>
      <c r="V68" s="12">
        <f>Tehachapi!V88</f>
        <v>0</v>
      </c>
      <c r="W68" s="12">
        <f>Tehachapi!W88</f>
        <v>0</v>
      </c>
    </row>
    <row r="69" spans="1:23" x14ac:dyDescent="0.2">
      <c r="A69" s="10">
        <f t="shared" si="19"/>
        <v>55</v>
      </c>
      <c r="D69" s="3" t="str">
        <f t="shared" si="18"/>
        <v>WOD</v>
      </c>
      <c r="I69" s="12">
        <f>WOD!I88</f>
        <v>0</v>
      </c>
      <c r="J69" s="12">
        <f>WOD!J88</f>
        <v>0</v>
      </c>
      <c r="K69" s="12">
        <f>WOD!K88</f>
        <v>0</v>
      </c>
      <c r="L69" s="12">
        <f>WOD!L88</f>
        <v>0</v>
      </c>
      <c r="M69" s="12">
        <f>WOD!M88</f>
        <v>9.4391500825999977</v>
      </c>
      <c r="N69" s="12">
        <f>WOD!N88</f>
        <v>9.6279330842519979</v>
      </c>
      <c r="O69" s="12">
        <f>WOD!O88</f>
        <v>9.8204917459370389</v>
      </c>
      <c r="P69" s="12">
        <f>WOD!P88</f>
        <v>10.01690158085578</v>
      </c>
      <c r="Q69" s="12">
        <f>WOD!Q88</f>
        <v>10.217239612472897</v>
      </c>
      <c r="R69" s="12">
        <f>WOD!R88</f>
        <v>10.421584404722354</v>
      </c>
      <c r="S69" s="12">
        <f>WOD!S88</f>
        <v>10.630016092816803</v>
      </c>
      <c r="T69" s="12">
        <f>WOD!T88</f>
        <v>10.842616414673138</v>
      </c>
      <c r="U69" s="12">
        <f>WOD!U88</f>
        <v>11.059468742966601</v>
      </c>
      <c r="V69" s="12">
        <f>WOD!V88</f>
        <v>11.280658117825933</v>
      </c>
      <c r="W69" s="12">
        <f>WOD!W88</f>
        <v>11.506271280182451</v>
      </c>
    </row>
    <row r="70" spans="1:23" x14ac:dyDescent="0.2">
      <c r="A70" s="10">
        <f t="shared" si="19"/>
        <v>56</v>
      </c>
      <c r="D70" s="3" t="str">
        <f t="shared" si="18"/>
        <v>CW-Lugo</v>
      </c>
      <c r="I70" s="12">
        <f>'CW-Lugo'!I88</f>
        <v>0</v>
      </c>
      <c r="J70" s="12">
        <f>'CW-Lugo'!J88</f>
        <v>0</v>
      </c>
      <c r="K70" s="12">
        <f>'CW-Lugo'!K88</f>
        <v>0</v>
      </c>
      <c r="L70" s="12">
        <f>'CW-Lugo'!L88</f>
        <v>0</v>
      </c>
      <c r="M70" s="12">
        <f>'CW-Lugo'!M88</f>
        <v>0</v>
      </c>
      <c r="N70" s="12">
        <f>'CW-Lugo'!N88</f>
        <v>0</v>
      </c>
      <c r="O70" s="12">
        <f>'CW-Lugo'!O88</f>
        <v>0</v>
      </c>
      <c r="P70" s="12">
        <f>'CW-Lugo'!P88</f>
        <v>0</v>
      </c>
      <c r="Q70" s="12">
        <f>'CW-Lugo'!Q88</f>
        <v>0</v>
      </c>
      <c r="R70" s="12">
        <f>'CW-Lugo'!R88</f>
        <v>0</v>
      </c>
      <c r="S70" s="12">
        <f>'CW-Lugo'!S88</f>
        <v>0</v>
      </c>
      <c r="T70" s="12">
        <f>'CW-Lugo'!T88</f>
        <v>0</v>
      </c>
      <c r="U70" s="12">
        <f>'CW-Lugo'!U88</f>
        <v>0</v>
      </c>
      <c r="V70" s="12">
        <f>'CW-Lugo'!V88</f>
        <v>0</v>
      </c>
      <c r="W70" s="12">
        <f>'CW-Lugo'!W88</f>
        <v>0</v>
      </c>
    </row>
    <row r="71" spans="1:23" x14ac:dyDescent="0.2">
      <c r="A71" s="10">
        <f t="shared" si="19"/>
        <v>57</v>
      </c>
      <c r="D71" s="3" t="str">
        <f t="shared" si="18"/>
        <v>2018-19 Policy and Econ</v>
      </c>
      <c r="I71" s="12">
        <f>'2018-19 Policy and Econ'!I88</f>
        <v>0</v>
      </c>
      <c r="J71" s="12">
        <f>'2018-19 Policy and Econ'!J88</f>
        <v>6.7682000000000002</v>
      </c>
      <c r="K71" s="12">
        <f>'2018-19 Policy and Econ'!K88</f>
        <v>15.1554395</v>
      </c>
      <c r="L71" s="12">
        <f>'2018-19 Policy and Econ'!L88</f>
        <v>17.159035790000001</v>
      </c>
      <c r="M71" s="12">
        <f>'2018-19 Policy and Econ'!M88</f>
        <v>18.247953035799998</v>
      </c>
      <c r="N71" s="12">
        <f>'2018-19 Policy and Econ'!N88</f>
        <v>19.292912096515998</v>
      </c>
      <c r="O71" s="12">
        <f>'2018-19 Policy and Econ'!O88</f>
        <v>19.67877033844632</v>
      </c>
      <c r="P71" s="12">
        <f>'2018-19 Policy and Econ'!P88</f>
        <v>20.072345745215248</v>
      </c>
      <c r="Q71" s="12">
        <f>'2018-19 Policy and Econ'!Q88</f>
        <v>20.473792660119553</v>
      </c>
      <c r="R71" s="12">
        <f>'2018-19 Policy and Econ'!R88</f>
        <v>20.883268513321944</v>
      </c>
      <c r="S71" s="12">
        <f>'2018-19 Policy and Econ'!S88</f>
        <v>21.300933883588385</v>
      </c>
      <c r="T71" s="12">
        <f>'2018-19 Policy and Econ'!T88</f>
        <v>21.726952561260152</v>
      </c>
      <c r="U71" s="12">
        <f>'2018-19 Policy and Econ'!U88</f>
        <v>22.161491612485356</v>
      </c>
      <c r="V71" s="12">
        <f>'2018-19 Policy and Econ'!V88</f>
        <v>22.604721444735063</v>
      </c>
      <c r="W71" s="12">
        <f>'2018-19 Policy and Econ'!W88</f>
        <v>23.056815873629763</v>
      </c>
    </row>
    <row r="72" spans="1:23" x14ac:dyDescent="0.2">
      <c r="A72" s="10">
        <f t="shared" si="19"/>
        <v>58</v>
      </c>
      <c r="D72" s="3" t="str">
        <f t="shared" si="18"/>
        <v>ClrdoRvr</v>
      </c>
      <c r="I72" s="12">
        <f>ClrdoRvr!I88</f>
        <v>0</v>
      </c>
      <c r="J72" s="12">
        <f>ClrdoRvr!J88</f>
        <v>0</v>
      </c>
      <c r="K72" s="12">
        <f>ClrdoRvr!K88</f>
        <v>0</v>
      </c>
      <c r="L72" s="12">
        <f>ClrdoRvr!L88</f>
        <v>1.26</v>
      </c>
      <c r="M72" s="12">
        <f>ClrdoRvr!M88</f>
        <v>1.2852000000000001</v>
      </c>
      <c r="N72" s="12">
        <f>ClrdoRvr!N88</f>
        <v>1.3109040000000001</v>
      </c>
      <c r="O72" s="12">
        <f>ClrdoRvr!O88</f>
        <v>1.3371220800000001</v>
      </c>
      <c r="P72" s="12">
        <f>ClrdoRvr!P88</f>
        <v>1.3638645216</v>
      </c>
      <c r="Q72" s="12">
        <f>ClrdoRvr!Q88</f>
        <v>1.391141812032</v>
      </c>
      <c r="R72" s="12">
        <f>ClrdoRvr!R88</f>
        <v>1.4189646482726401</v>
      </c>
      <c r="S72" s="12">
        <f>ClrdoRvr!S88</f>
        <v>1.4473439412380928</v>
      </c>
      <c r="T72" s="12">
        <f>ClrdoRvr!T88</f>
        <v>1.4762908200628548</v>
      </c>
      <c r="U72" s="12">
        <f>ClrdoRvr!U88</f>
        <v>1.5058166364641119</v>
      </c>
      <c r="V72" s="12">
        <f>ClrdoRvr!V88</f>
        <v>1.5359329691933941</v>
      </c>
      <c r="W72" s="12">
        <f>ClrdoRvr!W88</f>
        <v>1.566651628577262</v>
      </c>
    </row>
    <row r="73" spans="1:23" x14ac:dyDescent="0.2">
      <c r="A73" s="10">
        <f t="shared" si="19"/>
        <v>59</v>
      </c>
      <c r="D73" s="3" t="str">
        <f t="shared" si="18"/>
        <v>Red Bluff 2nd 'AA' Bank</v>
      </c>
      <c r="I73" s="12">
        <f>'Red Bluff 2AA Bank'!I88</f>
        <v>0</v>
      </c>
      <c r="J73" s="12">
        <f>'Red Bluff 2AA Bank'!J88</f>
        <v>0</v>
      </c>
      <c r="K73" s="12">
        <f>'Red Bluff 2AA Bank'!K88</f>
        <v>0</v>
      </c>
      <c r="L73" s="12">
        <f>'Red Bluff 2AA Bank'!L88</f>
        <v>1.26</v>
      </c>
      <c r="M73" s="12">
        <f>'Red Bluff 2AA Bank'!M88</f>
        <v>1.2852000000000001</v>
      </c>
      <c r="N73" s="12">
        <f>'Red Bluff 2AA Bank'!N88</f>
        <v>1.3109040000000001</v>
      </c>
      <c r="O73" s="12">
        <f>'Red Bluff 2AA Bank'!O88</f>
        <v>1.3371220800000001</v>
      </c>
      <c r="P73" s="12">
        <f>'Red Bluff 2AA Bank'!P88</f>
        <v>1.3638645216</v>
      </c>
      <c r="Q73" s="12">
        <f>'Red Bluff 2AA Bank'!Q88</f>
        <v>1.391141812032</v>
      </c>
      <c r="R73" s="12">
        <f>'Red Bluff 2AA Bank'!R88</f>
        <v>1.4189646482726401</v>
      </c>
      <c r="S73" s="12">
        <f>'Red Bluff 2AA Bank'!S88</f>
        <v>1.4473439412380928</v>
      </c>
      <c r="T73" s="12">
        <f>'Red Bluff 2AA Bank'!T88</f>
        <v>1.4762908200628548</v>
      </c>
      <c r="U73" s="12">
        <f>'Red Bluff 2AA Bank'!U88</f>
        <v>1.5058166364641119</v>
      </c>
      <c r="V73" s="12">
        <f>'Red Bluff 2AA Bank'!V88</f>
        <v>1.5359329691933941</v>
      </c>
      <c r="W73" s="12">
        <f>'Red Bluff 2AA Bank'!W88</f>
        <v>1.566651628577262</v>
      </c>
    </row>
    <row r="74" spans="1:23" x14ac:dyDescent="0.2">
      <c r="A74" s="10">
        <f t="shared" si="19"/>
        <v>60</v>
      </c>
      <c r="D74" s="3" t="str">
        <f t="shared" si="18"/>
        <v>Calcite</v>
      </c>
      <c r="I74" s="12">
        <f>Calcite!I88</f>
        <v>0</v>
      </c>
      <c r="J74" s="12">
        <f>Calcite!J88</f>
        <v>0</v>
      </c>
      <c r="K74" s="12">
        <f>Calcite!K88</f>
        <v>0</v>
      </c>
      <c r="L74" s="12">
        <f>Calcite!L88</f>
        <v>1.1400000000000001</v>
      </c>
      <c r="M74" s="12">
        <f>Calcite!M88</f>
        <v>1.1628000000000001</v>
      </c>
      <c r="N74" s="12">
        <f>Calcite!N88</f>
        <v>1.186056</v>
      </c>
      <c r="O74" s="12">
        <f>Calcite!O88</f>
        <v>1.20977712</v>
      </c>
      <c r="P74" s="12">
        <f>Calcite!P88</f>
        <v>1.2339726624</v>
      </c>
      <c r="Q74" s="12">
        <f>Calcite!Q88</f>
        <v>1.2586521156479999</v>
      </c>
      <c r="R74" s="12">
        <f>Calcite!R88</f>
        <v>1.2838251579609599</v>
      </c>
      <c r="S74" s="12">
        <f>Calcite!S88</f>
        <v>1.3095016611201791</v>
      </c>
      <c r="T74" s="12">
        <f>Calcite!T88</f>
        <v>1.3356916943425827</v>
      </c>
      <c r="U74" s="12">
        <f>Calcite!U88</f>
        <v>1.3624055282294345</v>
      </c>
      <c r="V74" s="12">
        <f>Calcite!V88</f>
        <v>1.3896536387940233</v>
      </c>
      <c r="W74" s="12">
        <f>Calcite!W88</f>
        <v>1.4174467115699037</v>
      </c>
    </row>
    <row r="75" spans="1:23" x14ac:dyDescent="0.2">
      <c r="A75" s="10">
        <f t="shared" si="19"/>
        <v>61</v>
      </c>
      <c r="D75" s="3" t="str">
        <f t="shared" si="18"/>
        <v>New Project 10</v>
      </c>
      <c r="I75" s="12">
        <f>'New Project 10'!I88</f>
        <v>0</v>
      </c>
      <c r="J75" s="12">
        <f>'New Project 10'!J88</f>
        <v>0</v>
      </c>
      <c r="K75" s="12">
        <f>'New Project 10'!K88</f>
        <v>0</v>
      </c>
      <c r="L75" s="12">
        <f>'New Project 10'!L88</f>
        <v>0</v>
      </c>
      <c r="M75" s="12">
        <f>'New Project 10'!M88</f>
        <v>0</v>
      </c>
      <c r="N75" s="12">
        <f>'New Project 10'!N88</f>
        <v>0</v>
      </c>
      <c r="O75" s="12">
        <f>'New Project 10'!O88</f>
        <v>0</v>
      </c>
      <c r="P75" s="12">
        <f>'New Project 10'!P88</f>
        <v>0</v>
      </c>
      <c r="Q75" s="12">
        <f>'New Project 10'!Q88</f>
        <v>0</v>
      </c>
      <c r="R75" s="12">
        <f>'New Project 10'!R88</f>
        <v>0</v>
      </c>
      <c r="S75" s="12">
        <f>'New Project 10'!S88</f>
        <v>0</v>
      </c>
      <c r="T75" s="12">
        <f>'New Project 10'!T88</f>
        <v>0</v>
      </c>
      <c r="U75" s="12">
        <f>'New Project 10'!U88</f>
        <v>0</v>
      </c>
      <c r="V75" s="12">
        <f>'New Project 10'!V88</f>
        <v>0</v>
      </c>
      <c r="W75" s="12">
        <f>'New Project 10'!W88</f>
        <v>0</v>
      </c>
    </row>
    <row r="76" spans="1:23" x14ac:dyDescent="0.2">
      <c r="A76" s="10">
        <f t="shared" si="19"/>
        <v>62</v>
      </c>
      <c r="D76" s="3" t="str">
        <f t="shared" si="18"/>
        <v>New Project 11</v>
      </c>
      <c r="I76" s="12">
        <f>'New Project 11'!I88</f>
        <v>0</v>
      </c>
      <c r="J76" s="12">
        <f>'New Project 11'!J88</f>
        <v>0</v>
      </c>
      <c r="K76" s="12">
        <f>'New Project 11'!K88</f>
        <v>0</v>
      </c>
      <c r="L76" s="12">
        <f>'New Project 11'!L88</f>
        <v>0</v>
      </c>
      <c r="M76" s="12">
        <f>'New Project 11'!M88</f>
        <v>0</v>
      </c>
      <c r="N76" s="12">
        <f>'New Project 11'!N88</f>
        <v>0</v>
      </c>
      <c r="O76" s="12">
        <f>'New Project 11'!O88</f>
        <v>0</v>
      </c>
      <c r="P76" s="12">
        <f>'New Project 11'!P88</f>
        <v>0</v>
      </c>
      <c r="Q76" s="12">
        <f>'New Project 11'!Q88</f>
        <v>0</v>
      </c>
      <c r="R76" s="12">
        <f>'New Project 11'!R88</f>
        <v>0</v>
      </c>
      <c r="S76" s="12">
        <f>'New Project 11'!S88</f>
        <v>0</v>
      </c>
      <c r="T76" s="12">
        <f>'New Project 11'!T88</f>
        <v>0</v>
      </c>
      <c r="U76" s="12">
        <f>'New Project 11'!U88</f>
        <v>0</v>
      </c>
      <c r="V76" s="12">
        <f>'New Project 11'!V88</f>
        <v>0</v>
      </c>
      <c r="W76" s="12">
        <f>'New Project 11'!W88</f>
        <v>0</v>
      </c>
    </row>
    <row r="77" spans="1:23" x14ac:dyDescent="0.2">
      <c r="A77" s="10">
        <f t="shared" si="19"/>
        <v>63</v>
      </c>
      <c r="D77" s="3" t="str">
        <f t="shared" si="18"/>
        <v>New Project 12</v>
      </c>
      <c r="I77" s="12">
        <f>'New Project 12'!I88</f>
        <v>0</v>
      </c>
      <c r="J77" s="12">
        <f>'New Project 12'!J88</f>
        <v>0</v>
      </c>
      <c r="K77" s="12">
        <f>'New Project 12'!K88</f>
        <v>0</v>
      </c>
      <c r="L77" s="12">
        <f>'New Project 12'!L88</f>
        <v>0</v>
      </c>
      <c r="M77" s="12">
        <f>'New Project 12'!M88</f>
        <v>0</v>
      </c>
      <c r="N77" s="12">
        <f>'New Project 12'!N88</f>
        <v>0</v>
      </c>
      <c r="O77" s="12">
        <f>'New Project 12'!O88</f>
        <v>0</v>
      </c>
      <c r="P77" s="12">
        <f>'New Project 12'!P88</f>
        <v>0</v>
      </c>
      <c r="Q77" s="12">
        <f>'New Project 12'!Q88</f>
        <v>0</v>
      </c>
      <c r="R77" s="12">
        <f>'New Project 12'!R88</f>
        <v>0</v>
      </c>
      <c r="S77" s="12">
        <f>'New Project 12'!S88</f>
        <v>0</v>
      </c>
      <c r="T77" s="12">
        <f>'New Project 12'!T88</f>
        <v>0</v>
      </c>
      <c r="U77" s="12">
        <f>'New Project 12'!U88</f>
        <v>0</v>
      </c>
      <c r="V77" s="12">
        <f>'New Project 12'!V88</f>
        <v>0</v>
      </c>
      <c r="W77" s="12">
        <f>'New Project 12'!W88</f>
        <v>0</v>
      </c>
    </row>
    <row r="78" spans="1:23" x14ac:dyDescent="0.2">
      <c r="A78" s="10">
        <f t="shared" si="19"/>
        <v>64</v>
      </c>
      <c r="D78" s="3" t="str">
        <f t="shared" si="18"/>
        <v>Total</v>
      </c>
      <c r="I78" s="20">
        <f t="shared" ref="I78:W78" si="20">SUM(I65:I77)</f>
        <v>612.90078497924469</v>
      </c>
      <c r="J78" s="20">
        <f t="shared" si="20"/>
        <v>636.0139006788296</v>
      </c>
      <c r="K78" s="20">
        <f t="shared" si="20"/>
        <v>666.5017729697563</v>
      </c>
      <c r="L78" s="20">
        <f t="shared" si="20"/>
        <v>691.51708476996134</v>
      </c>
      <c r="M78" s="20">
        <f t="shared" si="20"/>
        <v>725.25426135628061</v>
      </c>
      <c r="N78" s="20">
        <f t="shared" si="20"/>
        <v>750.29981950987496</v>
      </c>
      <c r="O78" s="20">
        <f t="shared" si="20"/>
        <v>780.00159082632217</v>
      </c>
      <c r="P78" s="20">
        <f t="shared" si="20"/>
        <v>798.20162264284875</v>
      </c>
      <c r="Q78" s="20">
        <f t="shared" si="20"/>
        <v>814.16565509570569</v>
      </c>
      <c r="R78" s="20">
        <f t="shared" si="20"/>
        <v>830.44896819761982</v>
      </c>
      <c r="S78" s="20">
        <f t="shared" si="20"/>
        <v>847.05794756157218</v>
      </c>
      <c r="T78" s="20">
        <f t="shared" si="20"/>
        <v>863.99910651280379</v>
      </c>
      <c r="U78" s="20">
        <f t="shared" si="20"/>
        <v>881.27908864305994</v>
      </c>
      <c r="V78" s="20">
        <f t="shared" si="20"/>
        <v>898.90467041592103</v>
      </c>
      <c r="W78" s="20">
        <f t="shared" si="20"/>
        <v>916.8827638242393</v>
      </c>
    </row>
    <row r="79" spans="1:23" x14ac:dyDescent="0.2">
      <c r="A79" s="10">
        <f t="shared" si="19"/>
        <v>65</v>
      </c>
      <c r="E79" s="11" t="s">
        <v>6</v>
      </c>
      <c r="J79" s="33">
        <f t="shared" ref="J79:W79" si="21">J78/I78-1</f>
        <v>3.7711023163998103E-2</v>
      </c>
      <c r="K79" s="33">
        <f t="shared" si="21"/>
        <v>4.7935858411878085E-2</v>
      </c>
      <c r="L79" s="33">
        <f t="shared" si="21"/>
        <v>3.7532250947725831E-2</v>
      </c>
      <c r="M79" s="33">
        <f t="shared" si="21"/>
        <v>4.8787191711311406E-2</v>
      </c>
      <c r="N79" s="33">
        <f t="shared" si="21"/>
        <v>3.453348637587772E-2</v>
      </c>
      <c r="O79" s="33">
        <f t="shared" si="21"/>
        <v>3.9586536667234551E-2</v>
      </c>
      <c r="P79" s="33">
        <f t="shared" si="21"/>
        <v>2.3333326534944243E-2</v>
      </c>
      <c r="Q79" s="33">
        <f t="shared" si="21"/>
        <v>2.0000000000000018E-2</v>
      </c>
      <c r="R79" s="33">
        <f t="shared" si="21"/>
        <v>2.0000000000000018E-2</v>
      </c>
      <c r="S79" s="33">
        <f t="shared" si="21"/>
        <v>2.0000000000000018E-2</v>
      </c>
      <c r="T79" s="33">
        <f t="shared" si="21"/>
        <v>2.000000000000024E-2</v>
      </c>
      <c r="U79" s="33">
        <f t="shared" si="21"/>
        <v>2.0000000000000018E-2</v>
      </c>
      <c r="V79" s="33">
        <f t="shared" si="21"/>
        <v>1.9999999999999796E-2</v>
      </c>
      <c r="W79" s="33">
        <f t="shared" si="21"/>
        <v>1.9999999999999796E-2</v>
      </c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46" min="8" max="17" man="1"/>
  </rowBreaks>
  <ignoredErrors>
    <ignoredError sqref="I13:W1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="80" zoomScaleNormal="80" workbookViewId="0">
      <selection activeCell="F25" sqref="F25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111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71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76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77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="80" zoomScaleNormal="80" workbookViewId="0">
      <selection activeCell="H22" sqref="H22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112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>$F31</f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71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76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77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94"/>
  <sheetViews>
    <sheetView tabSelected="1" zoomScale="80" zoomScaleNormal="80" workbookViewId="0"/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9" x14ac:dyDescent="0.2">
      <c r="A1" s="1" t="s">
        <v>22</v>
      </c>
      <c r="B1" s="1"/>
      <c r="E1" s="108" t="s">
        <v>159</v>
      </c>
    </row>
    <row r="2" spans="1:29" x14ac:dyDescent="0.2">
      <c r="A2" s="1" t="s">
        <v>0</v>
      </c>
      <c r="B2" s="1"/>
    </row>
    <row r="3" spans="1:29" s="5" customFormat="1" x14ac:dyDescent="0.2">
      <c r="A3" s="4"/>
      <c r="E3" s="6"/>
      <c r="F3" s="4" t="s">
        <v>3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5">
        <v>2023</v>
      </c>
      <c r="O3" s="5">
        <v>2024</v>
      </c>
      <c r="P3" s="5">
        <v>2025</v>
      </c>
      <c r="Q3" s="5">
        <v>2026</v>
      </c>
      <c r="R3" s="5">
        <v>2027</v>
      </c>
      <c r="S3" s="5">
        <v>2028</v>
      </c>
      <c r="T3" s="5">
        <v>2029</v>
      </c>
      <c r="U3" s="5">
        <v>2030</v>
      </c>
      <c r="V3" s="5">
        <v>2031</v>
      </c>
      <c r="W3" s="5">
        <v>2032</v>
      </c>
    </row>
    <row r="4" spans="1:29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9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9" s="8" customFormat="1" x14ac:dyDescent="0.2">
      <c r="A7" s="10">
        <v>1</v>
      </c>
      <c r="D7" s="13" t="s">
        <v>23</v>
      </c>
      <c r="E7" s="19"/>
      <c r="F7" s="21">
        <v>2018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9" s="8" customFormat="1" ht="16.5" x14ac:dyDescent="0.3">
      <c r="A8" s="10">
        <f>A7+1</f>
        <v>2</v>
      </c>
      <c r="D8" s="13" t="s">
        <v>32</v>
      </c>
      <c r="E8" s="19"/>
      <c r="F8" s="17"/>
      <c r="H8" s="49"/>
      <c r="I8" s="49">
        <v>0</v>
      </c>
      <c r="J8" s="49">
        <v>0</v>
      </c>
      <c r="K8" s="49">
        <v>0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Y8" s="48"/>
      <c r="Z8" s="48"/>
      <c r="AA8" s="48"/>
      <c r="AB8" s="48"/>
      <c r="AC8" s="48"/>
    </row>
    <row r="9" spans="1:29" x14ac:dyDescent="0.2">
      <c r="A9" s="10"/>
      <c r="F9" s="30"/>
    </row>
    <row r="10" spans="1:29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9" s="8" customFormat="1" x14ac:dyDescent="0.2">
      <c r="A11" s="10">
        <f>A10+1</f>
        <v>4</v>
      </c>
      <c r="D11" s="13" t="s">
        <v>31</v>
      </c>
      <c r="E11" s="19"/>
      <c r="F11" s="52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9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9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9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9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9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71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0</v>
      </c>
      <c r="N59" s="12">
        <f>-I23*N58-J23*M58-K23*L58-L23*K58-M23*J58-N23*I58-H58*O23</f>
        <v>0</v>
      </c>
      <c r="O59" s="12">
        <f>-I23*O58-J23*N58-K23*M58-L23*L58-M23*K58-N23*J58-O23*I58-H58*P23</f>
        <v>0</v>
      </c>
      <c r="P59" s="12">
        <f>-I23*P58-J23*O58-K23*N58-L23*M58-M23*L58-N23*K58-O23*J58-P23*I58-H58*Q23</f>
        <v>0</v>
      </c>
      <c r="Q59" s="12">
        <f>-I23*Q58-J23*P58-K23*O58-L23*N58-M23*M58-N23*L58-O23*K58-P23*J58-Q23*I58-H58*R23</f>
        <v>0</v>
      </c>
      <c r="R59" s="12">
        <f>-I23*R58-J23*Q58-K23*P58-L23*O58-M23*N58-N23*M58-O23*L58-P23*K58-Q23*J58-R23*I58-H58*S23</f>
        <v>0</v>
      </c>
      <c r="S59" s="12">
        <f>-I23*S58-J23*R58-K23*Q58-L23*P58-M23*O58-N23*N58-O23*M58-P23*L58-Q23*K58-R23*J58-S23*I58-H58*T23</f>
        <v>0</v>
      </c>
      <c r="T59" s="12">
        <f>-I23*T58-J23*S58-K23*R58-L23*Q58-M23*P58-N23*O58-O23*N58-P23*M58-Q23*L58-R23*K58-S23*J58-T23*I58-H58*U23</f>
        <v>0</v>
      </c>
      <c r="U59" s="12">
        <f>-I23*U58-J23*T58-K23*S58-L23*R58-M23*Q58-N23*P58-O23*O58-P23*N58-Q23*M58-R23*L58-S23*K58-T23*J58-U23*I58-H58*V23</f>
        <v>0</v>
      </c>
      <c r="V59" s="12">
        <f>-I23*V58-J23*U58-K23*T58-L23*S58-M23*R58-N23*Q58-O23*P58-P23*O58-Q23*N58-R23*M58-S23*L58-T23*K58-U23*J58-V23*I58-H58*W23</f>
        <v>0</v>
      </c>
      <c r="W59" s="12">
        <f>-I23*W58-J23*V58-K23*U58-L23*T58-M23*S58-N23*R58-O23*Q58-P23*P58-Q23*O58-R23*N58-S23*M58-T23*L58-U23*K58-V23*J58-W23*I58-H58*X23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76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77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5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5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5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x14ac:dyDescent="0.2"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6"/>
      <c r="Y94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95"/>
  <sheetViews>
    <sheetView zoomScale="80" zoomScaleNormal="80" workbookViewId="0">
      <selection activeCell="F45" sqref="F45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69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2015</v>
      </c>
      <c r="I3" s="5">
        <v>2016</v>
      </c>
      <c r="J3" s="5">
        <f>I3+1</f>
        <v>2017</v>
      </c>
      <c r="K3" s="5">
        <f t="shared" ref="K3:W4" si="0">J3+1</f>
        <v>2018</v>
      </c>
      <c r="L3" s="5">
        <f t="shared" si="0"/>
        <v>2019</v>
      </c>
      <c r="M3" s="5">
        <f t="shared" si="0"/>
        <v>2020</v>
      </c>
      <c r="N3" s="5">
        <f t="shared" si="0"/>
        <v>2021</v>
      </c>
      <c r="O3" s="5">
        <f t="shared" si="0"/>
        <v>2022</v>
      </c>
      <c r="P3" s="5">
        <f t="shared" si="0"/>
        <v>2023</v>
      </c>
      <c r="Q3" s="5">
        <f t="shared" si="0"/>
        <v>2024</v>
      </c>
      <c r="R3" s="5">
        <f t="shared" si="0"/>
        <v>2025</v>
      </c>
      <c r="S3" s="5">
        <f t="shared" si="0"/>
        <v>2026</v>
      </c>
      <c r="T3" s="5">
        <f t="shared" si="0"/>
        <v>2027</v>
      </c>
      <c r="U3" s="5">
        <f t="shared" si="0"/>
        <v>2028</v>
      </c>
      <c r="V3" s="5">
        <f t="shared" si="0"/>
        <v>2029</v>
      </c>
      <c r="W3" s="5">
        <f t="shared" si="0"/>
        <v>2030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2019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71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0</v>
      </c>
      <c r="N59" s="12">
        <f>-I23*N58-J23*M58-K23*L58-L23*K58-M23*J58-N23*I58-H58*O23</f>
        <v>0</v>
      </c>
      <c r="O59" s="12">
        <f>-I23*O58-J23*N58-K23*M58-L23*L58-M23*K58-N23*J58-O23*I58-H58*P23</f>
        <v>0</v>
      </c>
      <c r="P59" s="12">
        <f>-I23*P58-J23*O58-K23*N58-L23*M58-M23*L58-N23*K58-O23*J58-P23*I58-H58*Q23</f>
        <v>0</v>
      </c>
      <c r="Q59" s="12">
        <f>-I23*Q58-J23*P58-K23*O58-L23*N58-M23*M58-N23*L58-O23*K58-P23*J58-Q23*I58-H58*R23</f>
        <v>0</v>
      </c>
      <c r="R59" s="12">
        <f>-I23*R58-J23*Q58-K23*P58-L23*O58-M23*N58-N23*M58-O23*L58-P23*K58-Q23*J58-R23*I58-H58*S23</f>
        <v>0</v>
      </c>
      <c r="S59" s="12">
        <f>-I23*S58-J23*R58-K23*Q58-L23*P58-M23*O58-N23*N58-O23*M58-P23*L58-Q23*K58-R23*J58-S23*I58-H58*T23</f>
        <v>0</v>
      </c>
      <c r="T59" s="12">
        <f>-I23*T58-J23*S58-K23*R58-L23*Q58-M23*P58-N23*O58-O23*N58-P23*M58-Q23*L58-R23*K58-S23*J58-T23*I58-H58*U23</f>
        <v>0</v>
      </c>
      <c r="U59" s="12">
        <f>-I23*U58-J23*T58-K23*S58-L23*R58-M23*Q58-N23*P58-O23*O58-P23*N58-Q23*M58-R23*L58-S23*K58-T23*J58-U23*I58-H58*V23</f>
        <v>0</v>
      </c>
      <c r="V59" s="12">
        <f>-I23*V58-J23*U58-K23*T58-L23*S58-M23*R58-N23*Q58-O23*P58-P23*O58-Q23*N58-R23*M58-S23*L58-T23*K58-U23*J58-V23*I58-H58*W23</f>
        <v>0</v>
      </c>
      <c r="W59" s="12">
        <f>-I23*W58-J23*V58-K23*U58-L23*T58-M23*S58-N23*R58-O23*Q58-P23*P58-Q23*O58-R23*N58-S23*M58-T23*L58-U23*K58-V23*J58-W23*I58-H58*X23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76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77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5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5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5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x14ac:dyDescent="0.2"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0"/>
  <sheetViews>
    <sheetView zoomScale="80" zoomScaleNormal="80" workbookViewId="0">
      <selection activeCell="AC31" sqref="AC31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23" width="10.7109375" style="3" customWidth="1"/>
    <col min="24" max="24" width="8.85546875" style="3" customWidth="1"/>
    <col min="25" max="25" width="8.7109375" style="3" customWidth="1"/>
    <col min="26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67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2015</v>
      </c>
      <c r="I3" s="5">
        <v>2016</v>
      </c>
      <c r="J3" s="5">
        <f>I3+1</f>
        <v>2017</v>
      </c>
      <c r="K3" s="5">
        <f t="shared" ref="K3:W4" si="0">J3+1</f>
        <v>2018</v>
      </c>
      <c r="L3" s="5">
        <f t="shared" si="0"/>
        <v>2019</v>
      </c>
      <c r="M3" s="5">
        <f t="shared" si="0"/>
        <v>2020</v>
      </c>
      <c r="N3" s="5">
        <f t="shared" si="0"/>
        <v>2021</v>
      </c>
      <c r="O3" s="5">
        <f t="shared" si="0"/>
        <v>2022</v>
      </c>
      <c r="P3" s="5">
        <f t="shared" si="0"/>
        <v>2023</v>
      </c>
      <c r="Q3" s="5">
        <f t="shared" si="0"/>
        <v>2024</v>
      </c>
      <c r="R3" s="5">
        <f t="shared" si="0"/>
        <v>2025</v>
      </c>
      <c r="S3" s="5">
        <f t="shared" si="0"/>
        <v>2026</v>
      </c>
      <c r="T3" s="5">
        <f t="shared" si="0"/>
        <v>2027</v>
      </c>
      <c r="U3" s="5">
        <f t="shared" si="0"/>
        <v>2028</v>
      </c>
      <c r="V3" s="5">
        <f t="shared" si="0"/>
        <v>2029</v>
      </c>
      <c r="W3" s="5">
        <f t="shared" si="0"/>
        <v>2030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14"/>
      <c r="I8" s="14"/>
      <c r="J8" s="46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71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0</v>
      </c>
      <c r="N59" s="12">
        <f>-I23*N58-J23*M58-K23*L58-L23*K58-M23*J58-N23*I58-H58*O23</f>
        <v>0</v>
      </c>
      <c r="O59" s="12">
        <f>-I23*O58-J23*N58-K23*M58-L23*L58-M23*K58-N23*J58-O23*I58-H58*P23</f>
        <v>0</v>
      </c>
      <c r="P59" s="12">
        <f>-I23*P58-J23*O58-K23*N58-L23*M58-M23*L58-N23*K58-O23*J58-P23*I58-H58*Q23</f>
        <v>0</v>
      </c>
      <c r="Q59" s="12">
        <f>-I23*Q58-J23*P58-K23*O58-L23*N58-M23*M58-N23*L58-O23*K58-P23*J58-Q23*I58-H58*R23</f>
        <v>0</v>
      </c>
      <c r="R59" s="12">
        <f>-I23*R58-J23*Q58-K23*P58-L23*O58-M23*N58-N23*M58-O23*L58-P23*K58-Q23*J58-R23*I58-H58*S23</f>
        <v>0</v>
      </c>
      <c r="S59" s="12">
        <f>-I23*S58-J23*R58-K23*Q58-L23*P58-M23*O58-N23*N58-O23*M58-P23*L58-Q23*K58-R23*J58-S23*I58-H58*T23</f>
        <v>0</v>
      </c>
      <c r="T59" s="12">
        <f>-I23*T58-J23*S58-K23*R58-L23*Q58-M23*P58-N23*O58-O23*N58-P23*M58-Q23*L58-R23*K58-S23*J58-T23*I58-H58*U23</f>
        <v>0</v>
      </c>
      <c r="U59" s="12">
        <f>-I23*U58-J23*T58-K23*S58-L23*R58-M23*Q58-N23*P58-O23*O58-P23*N58-Q23*M58-R23*L58-S23*K58-T23*J58-U23*I58-H58*V23</f>
        <v>0</v>
      </c>
      <c r="V59" s="12">
        <f>-I23*V58-J23*U58-K23*T58-L23*S58-M23*R58-N23*Q58-O23*P58-P23*O58-Q23*N58-R23*M58-S23*L58-T23*K58-U23*J58-V23*I58-H58*W23</f>
        <v>0</v>
      </c>
      <c r="W59" s="12">
        <f>-I23*W58-J23*V58-K23*U58-L23*T58-M23*S58-N23*R58-O23*Q58-P23*P58-Q23*O58-R23*N58-S23*M58-T23*L58-U23*K58-V23*J58-W23*I58-H58*X23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76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77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4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4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6"/>
  <sheetViews>
    <sheetView topLeftCell="A34" zoomScale="80" zoomScaleNormal="80" workbookViewId="0">
      <selection activeCell="AA18" sqref="AA18"/>
    </sheetView>
  </sheetViews>
  <sheetFormatPr defaultColWidth="9.140625" defaultRowHeight="12.75" x14ac:dyDescent="0.2"/>
  <cols>
    <col min="1" max="1" width="4.7109375" style="64" customWidth="1"/>
    <col min="2" max="2" width="2.7109375" style="64" customWidth="1"/>
    <col min="3" max="3" width="2.7109375" style="67" customWidth="1"/>
    <col min="4" max="4" width="2.7109375" style="64" customWidth="1"/>
    <col min="5" max="5" width="35.7109375" style="64" customWidth="1"/>
    <col min="6" max="6" width="10.7109375" style="66" customWidth="1"/>
    <col min="7" max="7" width="2.7109375" style="64" customWidth="1"/>
    <col min="8" max="8" width="10.7109375" style="64" customWidth="1"/>
    <col min="9" max="9" width="15.7109375" style="65" customWidth="1"/>
    <col min="10" max="71" width="10.7109375" style="64" customWidth="1"/>
    <col min="72" max="16384" width="9.140625" style="64"/>
  </cols>
  <sheetData>
    <row r="1" spans="1:23" x14ac:dyDescent="0.2">
      <c r="A1" s="67" t="s">
        <v>158</v>
      </c>
      <c r="B1" s="67"/>
      <c r="E1" s="104"/>
    </row>
    <row r="2" spans="1:23" x14ac:dyDescent="0.2">
      <c r="A2" s="67" t="s">
        <v>0</v>
      </c>
      <c r="B2" s="67"/>
    </row>
    <row r="3" spans="1:23" s="102" customFormat="1" x14ac:dyDescent="0.2">
      <c r="A3" s="92"/>
      <c r="E3" s="103"/>
      <c r="F3" s="92" t="s">
        <v>3</v>
      </c>
      <c r="H3" s="102">
        <v>2018</v>
      </c>
      <c r="I3" s="102">
        <f t="shared" ref="I3:W3" si="0">H3+1</f>
        <v>2019</v>
      </c>
      <c r="J3" s="102">
        <f t="shared" si="0"/>
        <v>2020</v>
      </c>
      <c r="K3" s="102">
        <f t="shared" si="0"/>
        <v>2021</v>
      </c>
      <c r="L3" s="102">
        <f t="shared" si="0"/>
        <v>2022</v>
      </c>
      <c r="M3" s="102">
        <f t="shared" si="0"/>
        <v>2023</v>
      </c>
      <c r="N3" s="102">
        <f t="shared" si="0"/>
        <v>2024</v>
      </c>
      <c r="O3" s="102">
        <f t="shared" si="0"/>
        <v>2025</v>
      </c>
      <c r="P3" s="102">
        <f t="shared" si="0"/>
        <v>2026</v>
      </c>
      <c r="Q3" s="102">
        <f t="shared" si="0"/>
        <v>2027</v>
      </c>
      <c r="R3" s="102">
        <f t="shared" si="0"/>
        <v>2028</v>
      </c>
      <c r="S3" s="102">
        <f t="shared" si="0"/>
        <v>2029</v>
      </c>
      <c r="T3" s="102">
        <f t="shared" si="0"/>
        <v>2030</v>
      </c>
      <c r="U3" s="102">
        <f t="shared" si="0"/>
        <v>2031</v>
      </c>
      <c r="V3" s="102">
        <f t="shared" si="0"/>
        <v>2032</v>
      </c>
      <c r="W3" s="102">
        <f t="shared" si="0"/>
        <v>2033</v>
      </c>
    </row>
    <row r="4" spans="1:23" s="80" customFormat="1" x14ac:dyDescent="0.2">
      <c r="A4" s="101" t="s">
        <v>1</v>
      </c>
      <c r="E4" s="82" t="s">
        <v>2</v>
      </c>
      <c r="H4" s="70">
        <v>0</v>
      </c>
      <c r="I4" s="70">
        <v>1</v>
      </c>
      <c r="J4" s="70">
        <f t="shared" ref="J4:W4" si="1">I4+1</f>
        <v>2</v>
      </c>
      <c r="K4" s="70">
        <f t="shared" si="1"/>
        <v>3</v>
      </c>
      <c r="L4" s="70">
        <f t="shared" si="1"/>
        <v>4</v>
      </c>
      <c r="M4" s="70">
        <f t="shared" si="1"/>
        <v>5</v>
      </c>
      <c r="N4" s="70">
        <f t="shared" si="1"/>
        <v>6</v>
      </c>
      <c r="O4" s="70">
        <f t="shared" si="1"/>
        <v>7</v>
      </c>
      <c r="P4" s="70">
        <f t="shared" si="1"/>
        <v>8</v>
      </c>
      <c r="Q4" s="70">
        <f t="shared" si="1"/>
        <v>9</v>
      </c>
      <c r="R4" s="70">
        <f t="shared" si="1"/>
        <v>10</v>
      </c>
      <c r="S4" s="70">
        <f t="shared" si="1"/>
        <v>11</v>
      </c>
      <c r="T4" s="70">
        <f t="shared" si="1"/>
        <v>12</v>
      </c>
      <c r="U4" s="70">
        <f t="shared" si="1"/>
        <v>13</v>
      </c>
      <c r="V4" s="70">
        <f t="shared" si="1"/>
        <v>14</v>
      </c>
      <c r="W4" s="70">
        <f t="shared" si="1"/>
        <v>15</v>
      </c>
    </row>
    <row r="5" spans="1:23" s="80" customFormat="1" x14ac:dyDescent="0.2">
      <c r="A5" s="92"/>
      <c r="E5" s="82"/>
      <c r="F5" s="100"/>
      <c r="H5" s="90"/>
      <c r="I5" s="9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s="80" customFormat="1" x14ac:dyDescent="0.2">
      <c r="A6" s="92"/>
      <c r="C6" s="80" t="s">
        <v>64</v>
      </c>
      <c r="E6" s="82"/>
      <c r="F6" s="91"/>
      <c r="I6" s="9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spans="1:23" s="80" customFormat="1" x14ac:dyDescent="0.2">
      <c r="A7" s="70">
        <v>1</v>
      </c>
      <c r="D7" s="75" t="s">
        <v>105</v>
      </c>
      <c r="E7" s="82"/>
      <c r="F7" s="95">
        <v>0.02</v>
      </c>
      <c r="I7" s="94"/>
      <c r="J7" s="93">
        <f t="shared" ref="J7:W11" si="2">$F7</f>
        <v>0.02</v>
      </c>
      <c r="K7" s="93">
        <f t="shared" si="2"/>
        <v>0.02</v>
      </c>
      <c r="L7" s="93">
        <f t="shared" si="2"/>
        <v>0.02</v>
      </c>
      <c r="M7" s="93">
        <f t="shared" si="2"/>
        <v>0.02</v>
      </c>
      <c r="N7" s="93">
        <f t="shared" si="2"/>
        <v>0.02</v>
      </c>
      <c r="O7" s="93">
        <f t="shared" si="2"/>
        <v>0.02</v>
      </c>
      <c r="P7" s="93">
        <f t="shared" si="2"/>
        <v>0.02</v>
      </c>
      <c r="Q7" s="93">
        <f t="shared" si="2"/>
        <v>0.02</v>
      </c>
      <c r="R7" s="93">
        <f t="shared" si="2"/>
        <v>0.02</v>
      </c>
      <c r="S7" s="93">
        <f t="shared" si="2"/>
        <v>0.02</v>
      </c>
      <c r="T7" s="93">
        <f t="shared" si="2"/>
        <v>0.02</v>
      </c>
      <c r="U7" s="93">
        <f t="shared" si="2"/>
        <v>0.02</v>
      </c>
      <c r="V7" s="93">
        <f t="shared" si="2"/>
        <v>0.02</v>
      </c>
      <c r="W7" s="93">
        <f t="shared" si="2"/>
        <v>0.02</v>
      </c>
    </row>
    <row r="8" spans="1:23" s="80" customFormat="1" x14ac:dyDescent="0.2">
      <c r="A8" s="70">
        <f>A7+1</f>
        <v>2</v>
      </c>
      <c r="D8" s="75" t="s">
        <v>29</v>
      </c>
      <c r="E8" s="99"/>
      <c r="F8" s="95">
        <v>0.02</v>
      </c>
      <c r="G8" s="98"/>
      <c r="H8" s="98"/>
      <c r="I8" s="94"/>
      <c r="J8" s="93">
        <f t="shared" si="2"/>
        <v>0.02</v>
      </c>
      <c r="K8" s="93">
        <f t="shared" si="2"/>
        <v>0.02</v>
      </c>
      <c r="L8" s="93">
        <f t="shared" si="2"/>
        <v>0.02</v>
      </c>
      <c r="M8" s="93">
        <f t="shared" si="2"/>
        <v>0.02</v>
      </c>
      <c r="N8" s="93">
        <f t="shared" si="2"/>
        <v>0.02</v>
      </c>
      <c r="O8" s="93">
        <f t="shared" si="2"/>
        <v>0.02</v>
      </c>
      <c r="P8" s="93">
        <f t="shared" si="2"/>
        <v>0.02</v>
      </c>
      <c r="Q8" s="93">
        <f t="shared" si="2"/>
        <v>0.02</v>
      </c>
      <c r="R8" s="93">
        <f t="shared" si="2"/>
        <v>0.02</v>
      </c>
      <c r="S8" s="93">
        <f t="shared" si="2"/>
        <v>0.02</v>
      </c>
      <c r="T8" s="93">
        <f t="shared" si="2"/>
        <v>0.02</v>
      </c>
      <c r="U8" s="93">
        <f t="shared" si="2"/>
        <v>0.02</v>
      </c>
      <c r="V8" s="93">
        <f t="shared" si="2"/>
        <v>0.02</v>
      </c>
      <c r="W8" s="93">
        <f t="shared" si="2"/>
        <v>0.02</v>
      </c>
    </row>
    <row r="9" spans="1:23" s="80" customFormat="1" x14ac:dyDescent="0.2">
      <c r="A9" s="70">
        <f>A8+1</f>
        <v>3</v>
      </c>
      <c r="D9" s="75" t="s">
        <v>48</v>
      </c>
      <c r="E9" s="82"/>
      <c r="F9" s="95">
        <v>0</v>
      </c>
      <c r="I9" s="94"/>
      <c r="J9" s="93">
        <f t="shared" si="2"/>
        <v>0</v>
      </c>
      <c r="K9" s="93">
        <f t="shared" si="2"/>
        <v>0</v>
      </c>
      <c r="L9" s="93">
        <f t="shared" si="2"/>
        <v>0</v>
      </c>
      <c r="M9" s="93">
        <f t="shared" si="2"/>
        <v>0</v>
      </c>
      <c r="N9" s="93">
        <f t="shared" si="2"/>
        <v>0</v>
      </c>
      <c r="O9" s="93">
        <f t="shared" si="2"/>
        <v>0</v>
      </c>
      <c r="P9" s="93">
        <f t="shared" si="2"/>
        <v>0</v>
      </c>
      <c r="Q9" s="93">
        <f t="shared" si="2"/>
        <v>0</v>
      </c>
      <c r="R9" s="93">
        <f t="shared" si="2"/>
        <v>0</v>
      </c>
      <c r="S9" s="93">
        <f t="shared" si="2"/>
        <v>0</v>
      </c>
      <c r="T9" s="93">
        <f t="shared" si="2"/>
        <v>0</v>
      </c>
      <c r="U9" s="93">
        <f t="shared" si="2"/>
        <v>0</v>
      </c>
      <c r="V9" s="93">
        <f t="shared" si="2"/>
        <v>0</v>
      </c>
      <c r="W9" s="93">
        <f t="shared" si="2"/>
        <v>0</v>
      </c>
    </row>
    <row r="10" spans="1:23" s="80" customFormat="1" x14ac:dyDescent="0.2">
      <c r="A10" s="70">
        <f>A9+1</f>
        <v>4</v>
      </c>
      <c r="D10" s="75" t="s">
        <v>49</v>
      </c>
      <c r="E10" s="82"/>
      <c r="F10" s="95">
        <v>0.01</v>
      </c>
      <c r="I10" s="94"/>
      <c r="J10" s="93">
        <f t="shared" si="2"/>
        <v>0.01</v>
      </c>
      <c r="K10" s="93">
        <f t="shared" si="2"/>
        <v>0.01</v>
      </c>
      <c r="L10" s="93">
        <f t="shared" si="2"/>
        <v>0.01</v>
      </c>
      <c r="M10" s="93">
        <f t="shared" si="2"/>
        <v>0.01</v>
      </c>
      <c r="N10" s="93">
        <f t="shared" si="2"/>
        <v>0.01</v>
      </c>
      <c r="O10" s="93">
        <f t="shared" si="2"/>
        <v>0.01</v>
      </c>
      <c r="P10" s="93">
        <f t="shared" si="2"/>
        <v>0.01</v>
      </c>
      <c r="Q10" s="93">
        <f t="shared" si="2"/>
        <v>0.01</v>
      </c>
      <c r="R10" s="93">
        <f t="shared" si="2"/>
        <v>0.01</v>
      </c>
      <c r="S10" s="93">
        <f t="shared" si="2"/>
        <v>0.01</v>
      </c>
      <c r="T10" s="93">
        <f t="shared" si="2"/>
        <v>0.01</v>
      </c>
      <c r="U10" s="93">
        <f t="shared" si="2"/>
        <v>0.01</v>
      </c>
      <c r="V10" s="93">
        <f t="shared" si="2"/>
        <v>0.01</v>
      </c>
      <c r="W10" s="93">
        <f t="shared" si="2"/>
        <v>0.01</v>
      </c>
    </row>
    <row r="11" spans="1:23" s="80" customFormat="1" x14ac:dyDescent="0.2">
      <c r="A11" s="70">
        <f>A10+1</f>
        <v>5</v>
      </c>
      <c r="D11" s="97" t="s">
        <v>50</v>
      </c>
      <c r="E11" s="96"/>
      <c r="F11" s="95">
        <v>-3.0999999999999999E-3</v>
      </c>
      <c r="I11" s="94"/>
      <c r="J11" s="93">
        <f t="shared" si="2"/>
        <v>-3.0999999999999999E-3</v>
      </c>
      <c r="K11" s="93">
        <f t="shared" si="2"/>
        <v>-3.0999999999999999E-3</v>
      </c>
      <c r="L11" s="93">
        <f t="shared" si="2"/>
        <v>-3.0999999999999999E-3</v>
      </c>
      <c r="M11" s="93">
        <f t="shared" si="2"/>
        <v>-3.0999999999999999E-3</v>
      </c>
      <c r="N11" s="93">
        <f t="shared" si="2"/>
        <v>-3.0999999999999999E-3</v>
      </c>
      <c r="O11" s="93">
        <f t="shared" si="2"/>
        <v>-3.0999999999999999E-3</v>
      </c>
      <c r="P11" s="93">
        <f t="shared" si="2"/>
        <v>-3.0999999999999999E-3</v>
      </c>
      <c r="Q11" s="93">
        <f t="shared" si="2"/>
        <v>-3.0999999999999999E-3</v>
      </c>
      <c r="R11" s="93">
        <f t="shared" si="2"/>
        <v>-3.0999999999999999E-3</v>
      </c>
      <c r="S11" s="93">
        <f t="shared" si="2"/>
        <v>-3.0999999999999999E-3</v>
      </c>
      <c r="T11" s="93">
        <f t="shared" si="2"/>
        <v>-3.0999999999999999E-3</v>
      </c>
      <c r="U11" s="93">
        <f t="shared" si="2"/>
        <v>-3.0999999999999999E-3</v>
      </c>
      <c r="V11" s="93">
        <f t="shared" si="2"/>
        <v>-3.0999999999999999E-3</v>
      </c>
      <c r="W11" s="93">
        <f t="shared" si="2"/>
        <v>-3.0999999999999999E-3</v>
      </c>
    </row>
    <row r="12" spans="1:23" s="80" customFormat="1" x14ac:dyDescent="0.2">
      <c r="A12" s="92"/>
      <c r="E12" s="82"/>
      <c r="F12" s="91"/>
      <c r="I12" s="9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</row>
    <row r="13" spans="1:23" s="80" customFormat="1" x14ac:dyDescent="0.2">
      <c r="A13" s="70"/>
      <c r="C13" s="80" t="s">
        <v>45</v>
      </c>
      <c r="E13" s="82"/>
      <c r="I13" s="8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</row>
    <row r="14" spans="1:23" s="80" customFormat="1" x14ac:dyDescent="0.2">
      <c r="A14" s="70">
        <f>A11+1</f>
        <v>6</v>
      </c>
      <c r="D14" s="75" t="s">
        <v>87</v>
      </c>
      <c r="E14" s="82"/>
      <c r="I14" s="79">
        <v>735.15599999999995</v>
      </c>
      <c r="J14" s="73"/>
      <c r="K14" s="86" t="s">
        <v>125</v>
      </c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</row>
    <row r="15" spans="1:23" s="80" customFormat="1" x14ac:dyDescent="0.2">
      <c r="A15" s="70">
        <f t="shared" ref="A15:A29" si="3">A14+1</f>
        <v>7</v>
      </c>
      <c r="D15" s="75" t="s">
        <v>38</v>
      </c>
      <c r="E15" s="82"/>
      <c r="I15" s="79">
        <v>1002.3010410000001</v>
      </c>
      <c r="J15" s="73"/>
      <c r="K15" s="86" t="s">
        <v>125</v>
      </c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</row>
    <row r="16" spans="1:23" s="80" customFormat="1" x14ac:dyDescent="0.2">
      <c r="A16" s="70">
        <f t="shared" si="3"/>
        <v>8</v>
      </c>
      <c r="D16" s="75" t="s">
        <v>88</v>
      </c>
      <c r="E16" s="82"/>
      <c r="I16" s="79">
        <v>530.41899999999998</v>
      </c>
      <c r="J16" s="73"/>
      <c r="K16" s="86" t="s">
        <v>125</v>
      </c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</row>
    <row r="17" spans="1:23" s="80" customFormat="1" x14ac:dyDescent="0.2">
      <c r="A17" s="70">
        <f>A16+1</f>
        <v>9</v>
      </c>
      <c r="D17" s="75" t="s">
        <v>39</v>
      </c>
      <c r="E17" s="82"/>
      <c r="I17" s="79">
        <v>30</v>
      </c>
      <c r="J17" s="73"/>
      <c r="K17" s="86" t="s">
        <v>125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</row>
    <row r="18" spans="1:23" s="80" customFormat="1" x14ac:dyDescent="0.2">
      <c r="A18" s="70">
        <f t="shared" si="3"/>
        <v>10</v>
      </c>
      <c r="D18" s="75" t="s">
        <v>40</v>
      </c>
      <c r="E18" s="82"/>
      <c r="I18" s="79">
        <v>1.216936</v>
      </c>
      <c r="J18" s="73"/>
      <c r="K18" s="86" t="s">
        <v>125</v>
      </c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</row>
    <row r="19" spans="1:23" s="80" customFormat="1" x14ac:dyDescent="0.2">
      <c r="A19" s="70">
        <f t="shared" si="3"/>
        <v>11</v>
      </c>
      <c r="D19" s="75" t="s">
        <v>41</v>
      </c>
      <c r="E19" s="82"/>
      <c r="I19" s="79">
        <v>0.90261899999999995</v>
      </c>
      <c r="J19" s="73"/>
      <c r="K19" s="86" t="s">
        <v>125</v>
      </c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</row>
    <row r="20" spans="1:23" s="80" customFormat="1" x14ac:dyDescent="0.2">
      <c r="A20" s="70">
        <f t="shared" si="3"/>
        <v>12</v>
      </c>
      <c r="D20" s="75" t="s">
        <v>42</v>
      </c>
      <c r="E20" s="82"/>
      <c r="I20" s="79">
        <v>15.168702</v>
      </c>
      <c r="J20" s="73"/>
      <c r="K20" s="86" t="s">
        <v>125</v>
      </c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</row>
    <row r="21" spans="1:23" s="80" customFormat="1" x14ac:dyDescent="0.2">
      <c r="A21" s="70">
        <f t="shared" si="3"/>
        <v>13</v>
      </c>
      <c r="D21" s="75" t="s">
        <v>43</v>
      </c>
      <c r="E21" s="82"/>
      <c r="I21" s="79">
        <v>34.067869999999999</v>
      </c>
      <c r="J21" s="73"/>
      <c r="K21" s="86" t="s">
        <v>125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</row>
    <row r="22" spans="1:23" s="80" customFormat="1" x14ac:dyDescent="0.2">
      <c r="A22" s="70">
        <f t="shared" si="3"/>
        <v>14</v>
      </c>
      <c r="D22" s="75" t="s">
        <v>44</v>
      </c>
      <c r="E22" s="82"/>
      <c r="I22" s="79">
        <v>2.915648</v>
      </c>
      <c r="J22" s="73"/>
      <c r="K22" s="86" t="s">
        <v>125</v>
      </c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pans="1:23" s="80" customFormat="1" x14ac:dyDescent="0.2">
      <c r="A23" s="70">
        <f t="shared" si="3"/>
        <v>15</v>
      </c>
      <c r="D23" s="75" t="s">
        <v>97</v>
      </c>
      <c r="E23" s="82"/>
      <c r="I23" s="79">
        <v>25.571090000000002</v>
      </c>
      <c r="J23" s="73"/>
      <c r="K23" s="86" t="s">
        <v>125</v>
      </c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</row>
    <row r="24" spans="1:23" s="80" customFormat="1" x14ac:dyDescent="0.2">
      <c r="A24" s="70">
        <f t="shared" si="3"/>
        <v>16</v>
      </c>
      <c r="D24" s="75" t="s">
        <v>98</v>
      </c>
      <c r="E24" s="82"/>
      <c r="I24" s="79">
        <v>3.33</v>
      </c>
      <c r="J24" s="73"/>
      <c r="K24" s="86" t="s">
        <v>125</v>
      </c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</row>
    <row r="25" spans="1:23" s="80" customFormat="1" x14ac:dyDescent="0.2">
      <c r="A25" s="70">
        <f t="shared" si="3"/>
        <v>17</v>
      </c>
      <c r="D25" s="75" t="s">
        <v>89</v>
      </c>
      <c r="E25" s="82"/>
      <c r="I25" s="79">
        <v>124.3931</v>
      </c>
      <c r="J25" s="73"/>
      <c r="K25" s="86" t="s">
        <v>125</v>
      </c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</row>
    <row r="26" spans="1:23" s="80" customFormat="1" x14ac:dyDescent="0.2">
      <c r="A26" s="70">
        <f t="shared" si="3"/>
        <v>18</v>
      </c>
      <c r="D26" s="75" t="s">
        <v>90</v>
      </c>
      <c r="E26" s="82"/>
      <c r="I26" s="79">
        <v>13.570003</v>
      </c>
      <c r="J26" s="73"/>
      <c r="K26" s="86" t="s">
        <v>125</v>
      </c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</row>
    <row r="27" spans="1:23" s="80" customFormat="1" x14ac:dyDescent="0.2">
      <c r="A27" s="70">
        <f t="shared" si="3"/>
        <v>19</v>
      </c>
      <c r="D27" s="75" t="s">
        <v>91</v>
      </c>
      <c r="E27" s="82"/>
      <c r="I27" s="79">
        <v>1.493716</v>
      </c>
      <c r="J27" s="73"/>
      <c r="K27" s="86" t="s">
        <v>125</v>
      </c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</row>
    <row r="28" spans="1:23" s="80" customFormat="1" x14ac:dyDescent="0.2">
      <c r="A28" s="70">
        <f t="shared" si="3"/>
        <v>20</v>
      </c>
      <c r="D28" s="75" t="s">
        <v>120</v>
      </c>
      <c r="E28" s="82"/>
      <c r="I28" s="79">
        <v>19.869136000000001</v>
      </c>
      <c r="J28" s="73"/>
      <c r="K28" s="86" t="s">
        <v>125</v>
      </c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</row>
    <row r="29" spans="1:23" s="80" customFormat="1" x14ac:dyDescent="0.2">
      <c r="A29" s="70">
        <f t="shared" si="3"/>
        <v>21</v>
      </c>
      <c r="D29" s="75" t="s">
        <v>5</v>
      </c>
      <c r="E29" s="82"/>
      <c r="F29" s="70" t="s">
        <v>92</v>
      </c>
      <c r="I29" s="72">
        <f>SUM(I14:I28)</f>
        <v>2540.3748609999989</v>
      </c>
      <c r="J29" s="72">
        <f t="shared" ref="J29:W29" si="4">J178</f>
        <v>2544.5520600141049</v>
      </c>
      <c r="K29" s="72">
        <f t="shared" si="4"/>
        <v>2548.8128030084918</v>
      </c>
      <c r="L29" s="72">
        <f t="shared" si="4"/>
        <v>2553.1587608627665</v>
      </c>
      <c r="M29" s="72">
        <f t="shared" si="4"/>
        <v>2557.5916378741263</v>
      </c>
      <c r="N29" s="72">
        <f t="shared" si="4"/>
        <v>2562.1131724257143</v>
      </c>
      <c r="O29" s="72">
        <f t="shared" si="4"/>
        <v>2566.725137668333</v>
      </c>
      <c r="P29" s="72">
        <f t="shared" si="4"/>
        <v>2571.4293422158034</v>
      </c>
      <c r="Q29" s="72">
        <f t="shared" si="4"/>
        <v>2576.2276308542246</v>
      </c>
      <c r="R29" s="72">
        <f t="shared" si="4"/>
        <v>2581.1218852654138</v>
      </c>
      <c r="S29" s="72">
        <f t="shared" si="4"/>
        <v>2586.1140247648268</v>
      </c>
      <c r="T29" s="72">
        <f t="shared" si="4"/>
        <v>2591.2060070542279</v>
      </c>
      <c r="U29" s="72">
        <f t="shared" si="4"/>
        <v>2596.399828989418</v>
      </c>
      <c r="V29" s="72">
        <f t="shared" si="4"/>
        <v>2601.6975273633116</v>
      </c>
      <c r="W29" s="72">
        <f t="shared" si="4"/>
        <v>2607.1011797046822</v>
      </c>
    </row>
    <row r="30" spans="1:23" s="80" customFormat="1" x14ac:dyDescent="0.2">
      <c r="A30" s="70"/>
      <c r="E30" s="82"/>
      <c r="I30" s="89">
        <f>(I14+I15+I16+I23+I25)/I29</f>
        <v>0.9517651383340473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3" s="80" customFormat="1" x14ac:dyDescent="0.2">
      <c r="A31" s="70"/>
      <c r="C31" s="80" t="s">
        <v>46</v>
      </c>
      <c r="E31" s="82"/>
      <c r="I31" s="8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3" s="80" customFormat="1" x14ac:dyDescent="0.2">
      <c r="A32" s="70">
        <f>A29+1</f>
        <v>22</v>
      </c>
      <c r="D32" s="75" t="str">
        <f t="shared" ref="D32:D46" si="5">D14</f>
        <v>PG&amp;E</v>
      </c>
      <c r="E32" s="82"/>
      <c r="I32" s="79">
        <v>-172.74053900000001</v>
      </c>
      <c r="J32" s="73"/>
      <c r="K32" s="86" t="s">
        <v>125</v>
      </c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3" s="80" customFormat="1" x14ac:dyDescent="0.2">
      <c r="A33" s="70">
        <f t="shared" ref="A33:A47" si="6">A32+1</f>
        <v>23</v>
      </c>
      <c r="D33" s="75" t="str">
        <f t="shared" si="5"/>
        <v>SCE</v>
      </c>
      <c r="E33" s="82"/>
      <c r="I33" s="79">
        <v>-72.644844000000006</v>
      </c>
      <c r="J33" s="73"/>
      <c r="K33" s="86" t="s">
        <v>125</v>
      </c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s="80" customFormat="1" x14ac:dyDescent="0.2">
      <c r="A34" s="70">
        <f t="shared" si="6"/>
        <v>24</v>
      </c>
      <c r="D34" s="75" t="str">
        <f t="shared" si="5"/>
        <v>SDG&amp;E</v>
      </c>
      <c r="E34" s="82"/>
      <c r="I34" s="79">
        <v>-6.5538210000000001</v>
      </c>
      <c r="J34" s="73"/>
      <c r="K34" s="86" t="s">
        <v>125</v>
      </c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s="80" customFormat="1" x14ac:dyDescent="0.2">
      <c r="A35" s="70">
        <f>A34+1</f>
        <v>25</v>
      </c>
      <c r="D35" s="75" t="str">
        <f t="shared" si="5"/>
        <v>Anaheim</v>
      </c>
      <c r="E35" s="82"/>
      <c r="I35" s="79">
        <v>0.169629</v>
      </c>
      <c r="J35" s="73"/>
      <c r="K35" s="86" t="s">
        <v>125</v>
      </c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3" s="80" customFormat="1" x14ac:dyDescent="0.2">
      <c r="A36" s="70">
        <f t="shared" si="6"/>
        <v>26</v>
      </c>
      <c r="D36" s="75" t="str">
        <f t="shared" si="5"/>
        <v>Azusa</v>
      </c>
      <c r="E36" s="82"/>
      <c r="I36" s="79">
        <v>-5.3940000000000004E-3</v>
      </c>
      <c r="J36" s="73"/>
      <c r="K36" s="86" t="s">
        <v>125</v>
      </c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</row>
    <row r="37" spans="1:23" s="80" customFormat="1" x14ac:dyDescent="0.2">
      <c r="A37" s="70">
        <f t="shared" si="6"/>
        <v>27</v>
      </c>
      <c r="D37" s="75" t="str">
        <f t="shared" si="5"/>
        <v>Banning</v>
      </c>
      <c r="E37" s="82"/>
      <c r="I37" s="79">
        <v>-2.6280000000000001E-3</v>
      </c>
      <c r="J37" s="73"/>
      <c r="K37" s="86" t="s">
        <v>125</v>
      </c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</row>
    <row r="38" spans="1:23" s="80" customFormat="1" x14ac:dyDescent="0.2">
      <c r="A38" s="70">
        <f t="shared" si="6"/>
        <v>28</v>
      </c>
      <c r="D38" s="75" t="str">
        <f t="shared" si="5"/>
        <v>Pasadena</v>
      </c>
      <c r="E38" s="82"/>
      <c r="I38" s="79">
        <v>-6.1283999999999998E-2</v>
      </c>
      <c r="J38" s="73"/>
      <c r="K38" s="86" t="s">
        <v>125</v>
      </c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39" spans="1:23" s="80" customFormat="1" x14ac:dyDescent="0.2">
      <c r="A39" s="70">
        <f t="shared" si="6"/>
        <v>29</v>
      </c>
      <c r="D39" s="75" t="str">
        <f t="shared" si="5"/>
        <v>Riverside</v>
      </c>
      <c r="E39" s="82"/>
      <c r="I39" s="79">
        <v>-0.12330199999999999</v>
      </c>
      <c r="J39" s="73"/>
      <c r="K39" s="86" t="s">
        <v>125</v>
      </c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</row>
    <row r="40" spans="1:23" s="80" customFormat="1" x14ac:dyDescent="0.2">
      <c r="A40" s="70">
        <f t="shared" si="6"/>
        <v>30</v>
      </c>
      <c r="D40" s="75" t="str">
        <f t="shared" si="5"/>
        <v>Vernon</v>
      </c>
      <c r="E40" s="82"/>
      <c r="I40" s="79">
        <v>-3.8427000000000003E-2</v>
      </c>
      <c r="J40" s="73"/>
      <c r="K40" s="86" t="s">
        <v>125</v>
      </c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</row>
    <row r="41" spans="1:23" s="80" customFormat="1" x14ac:dyDescent="0.2">
      <c r="A41" s="70">
        <f t="shared" si="6"/>
        <v>31</v>
      </c>
      <c r="D41" s="75" t="str">
        <f t="shared" si="5"/>
        <v>DATC Path 15</v>
      </c>
      <c r="E41" s="82"/>
      <c r="I41" s="79">
        <v>-0.42818899999999999</v>
      </c>
      <c r="J41" s="73"/>
      <c r="K41" s="86" t="s">
        <v>125</v>
      </c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</row>
    <row r="42" spans="1:23" s="80" customFormat="1" x14ac:dyDescent="0.2">
      <c r="A42" s="70">
        <f t="shared" si="6"/>
        <v>32</v>
      </c>
      <c r="D42" s="75" t="str">
        <f t="shared" si="5"/>
        <v>Startrans IO</v>
      </c>
      <c r="E42" s="82"/>
      <c r="I42" s="79">
        <v>-5.9103000000000003E-2</v>
      </c>
      <c r="J42" s="73"/>
      <c r="K42" s="86" t="s">
        <v>125</v>
      </c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</row>
    <row r="43" spans="1:23" s="80" customFormat="1" x14ac:dyDescent="0.2">
      <c r="A43" s="70">
        <f t="shared" si="6"/>
        <v>33</v>
      </c>
      <c r="D43" s="75" t="str">
        <f t="shared" si="5"/>
        <v>Trans Bay Cable</v>
      </c>
      <c r="E43" s="82"/>
      <c r="I43" s="79">
        <v>0.32583800000000002</v>
      </c>
      <c r="J43" s="73"/>
      <c r="K43" s="86" t="s">
        <v>125</v>
      </c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</row>
    <row r="44" spans="1:23" s="80" customFormat="1" x14ac:dyDescent="0.2">
      <c r="A44" s="70">
        <f t="shared" si="6"/>
        <v>34</v>
      </c>
      <c r="D44" s="75" t="str">
        <f t="shared" si="5"/>
        <v>Citizens Sunrise</v>
      </c>
      <c r="E44" s="82"/>
      <c r="I44" s="79">
        <v>-0.12368999999999999</v>
      </c>
      <c r="J44" s="73"/>
      <c r="K44" s="86" t="s">
        <v>125</v>
      </c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</row>
    <row r="45" spans="1:23" s="80" customFormat="1" x14ac:dyDescent="0.2">
      <c r="A45" s="70">
        <f t="shared" si="6"/>
        <v>35</v>
      </c>
      <c r="D45" s="75" t="str">
        <f t="shared" si="5"/>
        <v>Colton</v>
      </c>
      <c r="E45" s="82"/>
      <c r="I45" s="79">
        <v>-1.7696E-2</v>
      </c>
      <c r="J45" s="73"/>
      <c r="K45" s="86" t="s">
        <v>125</v>
      </c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</row>
    <row r="46" spans="1:23" s="80" customFormat="1" x14ac:dyDescent="0.2">
      <c r="A46" s="70">
        <f t="shared" si="6"/>
        <v>36</v>
      </c>
      <c r="D46" s="75" t="str">
        <f t="shared" si="5"/>
        <v>GWT/VEA</v>
      </c>
      <c r="E46" s="82"/>
      <c r="I46" s="79">
        <v>0.149395</v>
      </c>
      <c r="J46" s="73"/>
      <c r="K46" s="86" t="s">
        <v>125</v>
      </c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</row>
    <row r="47" spans="1:23" s="80" customFormat="1" x14ac:dyDescent="0.2">
      <c r="A47" s="70">
        <f t="shared" si="6"/>
        <v>37</v>
      </c>
      <c r="D47" s="75" t="s">
        <v>5</v>
      </c>
      <c r="E47" s="82"/>
      <c r="I47" s="72">
        <f>SUM(I32:I46)</f>
        <v>-252.15405500000003</v>
      </c>
      <c r="J47" s="88">
        <f t="shared" ref="J47:W47" si="7">I47*(1+J9)</f>
        <v>-252.15405500000003</v>
      </c>
      <c r="K47" s="88">
        <f t="shared" si="7"/>
        <v>-252.15405500000003</v>
      </c>
      <c r="L47" s="88">
        <f t="shared" si="7"/>
        <v>-252.15405500000003</v>
      </c>
      <c r="M47" s="88">
        <f t="shared" si="7"/>
        <v>-252.15405500000003</v>
      </c>
      <c r="N47" s="88">
        <f t="shared" si="7"/>
        <v>-252.15405500000003</v>
      </c>
      <c r="O47" s="88">
        <f t="shared" si="7"/>
        <v>-252.15405500000003</v>
      </c>
      <c r="P47" s="88">
        <f t="shared" si="7"/>
        <v>-252.15405500000003</v>
      </c>
      <c r="Q47" s="88">
        <f t="shared" si="7"/>
        <v>-252.15405500000003</v>
      </c>
      <c r="R47" s="88">
        <f t="shared" si="7"/>
        <v>-252.15405500000003</v>
      </c>
      <c r="S47" s="88">
        <f t="shared" si="7"/>
        <v>-252.15405500000003</v>
      </c>
      <c r="T47" s="88">
        <f t="shared" si="7"/>
        <v>-252.15405500000003</v>
      </c>
      <c r="U47" s="88">
        <f t="shared" si="7"/>
        <v>-252.15405500000003</v>
      </c>
      <c r="V47" s="88">
        <f t="shared" si="7"/>
        <v>-252.15405500000003</v>
      </c>
      <c r="W47" s="88">
        <f t="shared" si="7"/>
        <v>-252.15405500000003</v>
      </c>
    </row>
    <row r="48" spans="1:23" s="80" customFormat="1" x14ac:dyDescent="0.2">
      <c r="A48" s="70"/>
      <c r="E48" s="82"/>
      <c r="I48" s="8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</row>
    <row r="49" spans="1:23" s="80" customFormat="1" x14ac:dyDescent="0.2">
      <c r="A49" s="70"/>
      <c r="C49" s="80" t="s">
        <v>47</v>
      </c>
      <c r="E49" s="82"/>
      <c r="I49" s="8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</row>
    <row r="50" spans="1:23" s="80" customFormat="1" x14ac:dyDescent="0.2">
      <c r="A50" s="70">
        <f>A47+1</f>
        <v>38</v>
      </c>
      <c r="D50" s="75" t="str">
        <f t="shared" ref="D50:D64" si="8">D14</f>
        <v>PG&amp;E</v>
      </c>
      <c r="E50" s="82"/>
      <c r="I50" s="79">
        <v>-3.251722</v>
      </c>
      <c r="J50" s="73"/>
      <c r="K50" s="86" t="s">
        <v>125</v>
      </c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</row>
    <row r="51" spans="1:23" s="80" customFormat="1" x14ac:dyDescent="0.2">
      <c r="A51" s="70">
        <f t="shared" ref="A51:A65" si="9">A50+1</f>
        <v>39</v>
      </c>
      <c r="D51" s="75" t="str">
        <f t="shared" si="8"/>
        <v>SCE</v>
      </c>
      <c r="E51" s="82"/>
      <c r="I51" s="79">
        <v>-7.5513240000000001</v>
      </c>
      <c r="J51" s="73"/>
      <c r="K51" s="86" t="s">
        <v>125</v>
      </c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</row>
    <row r="52" spans="1:23" s="80" customFormat="1" x14ac:dyDescent="0.2">
      <c r="A52" s="70">
        <f t="shared" si="9"/>
        <v>40</v>
      </c>
      <c r="D52" s="75" t="str">
        <f t="shared" si="8"/>
        <v>SDG&amp;E</v>
      </c>
      <c r="E52" s="82"/>
      <c r="I52" s="79">
        <v>-8.3793699999999998</v>
      </c>
      <c r="J52" s="73"/>
      <c r="K52" s="86" t="s">
        <v>125</v>
      </c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</row>
    <row r="53" spans="1:23" s="80" customFormat="1" x14ac:dyDescent="0.2">
      <c r="A53" s="70">
        <f>A52+1</f>
        <v>41</v>
      </c>
      <c r="D53" s="75" t="str">
        <f t="shared" si="8"/>
        <v>Anaheim</v>
      </c>
      <c r="E53" s="82"/>
      <c r="I53" s="79">
        <v>0</v>
      </c>
      <c r="J53" s="73"/>
      <c r="K53" s="86" t="s">
        <v>125</v>
      </c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</row>
    <row r="54" spans="1:23" s="80" customFormat="1" x14ac:dyDescent="0.2">
      <c r="A54" s="70">
        <f t="shared" si="9"/>
        <v>42</v>
      </c>
      <c r="D54" s="75" t="str">
        <f t="shared" si="8"/>
        <v>Azusa</v>
      </c>
      <c r="E54" s="82"/>
      <c r="I54" s="79">
        <v>0</v>
      </c>
      <c r="J54" s="73"/>
      <c r="K54" s="86" t="s">
        <v>125</v>
      </c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</row>
    <row r="55" spans="1:23" s="80" customFormat="1" x14ac:dyDescent="0.2">
      <c r="A55" s="70">
        <f t="shared" si="9"/>
        <v>43</v>
      </c>
      <c r="D55" s="75" t="str">
        <f t="shared" si="8"/>
        <v>Banning</v>
      </c>
      <c r="E55" s="82"/>
      <c r="I55" s="79">
        <v>0</v>
      </c>
      <c r="J55" s="73"/>
      <c r="K55" s="86" t="s">
        <v>125</v>
      </c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</row>
    <row r="56" spans="1:23" s="80" customFormat="1" x14ac:dyDescent="0.2">
      <c r="A56" s="70">
        <f t="shared" si="9"/>
        <v>44</v>
      </c>
      <c r="D56" s="75" t="str">
        <f t="shared" si="8"/>
        <v>Pasadena</v>
      </c>
      <c r="E56" s="82"/>
      <c r="I56" s="79">
        <v>0</v>
      </c>
      <c r="J56" s="73"/>
      <c r="K56" s="86" t="s">
        <v>125</v>
      </c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</row>
    <row r="57" spans="1:23" s="80" customFormat="1" x14ac:dyDescent="0.2">
      <c r="A57" s="70">
        <f t="shared" si="9"/>
        <v>45</v>
      </c>
      <c r="D57" s="75" t="str">
        <f t="shared" si="8"/>
        <v>Riverside</v>
      </c>
      <c r="E57" s="82"/>
      <c r="I57" s="79">
        <v>0</v>
      </c>
      <c r="J57" s="73"/>
      <c r="K57" s="86" t="s">
        <v>125</v>
      </c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s="80" customFormat="1" x14ac:dyDescent="0.2">
      <c r="A58" s="70">
        <f t="shared" si="9"/>
        <v>46</v>
      </c>
      <c r="D58" s="75" t="str">
        <f t="shared" si="8"/>
        <v>Vernon</v>
      </c>
      <c r="E58" s="82"/>
      <c r="I58" s="79">
        <v>0</v>
      </c>
      <c r="J58" s="73"/>
      <c r="K58" s="86" t="s">
        <v>125</v>
      </c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</row>
    <row r="59" spans="1:23" s="80" customFormat="1" x14ac:dyDescent="0.2">
      <c r="A59" s="70">
        <f t="shared" si="9"/>
        <v>47</v>
      </c>
      <c r="D59" s="75" t="str">
        <f t="shared" si="8"/>
        <v>DATC Path 15</v>
      </c>
      <c r="E59" s="82"/>
      <c r="I59" s="79">
        <v>0</v>
      </c>
      <c r="J59" s="73"/>
      <c r="K59" s="86" t="s">
        <v>125</v>
      </c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</row>
    <row r="60" spans="1:23" s="80" customFormat="1" x14ac:dyDescent="0.2">
      <c r="A60" s="70">
        <f t="shared" si="9"/>
        <v>48</v>
      </c>
      <c r="D60" s="75" t="str">
        <f t="shared" si="8"/>
        <v>Startrans IO</v>
      </c>
      <c r="E60" s="82"/>
      <c r="I60" s="79">
        <v>0</v>
      </c>
      <c r="J60" s="73"/>
      <c r="K60" s="86" t="s">
        <v>125</v>
      </c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</row>
    <row r="61" spans="1:23" s="80" customFormat="1" x14ac:dyDescent="0.2">
      <c r="A61" s="70">
        <f t="shared" si="9"/>
        <v>49</v>
      </c>
      <c r="D61" s="75" t="str">
        <f t="shared" si="8"/>
        <v>Trans Bay Cable</v>
      </c>
      <c r="E61" s="82"/>
      <c r="I61" s="79">
        <v>0</v>
      </c>
      <c r="J61" s="73"/>
      <c r="K61" s="86" t="s">
        <v>125</v>
      </c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</row>
    <row r="62" spans="1:23" s="80" customFormat="1" x14ac:dyDescent="0.2">
      <c r="A62" s="70">
        <f t="shared" si="9"/>
        <v>50</v>
      </c>
      <c r="D62" s="75" t="str">
        <f t="shared" si="8"/>
        <v>Citizens Sunrise</v>
      </c>
      <c r="E62" s="82"/>
      <c r="I62" s="79">
        <v>0</v>
      </c>
      <c r="J62" s="73"/>
      <c r="K62" s="86" t="s">
        <v>125</v>
      </c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</row>
    <row r="63" spans="1:23" s="80" customFormat="1" x14ac:dyDescent="0.2">
      <c r="A63" s="70">
        <f t="shared" si="9"/>
        <v>51</v>
      </c>
      <c r="D63" s="75" t="str">
        <f t="shared" si="8"/>
        <v>Colton</v>
      </c>
      <c r="E63" s="82"/>
      <c r="I63" s="79">
        <v>0</v>
      </c>
      <c r="J63" s="73"/>
      <c r="K63" s="86" t="s">
        <v>125</v>
      </c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</row>
    <row r="64" spans="1:23" s="80" customFormat="1" x14ac:dyDescent="0.2">
      <c r="A64" s="70">
        <f t="shared" si="9"/>
        <v>52</v>
      </c>
      <c r="D64" s="75" t="str">
        <f t="shared" si="8"/>
        <v>GWT/VEA</v>
      </c>
      <c r="E64" s="82"/>
      <c r="I64" s="79">
        <v>0</v>
      </c>
      <c r="J64" s="73"/>
      <c r="K64" s="86" t="s">
        <v>125</v>
      </c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</row>
    <row r="65" spans="1:23" s="80" customFormat="1" x14ac:dyDescent="0.2">
      <c r="A65" s="70">
        <f t="shared" si="9"/>
        <v>53</v>
      </c>
      <c r="D65" s="75" t="s">
        <v>5</v>
      </c>
      <c r="E65" s="82"/>
      <c r="I65" s="72">
        <f>SUM(I50:I64)</f>
        <v>-19.182416</v>
      </c>
      <c r="J65" s="88">
        <f t="shared" ref="J65:W65" si="10">I65*(1+J10)</f>
        <v>-19.374240159999999</v>
      </c>
      <c r="K65" s="88">
        <f t="shared" si="10"/>
        <v>-19.567982561600001</v>
      </c>
      <c r="L65" s="88">
        <f t="shared" si="10"/>
        <v>-19.763662387216002</v>
      </c>
      <c r="M65" s="88">
        <f t="shared" si="10"/>
        <v>-19.961299011088162</v>
      </c>
      <c r="N65" s="88">
        <f t="shared" si="10"/>
        <v>-20.160912001199044</v>
      </c>
      <c r="O65" s="88">
        <f t="shared" si="10"/>
        <v>-20.362521121211035</v>
      </c>
      <c r="P65" s="88">
        <f t="shared" si="10"/>
        <v>-20.566146332423145</v>
      </c>
      <c r="Q65" s="88">
        <f t="shared" si="10"/>
        <v>-20.771807795747378</v>
      </c>
      <c r="R65" s="88">
        <f t="shared" si="10"/>
        <v>-20.979525873704851</v>
      </c>
      <c r="S65" s="88">
        <f t="shared" si="10"/>
        <v>-21.189321132441901</v>
      </c>
      <c r="T65" s="88">
        <f t="shared" si="10"/>
        <v>-21.40121434376632</v>
      </c>
      <c r="U65" s="88">
        <f t="shared" si="10"/>
        <v>-21.615226487203984</v>
      </c>
      <c r="V65" s="88">
        <f t="shared" si="10"/>
        <v>-21.831378752076024</v>
      </c>
      <c r="W65" s="88">
        <f t="shared" si="10"/>
        <v>-22.049692539596784</v>
      </c>
    </row>
    <row r="66" spans="1:23" s="80" customFormat="1" x14ac:dyDescent="0.2">
      <c r="A66" s="70"/>
      <c r="E66" s="82"/>
      <c r="I66" s="8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</row>
    <row r="67" spans="1:23" s="80" customFormat="1" x14ac:dyDescent="0.2">
      <c r="A67" s="70"/>
      <c r="C67" s="80" t="s">
        <v>93</v>
      </c>
      <c r="E67" s="82"/>
      <c r="I67" s="8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</row>
    <row r="68" spans="1:23" s="80" customFormat="1" x14ac:dyDescent="0.2">
      <c r="A68" s="70">
        <f>A65+1</f>
        <v>54</v>
      </c>
      <c r="D68" s="75" t="str">
        <f t="shared" ref="D68:D82" si="11">D14</f>
        <v>PG&amp;E</v>
      </c>
      <c r="E68" s="82"/>
      <c r="I68" s="73">
        <f>I14+I32+I50</f>
        <v>559.16373899999996</v>
      </c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</row>
    <row r="69" spans="1:23" s="80" customFormat="1" x14ac:dyDescent="0.2">
      <c r="A69" s="70">
        <f t="shared" ref="A69:A83" si="12">A68+1</f>
        <v>55</v>
      </c>
      <c r="D69" s="75" t="str">
        <f t="shared" si="11"/>
        <v>SCE</v>
      </c>
      <c r="E69" s="82"/>
      <c r="I69" s="73">
        <f t="shared" ref="I69:I83" si="13">I15+I33+I51</f>
        <v>922.104873</v>
      </c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</row>
    <row r="70" spans="1:23" s="80" customFormat="1" x14ac:dyDescent="0.2">
      <c r="A70" s="70">
        <f t="shared" si="12"/>
        <v>56</v>
      </c>
      <c r="D70" s="75" t="str">
        <f t="shared" si="11"/>
        <v>SDG&amp;E</v>
      </c>
      <c r="E70" s="82"/>
      <c r="I70" s="73">
        <f t="shared" si="13"/>
        <v>515.48580900000002</v>
      </c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</row>
    <row r="71" spans="1:23" s="80" customFormat="1" x14ac:dyDescent="0.2">
      <c r="A71" s="70">
        <f t="shared" si="12"/>
        <v>57</v>
      </c>
      <c r="D71" s="75" t="str">
        <f t="shared" si="11"/>
        <v>Anaheim</v>
      </c>
      <c r="E71" s="82"/>
      <c r="I71" s="73">
        <f t="shared" si="13"/>
        <v>30.169629</v>
      </c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</row>
    <row r="72" spans="1:23" s="80" customFormat="1" x14ac:dyDescent="0.2">
      <c r="A72" s="70">
        <f t="shared" si="12"/>
        <v>58</v>
      </c>
      <c r="D72" s="75" t="str">
        <f t="shared" si="11"/>
        <v>Azusa</v>
      </c>
      <c r="E72" s="82"/>
      <c r="I72" s="73">
        <f t="shared" si="13"/>
        <v>1.2115420000000001</v>
      </c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</row>
    <row r="73" spans="1:23" s="80" customFormat="1" x14ac:dyDescent="0.2">
      <c r="A73" s="70">
        <f t="shared" si="12"/>
        <v>59</v>
      </c>
      <c r="D73" s="75" t="str">
        <f t="shared" si="11"/>
        <v>Banning</v>
      </c>
      <c r="E73" s="82"/>
      <c r="I73" s="73">
        <f t="shared" si="13"/>
        <v>0.89999099999999999</v>
      </c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</row>
    <row r="74" spans="1:23" s="80" customFormat="1" x14ac:dyDescent="0.2">
      <c r="A74" s="70">
        <f t="shared" si="12"/>
        <v>60</v>
      </c>
      <c r="D74" s="75" t="str">
        <f t="shared" si="11"/>
        <v>Pasadena</v>
      </c>
      <c r="E74" s="82"/>
      <c r="I74" s="73">
        <f t="shared" si="13"/>
        <v>15.107417999999999</v>
      </c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</row>
    <row r="75" spans="1:23" s="80" customFormat="1" x14ac:dyDescent="0.2">
      <c r="A75" s="70">
        <f t="shared" si="12"/>
        <v>61</v>
      </c>
      <c r="D75" s="75" t="str">
        <f t="shared" si="11"/>
        <v>Riverside</v>
      </c>
      <c r="E75" s="82"/>
      <c r="I75" s="73">
        <f t="shared" si="13"/>
        <v>33.944567999999997</v>
      </c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</row>
    <row r="76" spans="1:23" s="80" customFormat="1" x14ac:dyDescent="0.2">
      <c r="A76" s="70">
        <f t="shared" si="12"/>
        <v>62</v>
      </c>
      <c r="D76" s="75" t="str">
        <f t="shared" si="11"/>
        <v>Vernon</v>
      </c>
      <c r="E76" s="82"/>
      <c r="I76" s="73">
        <f t="shared" si="13"/>
        <v>2.877221</v>
      </c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</row>
    <row r="77" spans="1:23" s="80" customFormat="1" x14ac:dyDescent="0.2">
      <c r="A77" s="70">
        <f t="shared" si="12"/>
        <v>63</v>
      </c>
      <c r="D77" s="75" t="str">
        <f t="shared" si="11"/>
        <v>DATC Path 15</v>
      </c>
      <c r="E77" s="82"/>
      <c r="I77" s="73">
        <f t="shared" si="13"/>
        <v>25.142901000000002</v>
      </c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</row>
    <row r="78" spans="1:23" s="80" customFormat="1" x14ac:dyDescent="0.2">
      <c r="A78" s="70">
        <f t="shared" si="12"/>
        <v>64</v>
      </c>
      <c r="D78" s="75" t="str">
        <f t="shared" si="11"/>
        <v>Startrans IO</v>
      </c>
      <c r="E78" s="82"/>
      <c r="I78" s="73">
        <f t="shared" si="13"/>
        <v>3.2708970000000002</v>
      </c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</row>
    <row r="79" spans="1:23" s="80" customFormat="1" x14ac:dyDescent="0.2">
      <c r="A79" s="70">
        <f t="shared" si="12"/>
        <v>65</v>
      </c>
      <c r="D79" s="75" t="str">
        <f t="shared" si="11"/>
        <v>Trans Bay Cable</v>
      </c>
      <c r="E79" s="82"/>
      <c r="I79" s="73">
        <f t="shared" si="13"/>
        <v>124.71893800000001</v>
      </c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</row>
    <row r="80" spans="1:23" s="80" customFormat="1" x14ac:dyDescent="0.2">
      <c r="A80" s="70">
        <f t="shared" si="12"/>
        <v>66</v>
      </c>
      <c r="D80" s="75" t="str">
        <f t="shared" si="11"/>
        <v>Citizens Sunrise</v>
      </c>
      <c r="E80" s="82"/>
      <c r="I80" s="73">
        <f t="shared" si="13"/>
        <v>13.446313</v>
      </c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</row>
    <row r="81" spans="1:23" s="80" customFormat="1" x14ac:dyDescent="0.2">
      <c r="A81" s="70">
        <f t="shared" si="12"/>
        <v>67</v>
      </c>
      <c r="D81" s="75" t="str">
        <f t="shared" si="11"/>
        <v>Colton</v>
      </c>
      <c r="E81" s="82"/>
      <c r="I81" s="73">
        <f t="shared" si="13"/>
        <v>1.4760200000000001</v>
      </c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</row>
    <row r="82" spans="1:23" s="80" customFormat="1" x14ac:dyDescent="0.2">
      <c r="A82" s="70">
        <f t="shared" si="12"/>
        <v>68</v>
      </c>
      <c r="D82" s="75" t="str">
        <f t="shared" si="11"/>
        <v>GWT/VEA</v>
      </c>
      <c r="E82" s="82"/>
      <c r="I82" s="73">
        <f t="shared" si="13"/>
        <v>20.018530999999999</v>
      </c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</row>
    <row r="83" spans="1:23" s="80" customFormat="1" x14ac:dyDescent="0.2">
      <c r="A83" s="70">
        <f t="shared" si="12"/>
        <v>69</v>
      </c>
      <c r="D83" s="75" t="s">
        <v>5</v>
      </c>
      <c r="E83" s="82"/>
      <c r="F83" s="70"/>
      <c r="I83" s="72">
        <f t="shared" si="13"/>
        <v>2269.0383899999988</v>
      </c>
      <c r="J83" s="72">
        <f t="shared" ref="J83:W83" si="14">J29+J47+J65</f>
        <v>2273.0237648541051</v>
      </c>
      <c r="K83" s="72">
        <f t="shared" si="14"/>
        <v>2277.090765446892</v>
      </c>
      <c r="L83" s="72">
        <f t="shared" si="14"/>
        <v>2281.2410434755507</v>
      </c>
      <c r="M83" s="72">
        <f t="shared" si="14"/>
        <v>2285.4762838630381</v>
      </c>
      <c r="N83" s="72">
        <f t="shared" si="14"/>
        <v>2289.7982054245153</v>
      </c>
      <c r="O83" s="72">
        <f t="shared" si="14"/>
        <v>2294.2085615471219</v>
      </c>
      <c r="P83" s="72">
        <f t="shared" si="14"/>
        <v>2298.7091408833803</v>
      </c>
      <c r="Q83" s="72">
        <f t="shared" si="14"/>
        <v>2303.3017680584771</v>
      </c>
      <c r="R83" s="72">
        <f t="shared" si="14"/>
        <v>2307.9883043917089</v>
      </c>
      <c r="S83" s="72">
        <f t="shared" si="14"/>
        <v>2312.770648632385</v>
      </c>
      <c r="T83" s="72">
        <f t="shared" si="14"/>
        <v>2317.6507377104617</v>
      </c>
      <c r="U83" s="72">
        <f t="shared" si="14"/>
        <v>2322.6305475022141</v>
      </c>
      <c r="V83" s="72">
        <f t="shared" si="14"/>
        <v>2327.7120936112356</v>
      </c>
      <c r="W83" s="72">
        <f t="shared" si="14"/>
        <v>2332.8974321650853</v>
      </c>
    </row>
    <row r="84" spans="1:23" s="80" customFormat="1" x14ac:dyDescent="0.2">
      <c r="A84" s="70"/>
      <c r="E84" s="82"/>
      <c r="I84" s="8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</row>
    <row r="85" spans="1:23" s="80" customFormat="1" x14ac:dyDescent="0.2">
      <c r="A85" s="70"/>
      <c r="C85" s="80" t="s">
        <v>94</v>
      </c>
      <c r="E85" s="82"/>
      <c r="I85" s="8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</row>
    <row r="86" spans="1:23" s="80" customFormat="1" x14ac:dyDescent="0.2">
      <c r="A86" s="70">
        <f>A83+1</f>
        <v>70</v>
      </c>
      <c r="D86" s="75" t="str">
        <f t="shared" ref="D86:D100" si="15">D14</f>
        <v>PG&amp;E</v>
      </c>
      <c r="E86" s="82"/>
      <c r="I86" s="87">
        <v>87900</v>
      </c>
      <c r="J86" s="73"/>
      <c r="K86" s="86" t="s">
        <v>125</v>
      </c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</row>
    <row r="87" spans="1:23" s="80" customFormat="1" x14ac:dyDescent="0.2">
      <c r="A87" s="70">
        <f t="shared" ref="A87:A101" si="16">A86+1</f>
        <v>71</v>
      </c>
      <c r="D87" s="75" t="str">
        <f t="shared" si="15"/>
        <v>SCE</v>
      </c>
      <c r="E87" s="82"/>
      <c r="I87" s="87">
        <v>86694.873000000007</v>
      </c>
      <c r="J87" s="73"/>
      <c r="K87" s="86" t="s">
        <v>125</v>
      </c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</row>
    <row r="88" spans="1:23" s="80" customFormat="1" x14ac:dyDescent="0.2">
      <c r="A88" s="70">
        <f t="shared" si="16"/>
        <v>72</v>
      </c>
      <c r="D88" s="75" t="str">
        <f t="shared" si="15"/>
        <v>SDG&amp;E</v>
      </c>
      <c r="E88" s="82"/>
      <c r="I88" s="87">
        <v>20283.944</v>
      </c>
      <c r="J88" s="73"/>
      <c r="K88" s="86" t="s">
        <v>125</v>
      </c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</row>
    <row r="89" spans="1:23" s="80" customFormat="1" x14ac:dyDescent="0.2">
      <c r="A89" s="70">
        <f t="shared" si="16"/>
        <v>73</v>
      </c>
      <c r="D89" s="75" t="str">
        <f t="shared" si="15"/>
        <v>Anaheim</v>
      </c>
      <c r="E89" s="82"/>
      <c r="I89" s="87">
        <v>2507.62</v>
      </c>
      <c r="J89" s="73"/>
      <c r="K89" s="86" t="s">
        <v>125</v>
      </c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</row>
    <row r="90" spans="1:23" s="80" customFormat="1" x14ac:dyDescent="0.2">
      <c r="A90" s="70">
        <f t="shared" si="16"/>
        <v>74</v>
      </c>
      <c r="D90" s="75" t="str">
        <f t="shared" si="15"/>
        <v>Azusa</v>
      </c>
      <c r="E90" s="82"/>
      <c r="I90" s="87">
        <v>257.416</v>
      </c>
      <c r="J90" s="73"/>
      <c r="K90" s="86" t="s">
        <v>125</v>
      </c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</row>
    <row r="91" spans="1:23" s="80" customFormat="1" x14ac:dyDescent="0.2">
      <c r="A91" s="70">
        <f t="shared" si="16"/>
        <v>75</v>
      </c>
      <c r="D91" s="75" t="str">
        <f t="shared" si="15"/>
        <v>Banning</v>
      </c>
      <c r="E91" s="82"/>
      <c r="I91" s="87">
        <v>144.65199999999999</v>
      </c>
      <c r="J91" s="73"/>
      <c r="K91" s="86" t="s">
        <v>125</v>
      </c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</row>
    <row r="92" spans="1:23" s="80" customFormat="1" x14ac:dyDescent="0.2">
      <c r="A92" s="70">
        <f t="shared" si="16"/>
        <v>76</v>
      </c>
      <c r="D92" s="75" t="str">
        <f t="shared" si="15"/>
        <v>Pasadena</v>
      </c>
      <c r="E92" s="82"/>
      <c r="I92" s="87">
        <v>1120.049</v>
      </c>
      <c r="J92" s="73"/>
      <c r="K92" s="86" t="s">
        <v>125</v>
      </c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</row>
    <row r="93" spans="1:23" s="80" customFormat="1" x14ac:dyDescent="0.2">
      <c r="A93" s="70">
        <f t="shared" si="16"/>
        <v>77</v>
      </c>
      <c r="D93" s="75" t="str">
        <f t="shared" si="15"/>
        <v>Riverside</v>
      </c>
      <c r="E93" s="82"/>
      <c r="I93" s="87">
        <v>2180.9850000000001</v>
      </c>
      <c r="J93" s="73"/>
      <c r="K93" s="86" t="s">
        <v>125</v>
      </c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</row>
    <row r="94" spans="1:23" s="80" customFormat="1" x14ac:dyDescent="0.2">
      <c r="A94" s="70">
        <f t="shared" si="16"/>
        <v>78</v>
      </c>
      <c r="D94" s="75" t="str">
        <f t="shared" si="15"/>
        <v>Vernon</v>
      </c>
      <c r="E94" s="82"/>
      <c r="I94" s="87">
        <v>1154.492</v>
      </c>
      <c r="J94" s="73"/>
      <c r="K94" s="86" t="s">
        <v>125</v>
      </c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</row>
    <row r="95" spans="1:23" s="80" customFormat="1" x14ac:dyDescent="0.2">
      <c r="A95" s="70">
        <f t="shared" si="16"/>
        <v>79</v>
      </c>
      <c r="D95" s="75" t="str">
        <f t="shared" si="15"/>
        <v>DATC Path 15</v>
      </c>
      <c r="E95" s="82"/>
      <c r="I95" s="87">
        <v>0</v>
      </c>
      <c r="J95" s="73"/>
      <c r="K95" s="86" t="s">
        <v>125</v>
      </c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</row>
    <row r="96" spans="1:23" s="80" customFormat="1" x14ac:dyDescent="0.2">
      <c r="A96" s="70">
        <f t="shared" si="16"/>
        <v>80</v>
      </c>
      <c r="D96" s="75" t="str">
        <f t="shared" si="15"/>
        <v>Startrans IO</v>
      </c>
      <c r="E96" s="82"/>
      <c r="I96" s="87">
        <v>0</v>
      </c>
      <c r="J96" s="73"/>
      <c r="K96" s="86" t="s">
        <v>125</v>
      </c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</row>
    <row r="97" spans="1:23" s="80" customFormat="1" x14ac:dyDescent="0.2">
      <c r="A97" s="70">
        <f t="shared" si="16"/>
        <v>81</v>
      </c>
      <c r="D97" s="75" t="str">
        <f t="shared" si="15"/>
        <v>Trans Bay Cable</v>
      </c>
      <c r="E97" s="82"/>
      <c r="I97" s="87">
        <v>0</v>
      </c>
      <c r="J97" s="73"/>
      <c r="K97" s="86" t="s">
        <v>125</v>
      </c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</row>
    <row r="98" spans="1:23" s="80" customFormat="1" x14ac:dyDescent="0.2">
      <c r="A98" s="70">
        <f t="shared" si="16"/>
        <v>82</v>
      </c>
      <c r="D98" s="75" t="str">
        <f t="shared" si="15"/>
        <v>Citizens Sunrise</v>
      </c>
      <c r="E98" s="82"/>
      <c r="I98" s="87">
        <v>0</v>
      </c>
      <c r="J98" s="73"/>
      <c r="K98" s="86" t="s">
        <v>125</v>
      </c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</row>
    <row r="99" spans="1:23" s="80" customFormat="1" x14ac:dyDescent="0.2">
      <c r="A99" s="70">
        <f t="shared" si="16"/>
        <v>83</v>
      </c>
      <c r="D99" s="75" t="str">
        <f t="shared" si="15"/>
        <v>Colton</v>
      </c>
      <c r="E99" s="82"/>
      <c r="I99" s="87">
        <v>372.17899999999997</v>
      </c>
      <c r="J99" s="73"/>
      <c r="K99" s="86" t="s">
        <v>125</v>
      </c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</row>
    <row r="100" spans="1:23" s="80" customFormat="1" x14ac:dyDescent="0.2">
      <c r="A100" s="70">
        <f t="shared" si="16"/>
        <v>84</v>
      </c>
      <c r="D100" s="75" t="str">
        <f t="shared" si="15"/>
        <v>GWT/VEA</v>
      </c>
      <c r="E100" s="82"/>
      <c r="I100" s="87">
        <v>544.97</v>
      </c>
      <c r="J100" s="73"/>
      <c r="K100" s="86" t="s">
        <v>125</v>
      </c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</row>
    <row r="101" spans="1:23" s="80" customFormat="1" x14ac:dyDescent="0.2">
      <c r="A101" s="70">
        <f t="shared" si="16"/>
        <v>85</v>
      </c>
      <c r="D101" s="75" t="s">
        <v>5</v>
      </c>
      <c r="E101" s="82"/>
      <c r="I101" s="85">
        <f>SUM(I86:I100)</f>
        <v>203161.18</v>
      </c>
      <c r="J101" s="84">
        <f t="shared" ref="J101:W101" si="17">I101*(1+J11)</f>
        <v>202531.38034199999</v>
      </c>
      <c r="K101" s="84">
        <f t="shared" si="17"/>
        <v>201903.53306293979</v>
      </c>
      <c r="L101" s="84">
        <f t="shared" si="17"/>
        <v>201277.63211044468</v>
      </c>
      <c r="M101" s="84">
        <f t="shared" si="17"/>
        <v>200653.6714509023</v>
      </c>
      <c r="N101" s="84">
        <f t="shared" si="17"/>
        <v>200031.64506940451</v>
      </c>
      <c r="O101" s="84">
        <f t="shared" si="17"/>
        <v>199411.54696968934</v>
      </c>
      <c r="P101" s="84">
        <f t="shared" si="17"/>
        <v>198793.3711740833</v>
      </c>
      <c r="Q101" s="84">
        <f t="shared" si="17"/>
        <v>198177.11172344364</v>
      </c>
      <c r="R101" s="84">
        <f t="shared" si="17"/>
        <v>197562.76267710095</v>
      </c>
      <c r="S101" s="84">
        <f t="shared" si="17"/>
        <v>196950.31811280194</v>
      </c>
      <c r="T101" s="84">
        <f t="shared" si="17"/>
        <v>196339.77212665224</v>
      </c>
      <c r="U101" s="84">
        <f t="shared" si="17"/>
        <v>195731.11883305962</v>
      </c>
      <c r="V101" s="84">
        <f t="shared" si="17"/>
        <v>195124.35236467715</v>
      </c>
      <c r="W101" s="84">
        <f t="shared" si="17"/>
        <v>194519.46687234665</v>
      </c>
    </row>
    <row r="102" spans="1:23" s="80" customFormat="1" x14ac:dyDescent="0.2">
      <c r="A102" s="70"/>
      <c r="D102" s="75"/>
      <c r="E102" s="82"/>
      <c r="I102" s="8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</row>
    <row r="103" spans="1:23" s="80" customFormat="1" x14ac:dyDescent="0.2">
      <c r="A103" s="70">
        <f>A101+1</f>
        <v>86</v>
      </c>
      <c r="C103" s="80" t="s">
        <v>95</v>
      </c>
      <c r="D103" s="75"/>
      <c r="E103" s="82"/>
      <c r="F103" s="70"/>
      <c r="I103" s="81">
        <f>1000*I83/I101</f>
        <v>11.168661207815385</v>
      </c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</row>
    <row r="104" spans="1:23" s="80" customFormat="1" x14ac:dyDescent="0.2">
      <c r="A104" s="70"/>
      <c r="D104" s="75"/>
      <c r="E104" s="82"/>
      <c r="I104" s="81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</row>
    <row r="105" spans="1:23" s="80" customFormat="1" x14ac:dyDescent="0.2">
      <c r="A105" s="70"/>
      <c r="C105" s="80" t="s">
        <v>96</v>
      </c>
      <c r="D105" s="75"/>
      <c r="E105" s="82"/>
      <c r="I105" s="81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</row>
    <row r="106" spans="1:23" s="80" customFormat="1" x14ac:dyDescent="0.2">
      <c r="A106" s="70">
        <f>A103+1</f>
        <v>87</v>
      </c>
      <c r="D106" s="75" t="str">
        <f t="shared" ref="D106:D114" si="18">D14</f>
        <v>PG&amp;E</v>
      </c>
      <c r="E106" s="82"/>
      <c r="I106" s="81">
        <f t="shared" ref="I106:I114" si="19">1000*I68/I86</f>
        <v>6.3613622184300338</v>
      </c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</row>
    <row r="107" spans="1:23" s="80" customFormat="1" x14ac:dyDescent="0.2">
      <c r="A107" s="70">
        <f t="shared" ref="A107:A116" si="20">A106+1</f>
        <v>88</v>
      </c>
      <c r="D107" s="75" t="str">
        <f t="shared" si="18"/>
        <v>SCE</v>
      </c>
      <c r="E107" s="82"/>
      <c r="I107" s="81">
        <f t="shared" si="19"/>
        <v>10.636209975185038</v>
      </c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</row>
    <row r="108" spans="1:23" s="80" customFormat="1" x14ac:dyDescent="0.2">
      <c r="A108" s="70">
        <f t="shared" si="20"/>
        <v>89</v>
      </c>
      <c r="D108" s="75" t="str">
        <f t="shared" si="18"/>
        <v>SDG&amp;E</v>
      </c>
      <c r="E108" s="82"/>
      <c r="I108" s="81">
        <f t="shared" si="19"/>
        <v>25.413490049075271</v>
      </c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</row>
    <row r="109" spans="1:23" s="80" customFormat="1" x14ac:dyDescent="0.2">
      <c r="A109" s="70">
        <f t="shared" si="20"/>
        <v>90</v>
      </c>
      <c r="D109" s="75" t="str">
        <f t="shared" si="18"/>
        <v>Anaheim</v>
      </c>
      <c r="E109" s="82"/>
      <c r="I109" s="81">
        <f t="shared" si="19"/>
        <v>12.031180561648098</v>
      </c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</row>
    <row r="110" spans="1:23" s="80" customFormat="1" x14ac:dyDescent="0.2">
      <c r="A110" s="70">
        <f t="shared" si="20"/>
        <v>91</v>
      </c>
      <c r="D110" s="75" t="str">
        <f t="shared" si="18"/>
        <v>Azusa</v>
      </c>
      <c r="E110" s="82"/>
      <c r="I110" s="81">
        <f t="shared" si="19"/>
        <v>4.7065528172296984</v>
      </c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</row>
    <row r="111" spans="1:23" s="80" customFormat="1" x14ac:dyDescent="0.2">
      <c r="A111" s="70">
        <f t="shared" si="20"/>
        <v>92</v>
      </c>
      <c r="D111" s="75" t="str">
        <f t="shared" si="18"/>
        <v>Banning</v>
      </c>
      <c r="E111" s="82"/>
      <c r="I111" s="81">
        <f t="shared" si="19"/>
        <v>6.221766722893566</v>
      </c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</row>
    <row r="112" spans="1:23" s="80" customFormat="1" x14ac:dyDescent="0.2">
      <c r="A112" s="70">
        <f t="shared" si="20"/>
        <v>93</v>
      </c>
      <c r="D112" s="75" t="str">
        <f t="shared" si="18"/>
        <v>Pasadena</v>
      </c>
      <c r="E112" s="82"/>
      <c r="I112" s="81">
        <f t="shared" si="19"/>
        <v>13.488175963730159</v>
      </c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</row>
    <row r="113" spans="1:23" s="80" customFormat="1" x14ac:dyDescent="0.2">
      <c r="A113" s="70">
        <f t="shared" si="20"/>
        <v>94</v>
      </c>
      <c r="D113" s="75" t="str">
        <f t="shared" si="18"/>
        <v>Riverside</v>
      </c>
      <c r="E113" s="82"/>
      <c r="I113" s="81">
        <f t="shared" si="19"/>
        <v>15.563870453029249</v>
      </c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</row>
    <row r="114" spans="1:23" s="80" customFormat="1" x14ac:dyDescent="0.2">
      <c r="A114" s="70">
        <f t="shared" si="20"/>
        <v>95</v>
      </c>
      <c r="D114" s="75" t="str">
        <f t="shared" si="18"/>
        <v>Vernon</v>
      </c>
      <c r="E114" s="82"/>
      <c r="I114" s="81">
        <f t="shared" si="19"/>
        <v>2.492196567841094</v>
      </c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</row>
    <row r="115" spans="1:23" s="80" customFormat="1" x14ac:dyDescent="0.2">
      <c r="A115" s="70">
        <f t="shared" si="20"/>
        <v>96</v>
      </c>
      <c r="D115" s="75" t="str">
        <f>D27</f>
        <v>Colton</v>
      </c>
      <c r="E115" s="82"/>
      <c r="I115" s="81">
        <f>1000*I81/I99</f>
        <v>3.9658873821467635</v>
      </c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</row>
    <row r="116" spans="1:23" s="80" customFormat="1" x14ac:dyDescent="0.2">
      <c r="A116" s="70">
        <f t="shared" si="20"/>
        <v>97</v>
      </c>
      <c r="D116" s="75" t="str">
        <f>D28</f>
        <v>GWT/VEA</v>
      </c>
      <c r="E116" s="82"/>
      <c r="I116" s="81">
        <f>1000*I82/I100</f>
        <v>36.733271556232452</v>
      </c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</row>
    <row r="118" spans="1:23" x14ac:dyDescent="0.2">
      <c r="C118" s="67" t="s">
        <v>87</v>
      </c>
    </row>
    <row r="119" spans="1:23" x14ac:dyDescent="0.2">
      <c r="A119" s="70">
        <f>A116+1</f>
        <v>98</v>
      </c>
      <c r="D119" s="64" t="s">
        <v>60</v>
      </c>
      <c r="F119" s="79">
        <f>5328912855/1000000</f>
        <v>5328.9128549999996</v>
      </c>
      <c r="I119" s="78">
        <f>F119*I$126/F$126</f>
        <v>4524.8141660366819</v>
      </c>
      <c r="K119" s="76" t="s">
        <v>141</v>
      </c>
    </row>
    <row r="120" spans="1:23" x14ac:dyDescent="0.2">
      <c r="A120" s="70">
        <f>A119+1</f>
        <v>99</v>
      </c>
      <c r="D120" s="64" t="s">
        <v>56</v>
      </c>
      <c r="F120" s="79">
        <f>3033764301/1000000</f>
        <v>3033.7643010000002</v>
      </c>
      <c r="I120" s="78">
        <f>F120*I$126/F$126</f>
        <v>2575.9887727759015</v>
      </c>
      <c r="K120" s="76" t="s">
        <v>142</v>
      </c>
    </row>
    <row r="121" spans="1:23" x14ac:dyDescent="0.2">
      <c r="A121" s="70"/>
      <c r="F121" s="73"/>
      <c r="K121" s="76"/>
    </row>
    <row r="122" spans="1:23" x14ac:dyDescent="0.2">
      <c r="A122" s="70">
        <f>A120+1</f>
        <v>100</v>
      </c>
      <c r="D122" s="64" t="s">
        <v>4</v>
      </c>
      <c r="F122" s="79">
        <v>181.547</v>
      </c>
      <c r="I122" s="78">
        <f>F122*I$126/F$126</f>
        <v>154.15272490911497</v>
      </c>
      <c r="J122" s="34"/>
      <c r="K122" s="76" t="s">
        <v>143</v>
      </c>
      <c r="N122" s="34"/>
      <c r="Q122" s="34"/>
    </row>
    <row r="123" spans="1:23" x14ac:dyDescent="0.2">
      <c r="A123" s="70">
        <f>A122+1</f>
        <v>101</v>
      </c>
      <c r="D123" s="64" t="s">
        <v>57</v>
      </c>
      <c r="F123" s="79">
        <f>266773487/1000000</f>
        <v>266.77348699999999</v>
      </c>
      <c r="I123" s="78">
        <f>F123*I$126/F$126</f>
        <v>226.51908296229826</v>
      </c>
      <c r="J123" s="34"/>
      <c r="K123" s="76" t="s">
        <v>144</v>
      </c>
      <c r="N123" s="34"/>
      <c r="Q123" s="34"/>
    </row>
    <row r="124" spans="1:23" x14ac:dyDescent="0.2">
      <c r="A124" s="70">
        <f>A123+1</f>
        <v>102</v>
      </c>
      <c r="D124" s="64" t="s">
        <v>18</v>
      </c>
      <c r="F124" s="79">
        <v>112.70782800000001</v>
      </c>
      <c r="I124" s="78">
        <f>F124*I$126/F$126</f>
        <v>95.700941380402043</v>
      </c>
      <c r="J124" s="34"/>
      <c r="K124" s="76" t="s">
        <v>145</v>
      </c>
    </row>
    <row r="125" spans="1:23" x14ac:dyDescent="0.2">
      <c r="A125" s="70">
        <f>A124+1</f>
        <v>103</v>
      </c>
      <c r="D125" s="75" t="s">
        <v>19</v>
      </c>
      <c r="F125" s="73">
        <f>F126-SUM(F122:F124)</f>
        <v>304.77127699999994</v>
      </c>
      <c r="I125" s="78">
        <f>F125*I$126/F$126</f>
        <v>258.78325074818463</v>
      </c>
      <c r="J125" s="34"/>
      <c r="K125" s="76"/>
    </row>
    <row r="126" spans="1:23" x14ac:dyDescent="0.2">
      <c r="A126" s="70">
        <f>A125+1</f>
        <v>104</v>
      </c>
      <c r="D126" s="64" t="s">
        <v>45</v>
      </c>
      <c r="F126" s="77">
        <v>865.79959199999996</v>
      </c>
      <c r="I126" s="72">
        <f>I14</f>
        <v>735.15599999999995</v>
      </c>
      <c r="K126" s="76" t="s">
        <v>146</v>
      </c>
    </row>
    <row r="128" spans="1:23" x14ac:dyDescent="0.2">
      <c r="C128" s="67" t="s">
        <v>38</v>
      </c>
    </row>
    <row r="129" spans="1:19" x14ac:dyDescent="0.2">
      <c r="A129" s="70">
        <f>A126+1</f>
        <v>105</v>
      </c>
      <c r="D129" s="64" t="s">
        <v>60</v>
      </c>
      <c r="F129" s="79">
        <f>8573445553/1000000</f>
        <v>8573.4455529999996</v>
      </c>
      <c r="I129" s="78">
        <f>F129*I$136/F$136</f>
        <v>8582.4988425508091</v>
      </c>
      <c r="K129" s="44" t="s">
        <v>147</v>
      </c>
    </row>
    <row r="130" spans="1:19" x14ac:dyDescent="0.2">
      <c r="A130" s="70">
        <f>A129+1</f>
        <v>106</v>
      </c>
      <c r="D130" s="64" t="s">
        <v>56</v>
      </c>
      <c r="F130" s="79">
        <f>5624393273/1000000</f>
        <v>5624.3932729999997</v>
      </c>
      <c r="I130" s="78">
        <f>F130*I$136/F$136</f>
        <v>5630.3324558563345</v>
      </c>
      <c r="K130" s="44" t="s">
        <v>148</v>
      </c>
    </row>
    <row r="131" spans="1:19" x14ac:dyDescent="0.2">
      <c r="A131" s="70"/>
      <c r="F131" s="73"/>
      <c r="K131" s="44"/>
    </row>
    <row r="132" spans="1:19" x14ac:dyDescent="0.2">
      <c r="A132" s="70">
        <f>A130+1</f>
        <v>107</v>
      </c>
      <c r="D132" s="64" t="s">
        <v>4</v>
      </c>
      <c r="F132" s="79">
        <f>241415721/1000000</f>
        <v>241.41572099999999</v>
      </c>
      <c r="I132" s="78">
        <f>F132*I$136/F$136</f>
        <v>241.67064842804734</v>
      </c>
      <c r="J132" s="34"/>
      <c r="K132" s="44" t="s">
        <v>149</v>
      </c>
      <c r="S132" s="34"/>
    </row>
    <row r="133" spans="1:19" x14ac:dyDescent="0.2">
      <c r="A133" s="70">
        <f>A132+1</f>
        <v>108</v>
      </c>
      <c r="D133" s="64" t="s">
        <v>57</v>
      </c>
      <c r="F133" s="79">
        <f>446600074/1000000</f>
        <v>446.60007400000001</v>
      </c>
      <c r="I133" s="78">
        <f>F133*I$136/F$136</f>
        <v>447.07166966808239</v>
      </c>
      <c r="J133" s="34"/>
      <c r="K133" s="44" t="s">
        <v>150</v>
      </c>
      <c r="L133" s="35"/>
      <c r="S133" s="34"/>
    </row>
    <row r="134" spans="1:19" x14ac:dyDescent="0.2">
      <c r="A134" s="70">
        <f>A133+1</f>
        <v>109</v>
      </c>
      <c r="D134" s="64" t="s">
        <v>18</v>
      </c>
      <c r="F134" s="79">
        <f>133809874/1000000</f>
        <v>133.80987400000001</v>
      </c>
      <c r="I134" s="78">
        <f>F134*I$136/F$136</f>
        <v>133.95117302926315</v>
      </c>
      <c r="J134" s="34"/>
      <c r="K134" s="44" t="s">
        <v>151</v>
      </c>
      <c r="S134" s="34"/>
    </row>
    <row r="135" spans="1:19" x14ac:dyDescent="0.2">
      <c r="A135" s="70">
        <f>A134+1</f>
        <v>110</v>
      </c>
      <c r="D135" s="75" t="s">
        <v>19</v>
      </c>
      <c r="F135" s="73">
        <f>F136-SUM(F132:F134)</f>
        <v>179.41808999999989</v>
      </c>
      <c r="I135" s="78">
        <f>F135*I$136/F$136</f>
        <v>179.60754987460712</v>
      </c>
      <c r="J135" s="34"/>
      <c r="K135" s="44"/>
    </row>
    <row r="136" spans="1:19" x14ac:dyDescent="0.2">
      <c r="A136" s="70">
        <f>A135+1</f>
        <v>111</v>
      </c>
      <c r="D136" s="64" t="s">
        <v>45</v>
      </c>
      <c r="F136" s="77">
        <f>1001243759/1000000</f>
        <v>1001.243759</v>
      </c>
      <c r="I136" s="72">
        <f>I15</f>
        <v>1002.3010410000001</v>
      </c>
      <c r="K136" s="44" t="s">
        <v>152</v>
      </c>
    </row>
    <row r="137" spans="1:19" x14ac:dyDescent="0.2">
      <c r="F137" s="107"/>
    </row>
    <row r="138" spans="1:19" x14ac:dyDescent="0.2">
      <c r="C138" s="67" t="s">
        <v>88</v>
      </c>
    </row>
    <row r="139" spans="1:19" x14ac:dyDescent="0.2">
      <c r="A139" s="70">
        <f>A136+1</f>
        <v>112</v>
      </c>
      <c r="D139" s="64" t="s">
        <v>60</v>
      </c>
      <c r="F139" s="79">
        <f>5408528.26266561/1000</f>
        <v>5408.5282626656099</v>
      </c>
      <c r="I139" s="78">
        <f>F139*I$146/F$146</f>
        <v>4054.8214170386291</v>
      </c>
      <c r="K139" s="76" t="s">
        <v>153</v>
      </c>
    </row>
    <row r="140" spans="1:19" x14ac:dyDescent="0.2">
      <c r="A140" s="70">
        <f>A139+1</f>
        <v>113</v>
      </c>
      <c r="D140" s="64" t="s">
        <v>56</v>
      </c>
      <c r="F140" s="79">
        <f>3665147.85995661/1000</f>
        <v>3665.1478599566099</v>
      </c>
      <c r="I140" s="78">
        <f>F140*I$146/F$146</f>
        <v>2747.793728240742</v>
      </c>
      <c r="K140" s="76" t="s">
        <v>153</v>
      </c>
    </row>
    <row r="141" spans="1:19" x14ac:dyDescent="0.2">
      <c r="A141" s="70"/>
      <c r="F141" s="73"/>
      <c r="K141" s="76"/>
    </row>
    <row r="142" spans="1:19" x14ac:dyDescent="0.2">
      <c r="A142" s="70">
        <f>A140+1</f>
        <v>114</v>
      </c>
      <c r="D142" s="64" t="s">
        <v>4</v>
      </c>
      <c r="F142" s="79">
        <f>154648.190990509/1000</f>
        <v>154.64819099050899</v>
      </c>
      <c r="I142" s="78">
        <f>F142*I$146/F$146</f>
        <v>115.94111493568168</v>
      </c>
      <c r="J142" s="34"/>
      <c r="K142" s="76" t="s">
        <v>154</v>
      </c>
      <c r="Q142" s="35"/>
    </row>
    <row r="143" spans="1:19" x14ac:dyDescent="0.2">
      <c r="A143" s="70">
        <f>A142+1</f>
        <v>115</v>
      </c>
      <c r="D143" s="64" t="s">
        <v>57</v>
      </c>
      <c r="F143" s="79">
        <f>F140*0.08069</f>
        <v>295.74078081989882</v>
      </c>
      <c r="I143" s="78">
        <f>F143*I$146/F$146</f>
        <v>221.71947593174545</v>
      </c>
      <c r="J143" s="34"/>
      <c r="K143" s="76" t="s">
        <v>155</v>
      </c>
      <c r="Q143" s="35"/>
    </row>
    <row r="144" spans="1:19" x14ac:dyDescent="0.2">
      <c r="A144" s="70">
        <f>A143+1</f>
        <v>116</v>
      </c>
      <c r="D144" s="64" t="s">
        <v>18</v>
      </c>
      <c r="F144" s="79">
        <f>F140*0.024457</f>
        <v>89.6385212109588</v>
      </c>
      <c r="I144" s="78">
        <f>F144*I$146/F$146</f>
        <v>67.202791211583815</v>
      </c>
      <c r="J144" s="34"/>
      <c r="K144" s="76" t="s">
        <v>156</v>
      </c>
      <c r="Q144" s="35"/>
    </row>
    <row r="145" spans="1:11" x14ac:dyDescent="0.2">
      <c r="A145" s="70">
        <f>A144+1</f>
        <v>117</v>
      </c>
      <c r="D145" s="75" t="s">
        <v>19</v>
      </c>
      <c r="F145" s="73">
        <f>F146-SUM(F142:F144)</f>
        <v>167.47250697863342</v>
      </c>
      <c r="I145" s="78">
        <f>F145*I$146/F$146</f>
        <v>125.55561792098906</v>
      </c>
      <c r="J145" s="34"/>
      <c r="K145" s="76"/>
    </row>
    <row r="146" spans="1:11" x14ac:dyDescent="0.2">
      <c r="A146" s="70">
        <f>A145+1</f>
        <v>118</v>
      </c>
      <c r="D146" s="64" t="s">
        <v>45</v>
      </c>
      <c r="F146" s="77">
        <v>707.5</v>
      </c>
      <c r="I146" s="72">
        <f>I16</f>
        <v>530.41899999999998</v>
      </c>
      <c r="K146" s="76" t="s">
        <v>157</v>
      </c>
    </row>
    <row r="147" spans="1:11" x14ac:dyDescent="0.2">
      <c r="F147" s="107"/>
    </row>
    <row r="148" spans="1:11" x14ac:dyDescent="0.2">
      <c r="C148" s="67" t="s">
        <v>97</v>
      </c>
    </row>
    <row r="149" spans="1:11" x14ac:dyDescent="0.2">
      <c r="A149" s="70">
        <f>A146+1</f>
        <v>119</v>
      </c>
      <c r="D149" s="64" t="s">
        <v>60</v>
      </c>
      <c r="F149" s="79">
        <v>151.58952600000001</v>
      </c>
      <c r="I149" s="78">
        <f>F149*I$156/F$156</f>
        <v>151.58952600000001</v>
      </c>
      <c r="K149" s="76" t="s">
        <v>102</v>
      </c>
    </row>
    <row r="150" spans="1:11" x14ac:dyDescent="0.2">
      <c r="A150" s="70">
        <f>A149+1</f>
        <v>120</v>
      </c>
      <c r="D150" s="64" t="s">
        <v>56</v>
      </c>
      <c r="F150" s="79">
        <v>104.850024</v>
      </c>
      <c r="I150" s="78">
        <f>F150*I$156/F$156</f>
        <v>104.850024</v>
      </c>
      <c r="K150" s="76" t="s">
        <v>103</v>
      </c>
    </row>
    <row r="151" spans="1:11" x14ac:dyDescent="0.2">
      <c r="A151" s="70"/>
      <c r="K151" s="76"/>
    </row>
    <row r="152" spans="1:11" x14ac:dyDescent="0.2">
      <c r="A152" s="70">
        <f>A150+1</f>
        <v>121</v>
      </c>
      <c r="D152" s="64" t="s">
        <v>4</v>
      </c>
      <c r="F152" s="79">
        <v>5.0468780000000004</v>
      </c>
      <c r="I152" s="78">
        <f>F152*I$156/F$156</f>
        <v>5.0468780000000004</v>
      </c>
      <c r="J152" s="34"/>
      <c r="K152" s="76" t="s">
        <v>104</v>
      </c>
    </row>
    <row r="153" spans="1:11" x14ac:dyDescent="0.2">
      <c r="A153" s="70">
        <f>A152+1</f>
        <v>122</v>
      </c>
      <c r="D153" s="64" t="s">
        <v>57</v>
      </c>
      <c r="F153" s="79">
        <v>11.568531999999999</v>
      </c>
      <c r="I153" s="78">
        <f>F153*I$156/F$156</f>
        <v>11.568531999999999</v>
      </c>
      <c r="J153" s="34"/>
      <c r="K153" s="76" t="s">
        <v>99</v>
      </c>
    </row>
    <row r="154" spans="1:11" x14ac:dyDescent="0.2">
      <c r="A154" s="70">
        <f>A153+1</f>
        <v>123</v>
      </c>
      <c r="D154" s="64" t="s">
        <v>18</v>
      </c>
      <c r="F154" s="79">
        <v>4.9840739999999997</v>
      </c>
      <c r="I154" s="78">
        <f>F154*I$156/F$156</f>
        <v>4.9840739999999997</v>
      </c>
      <c r="J154" s="34"/>
      <c r="K154" s="76" t="s">
        <v>100</v>
      </c>
    </row>
    <row r="155" spans="1:11" x14ac:dyDescent="0.2">
      <c r="A155" s="70">
        <f>A154+1</f>
        <v>124</v>
      </c>
      <c r="D155" s="75" t="s">
        <v>19</v>
      </c>
      <c r="F155" s="73">
        <f>F156-SUM(F152:F154)</f>
        <v>3.9716060000000013</v>
      </c>
      <c r="I155" s="78">
        <f>F155*I$156/F$156</f>
        <v>3.9716060000000009</v>
      </c>
      <c r="J155" s="34"/>
      <c r="K155" s="76"/>
    </row>
    <row r="156" spans="1:11" x14ac:dyDescent="0.2">
      <c r="A156" s="70">
        <f>A155+1</f>
        <v>125</v>
      </c>
      <c r="D156" s="64" t="s">
        <v>45</v>
      </c>
      <c r="F156" s="77">
        <v>25.571090000000002</v>
      </c>
      <c r="I156" s="72">
        <f>I23</f>
        <v>25.571090000000002</v>
      </c>
      <c r="K156" s="76" t="s">
        <v>101</v>
      </c>
    </row>
    <row r="157" spans="1:11" x14ac:dyDescent="0.2">
      <c r="F157" s="107"/>
    </row>
    <row r="158" spans="1:11" x14ac:dyDescent="0.2">
      <c r="C158" s="67" t="s">
        <v>89</v>
      </c>
    </row>
    <row r="159" spans="1:11" x14ac:dyDescent="0.2">
      <c r="A159" s="70">
        <f>A156+1</f>
        <v>126</v>
      </c>
      <c r="D159" s="64" t="s">
        <v>60</v>
      </c>
      <c r="F159" s="79">
        <v>603.26700000000005</v>
      </c>
      <c r="I159" s="78">
        <f>F159*I$166/F$166</f>
        <v>489.92787267545873</v>
      </c>
      <c r="K159" s="76" t="s">
        <v>106</v>
      </c>
    </row>
    <row r="160" spans="1:11" x14ac:dyDescent="0.2">
      <c r="A160" s="70">
        <f>A159+1</f>
        <v>127</v>
      </c>
      <c r="D160" s="64" t="s">
        <v>56</v>
      </c>
      <c r="F160" s="79">
        <v>476.38299999999998</v>
      </c>
      <c r="I160" s="78">
        <f>F160*I$166/F$166</f>
        <v>386.88227562381672</v>
      </c>
      <c r="K160" s="76" t="s">
        <v>118</v>
      </c>
    </row>
    <row r="161" spans="1:23" x14ac:dyDescent="0.2">
      <c r="A161" s="70"/>
      <c r="F161" s="73"/>
      <c r="K161" s="76"/>
    </row>
    <row r="162" spans="1:23" x14ac:dyDescent="0.2">
      <c r="A162" s="70">
        <f>A160+1</f>
        <v>128</v>
      </c>
      <c r="D162" s="64" t="s">
        <v>4</v>
      </c>
      <c r="F162" s="79">
        <v>25.492000000000001</v>
      </c>
      <c r="I162" s="78">
        <f>F162*I$166/F$166</f>
        <v>20.702676145459296</v>
      </c>
      <c r="J162" s="34"/>
      <c r="K162" s="76" t="s">
        <v>117</v>
      </c>
      <c r="R162" s="33"/>
    </row>
    <row r="163" spans="1:23" x14ac:dyDescent="0.2">
      <c r="A163" s="70">
        <f>A162+1</f>
        <v>129</v>
      </c>
      <c r="D163" s="64" t="s">
        <v>57</v>
      </c>
      <c r="F163" s="79">
        <v>44.17</v>
      </c>
      <c r="I163" s="78">
        <f>F163*I$166/F$166</f>
        <v>35.871536377880794</v>
      </c>
      <c r="J163" s="34"/>
      <c r="K163" s="76" t="s">
        <v>116</v>
      </c>
      <c r="R163" s="33"/>
    </row>
    <row r="164" spans="1:23" x14ac:dyDescent="0.2">
      <c r="A164" s="70">
        <f>A163+1</f>
        <v>130</v>
      </c>
      <c r="D164" s="64" t="s">
        <v>18</v>
      </c>
      <c r="F164" s="79">
        <v>28.119</v>
      </c>
      <c r="I164" s="78">
        <f>F164*I$166/F$166</f>
        <v>22.836127041196058</v>
      </c>
      <c r="J164" s="34"/>
      <c r="K164" s="76" t="s">
        <v>115</v>
      </c>
      <c r="R164" s="33"/>
    </row>
    <row r="165" spans="1:23" x14ac:dyDescent="0.2">
      <c r="A165" s="70">
        <f>A164+1</f>
        <v>131</v>
      </c>
      <c r="D165" s="75" t="s">
        <v>19</v>
      </c>
      <c r="F165" s="73">
        <f>F166-SUM(F162:F164)</f>
        <v>55.388999999999982</v>
      </c>
      <c r="I165" s="78">
        <f>F165*I$166/F$166</f>
        <v>44.982760435463852</v>
      </c>
      <c r="J165" s="34"/>
      <c r="K165" s="76"/>
    </row>
    <row r="166" spans="1:23" x14ac:dyDescent="0.2">
      <c r="A166" s="70">
        <f>A165+1</f>
        <v>132</v>
      </c>
      <c r="D166" s="64" t="s">
        <v>45</v>
      </c>
      <c r="F166" s="77">
        <v>153.16999999999999</v>
      </c>
      <c r="I166" s="72">
        <f>I25</f>
        <v>124.3931</v>
      </c>
      <c r="K166" s="76" t="s">
        <v>114</v>
      </c>
    </row>
    <row r="168" spans="1:23" x14ac:dyDescent="0.2">
      <c r="C168" s="67" t="s">
        <v>63</v>
      </c>
    </row>
    <row r="169" spans="1:23" x14ac:dyDescent="0.2">
      <c r="A169" s="70">
        <f>A166+1</f>
        <v>133</v>
      </c>
      <c r="D169" s="64" t="s">
        <v>60</v>
      </c>
      <c r="I169" s="73">
        <f>I119+I129+I139+I149+I159</f>
        <v>17803.651824301582</v>
      </c>
      <c r="J169" s="73">
        <f>I169*(
1+J7)</f>
        <v>18159.724860787614</v>
      </c>
      <c r="K169" s="73">
        <f t="shared" ref="K169:W169" si="21">J169*(1+K7)</f>
        <v>18522.919358003368</v>
      </c>
      <c r="L169" s="73">
        <f t="shared" si="21"/>
        <v>18893.377745163434</v>
      </c>
      <c r="M169" s="73">
        <f t="shared" si="21"/>
        <v>19271.245300066705</v>
      </c>
      <c r="N169" s="73">
        <f t="shared" si="21"/>
        <v>19656.67020606804</v>
      </c>
      <c r="O169" s="73">
        <f t="shared" si="21"/>
        <v>20049.803610189399</v>
      </c>
      <c r="P169" s="73">
        <f t="shared" si="21"/>
        <v>20450.799682393186</v>
      </c>
      <c r="Q169" s="73">
        <f t="shared" si="21"/>
        <v>20859.815676041049</v>
      </c>
      <c r="R169" s="73">
        <f t="shared" si="21"/>
        <v>21277.01198956187</v>
      </c>
      <c r="S169" s="73">
        <f t="shared" si="21"/>
        <v>21702.552229353107</v>
      </c>
      <c r="T169" s="73">
        <f t="shared" si="21"/>
        <v>22136.603273940171</v>
      </c>
      <c r="U169" s="73">
        <f t="shared" si="21"/>
        <v>22579.335339418976</v>
      </c>
      <c r="V169" s="73">
        <f t="shared" si="21"/>
        <v>23030.922046207357</v>
      </c>
      <c r="W169" s="73">
        <f t="shared" si="21"/>
        <v>23491.540487131504</v>
      </c>
    </row>
    <row r="170" spans="1:23" x14ac:dyDescent="0.2">
      <c r="A170" s="70">
        <f>A169+1</f>
        <v>134</v>
      </c>
      <c r="D170" s="64" t="s">
        <v>56</v>
      </c>
      <c r="I170" s="73">
        <f>I120+I130+I140+I150+I160</f>
        <v>11445.847256496794</v>
      </c>
      <c r="J170" s="73">
        <f t="shared" ref="J170:W170" si="22">I170+(J169-I169)-J172</f>
        <v>11253.655969716157</v>
      </c>
      <c r="K170" s="73">
        <f t="shared" si="22"/>
        <v>11057.620857199909</v>
      </c>
      <c r="L170" s="73">
        <f t="shared" si="22"/>
        <v>10857.665042433331</v>
      </c>
      <c r="M170" s="73">
        <f t="shared" si="22"/>
        <v>10653.710111371425</v>
      </c>
      <c r="N170" s="73">
        <f t="shared" si="22"/>
        <v>10445.676081688282</v>
      </c>
      <c r="O170" s="73">
        <f t="shared" si="22"/>
        <v>10233.481371411472</v>
      </c>
      <c r="P170" s="73">
        <f t="shared" si="22"/>
        <v>10017.042766929126</v>
      </c>
      <c r="Q170" s="73">
        <f t="shared" si="22"/>
        <v>9796.2753903571338</v>
      </c>
      <c r="R170" s="73">
        <f t="shared" si="22"/>
        <v>9571.0926662537022</v>
      </c>
      <c r="S170" s="73">
        <f t="shared" si="22"/>
        <v>9341.4062876682019</v>
      </c>
      <c r="T170" s="73">
        <f t="shared" si="22"/>
        <v>9107.1261815109938</v>
      </c>
      <c r="U170" s="73">
        <f t="shared" si="22"/>
        <v>8868.1604732306423</v>
      </c>
      <c r="V170" s="73">
        <f t="shared" si="22"/>
        <v>8624.4154507846833</v>
      </c>
      <c r="W170" s="73">
        <f t="shared" si="22"/>
        <v>8375.7955278898025</v>
      </c>
    </row>
    <row r="171" spans="1:23" x14ac:dyDescent="0.2">
      <c r="A171" s="70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</row>
    <row r="172" spans="1:23" x14ac:dyDescent="0.2">
      <c r="A172" s="70">
        <f>A170+1</f>
        <v>135</v>
      </c>
      <c r="D172" s="64" t="s">
        <v>4</v>
      </c>
      <c r="F172" s="37">
        <f>I172/I169</f>
        <v>3.0191224122042695E-2</v>
      </c>
      <c r="I172" s="73">
        <f>I122+I132+I142+I152+I162</f>
        <v>537.51404241830335</v>
      </c>
      <c r="J172" s="73">
        <f t="shared" ref="J172:W172" si="23">$F172*J169</f>
        <v>548.26432326666941</v>
      </c>
      <c r="K172" s="73">
        <f t="shared" si="23"/>
        <v>559.22960973200281</v>
      </c>
      <c r="L172" s="73">
        <f t="shared" si="23"/>
        <v>570.41420192664293</v>
      </c>
      <c r="M172" s="73">
        <f t="shared" si="23"/>
        <v>581.82248596517582</v>
      </c>
      <c r="N172" s="73">
        <f t="shared" si="23"/>
        <v>593.45893568447934</v>
      </c>
      <c r="O172" s="73">
        <f t="shared" si="23"/>
        <v>605.32811439816885</v>
      </c>
      <c r="P172" s="73">
        <f t="shared" si="23"/>
        <v>617.43467668613221</v>
      </c>
      <c r="Q172" s="73">
        <f t="shared" si="23"/>
        <v>629.78337021985487</v>
      </c>
      <c r="R172" s="73">
        <f t="shared" si="23"/>
        <v>642.37903762425196</v>
      </c>
      <c r="S172" s="73">
        <f t="shared" si="23"/>
        <v>655.22661837673695</v>
      </c>
      <c r="T172" s="73">
        <f t="shared" si="23"/>
        <v>668.33115074427178</v>
      </c>
      <c r="U172" s="73">
        <f t="shared" si="23"/>
        <v>681.69777375915726</v>
      </c>
      <c r="V172" s="73">
        <f t="shared" si="23"/>
        <v>695.3317292343404</v>
      </c>
      <c r="W172" s="73">
        <f t="shared" si="23"/>
        <v>709.2383638190272</v>
      </c>
    </row>
    <row r="173" spans="1:23" x14ac:dyDescent="0.2">
      <c r="A173" s="70">
        <f t="shared" ref="A173:A178" si="24">A172+1</f>
        <v>136</v>
      </c>
      <c r="D173" s="64" t="s">
        <v>57</v>
      </c>
      <c r="F173" s="37">
        <f>I173/I170</f>
        <v>8.236614344166536E-2</v>
      </c>
      <c r="I173" s="73">
        <f>I123+I133+I143+I153+I163</f>
        <v>942.75029694000693</v>
      </c>
      <c r="J173" s="73">
        <f>$F173*J170</f>
        <v>926.92024184479476</v>
      </c>
      <c r="K173" s="73">
        <f t="shared" ref="K173:W173" si="25">$F173*K170</f>
        <v>910.77358564767837</v>
      </c>
      <c r="L173" s="73">
        <f t="shared" si="25"/>
        <v>894.30399632661931</v>
      </c>
      <c r="M173" s="73">
        <f t="shared" si="25"/>
        <v>877.50501521913941</v>
      </c>
      <c r="N173" s="73">
        <f t="shared" si="25"/>
        <v>860.37005448950993</v>
      </c>
      <c r="O173" s="73">
        <f t="shared" si="25"/>
        <v>842.89239454528763</v>
      </c>
      <c r="P173" s="73">
        <f t="shared" si="25"/>
        <v>825.06518140218088</v>
      </c>
      <c r="Q173" s="73">
        <f t="shared" si="25"/>
        <v>806.88142399621199</v>
      </c>
      <c r="R173" s="73">
        <f t="shared" si="25"/>
        <v>788.33399144212376</v>
      </c>
      <c r="S173" s="73">
        <f t="shared" si="25"/>
        <v>769.41561023695385</v>
      </c>
      <c r="T173" s="73">
        <f t="shared" si="25"/>
        <v>750.11886140768058</v>
      </c>
      <c r="U173" s="73">
        <f t="shared" si="25"/>
        <v>730.43617760182201</v>
      </c>
      <c r="V173" s="73">
        <f t="shared" si="25"/>
        <v>710.35984011984624</v>
      </c>
      <c r="W173" s="73">
        <f t="shared" si="25"/>
        <v>689.88197588823073</v>
      </c>
    </row>
    <row r="174" spans="1:23" x14ac:dyDescent="0.2">
      <c r="A174" s="70">
        <f t="shared" si="24"/>
        <v>137</v>
      </c>
      <c r="D174" s="64" t="s">
        <v>18</v>
      </c>
      <c r="F174" s="37">
        <f>I174/I170</f>
        <v>2.8366192505159964E-2</v>
      </c>
      <c r="I174" s="73">
        <f>I124+I134+I144+I154+I164</f>
        <v>324.6751066624451</v>
      </c>
      <c r="J174" s="73">
        <f t="shared" ref="J174:W174" si="26">$F174*J170</f>
        <v>319.22337162381115</v>
      </c>
      <c r="K174" s="73">
        <f t="shared" si="26"/>
        <v>313.66260188440452</v>
      </c>
      <c r="L174" s="73">
        <f t="shared" si="26"/>
        <v>307.99061675020971</v>
      </c>
      <c r="M174" s="73">
        <f t="shared" si="26"/>
        <v>302.20519191333108</v>
      </c>
      <c r="N174" s="73">
        <f t="shared" si="26"/>
        <v>296.30405857971482</v>
      </c>
      <c r="O174" s="73">
        <f t="shared" si="26"/>
        <v>290.28490257942622</v>
      </c>
      <c r="P174" s="73">
        <f t="shared" si="26"/>
        <v>284.14536345913177</v>
      </c>
      <c r="Q174" s="73">
        <f t="shared" si="26"/>
        <v>277.88303355643154</v>
      </c>
      <c r="R174" s="73">
        <f t="shared" si="26"/>
        <v>271.49545705567726</v>
      </c>
      <c r="S174" s="73">
        <f t="shared" si="26"/>
        <v>264.98012902490791</v>
      </c>
      <c r="T174" s="73">
        <f t="shared" si="26"/>
        <v>258.33449443352322</v>
      </c>
      <c r="U174" s="73">
        <f t="shared" si="26"/>
        <v>251.55594715031089</v>
      </c>
      <c r="V174" s="73">
        <f t="shared" si="26"/>
        <v>244.64182892143427</v>
      </c>
      <c r="W174" s="73">
        <f t="shared" si="26"/>
        <v>237.58942832798007</v>
      </c>
    </row>
    <row r="175" spans="1:23" x14ac:dyDescent="0.2">
      <c r="A175" s="70">
        <f t="shared" si="24"/>
        <v>138</v>
      </c>
      <c r="D175" s="75" t="s">
        <v>19</v>
      </c>
      <c r="F175" s="34"/>
      <c r="I175" s="73">
        <f>I125+I135+I145+I155+I165</f>
        <v>612.90078497924469</v>
      </c>
      <c r="J175" s="73">
        <f>I175*(1+J8)</f>
        <v>625.15880067882961</v>
      </c>
      <c r="K175" s="73">
        <f t="shared" ref="K175:W175" si="27">J175*(1+K8)</f>
        <v>637.66197669240626</v>
      </c>
      <c r="L175" s="73">
        <f t="shared" si="27"/>
        <v>650.41521622625442</v>
      </c>
      <c r="M175" s="73">
        <f t="shared" si="27"/>
        <v>663.42352055077947</v>
      </c>
      <c r="N175" s="73">
        <f t="shared" si="27"/>
        <v>676.69199096179511</v>
      </c>
      <c r="O175" s="73">
        <f t="shared" si="27"/>
        <v>690.22583078103105</v>
      </c>
      <c r="P175" s="73">
        <f t="shared" si="27"/>
        <v>704.03034739665168</v>
      </c>
      <c r="Q175" s="73">
        <f t="shared" si="27"/>
        <v>718.11095434458468</v>
      </c>
      <c r="R175" s="73">
        <f t="shared" si="27"/>
        <v>732.47317343147643</v>
      </c>
      <c r="S175" s="73">
        <f t="shared" si="27"/>
        <v>747.12263690010593</v>
      </c>
      <c r="T175" s="73">
        <f t="shared" si="27"/>
        <v>762.06508963810802</v>
      </c>
      <c r="U175" s="73">
        <f t="shared" si="27"/>
        <v>777.30639143087024</v>
      </c>
      <c r="V175" s="73">
        <f t="shared" si="27"/>
        <v>792.85251925948762</v>
      </c>
      <c r="W175" s="73">
        <f t="shared" si="27"/>
        <v>808.70956964467734</v>
      </c>
    </row>
    <row r="176" spans="1:23" x14ac:dyDescent="0.2">
      <c r="A176" s="70">
        <f t="shared" si="24"/>
        <v>139</v>
      </c>
      <c r="D176" s="64" t="s">
        <v>58</v>
      </c>
      <c r="I176" s="74">
        <f>I126+I136+I146+I156+I166</f>
        <v>2417.8402310000001</v>
      </c>
      <c r="J176" s="74">
        <f t="shared" ref="J176:W176" si="28">SUM(J172:J175)</f>
        <v>2419.5667374141049</v>
      </c>
      <c r="K176" s="74">
        <f t="shared" si="28"/>
        <v>2421.3277739564919</v>
      </c>
      <c r="L176" s="74">
        <f t="shared" si="28"/>
        <v>2423.1240312297264</v>
      </c>
      <c r="M176" s="74">
        <f t="shared" si="28"/>
        <v>2424.9562136484255</v>
      </c>
      <c r="N176" s="74">
        <f t="shared" si="28"/>
        <v>2426.8250397154993</v>
      </c>
      <c r="O176" s="74">
        <f t="shared" si="28"/>
        <v>2428.7312423039139</v>
      </c>
      <c r="P176" s="74">
        <f t="shared" si="28"/>
        <v>2430.6755689440961</v>
      </c>
      <c r="Q176" s="74">
        <f t="shared" si="28"/>
        <v>2432.6587821170829</v>
      </c>
      <c r="R176" s="74">
        <f t="shared" si="28"/>
        <v>2434.6816595535292</v>
      </c>
      <c r="S176" s="74">
        <f t="shared" si="28"/>
        <v>2436.7449945387048</v>
      </c>
      <c r="T176" s="74">
        <f t="shared" si="28"/>
        <v>2438.8495962235834</v>
      </c>
      <c r="U176" s="74">
        <f t="shared" si="28"/>
        <v>2440.9962899421603</v>
      </c>
      <c r="V176" s="74">
        <f t="shared" si="28"/>
        <v>2443.1859175351087</v>
      </c>
      <c r="W176" s="74">
        <f t="shared" si="28"/>
        <v>2445.4193376799153</v>
      </c>
    </row>
    <row r="177" spans="1:23" x14ac:dyDescent="0.2">
      <c r="A177" s="70">
        <f t="shared" si="24"/>
        <v>140</v>
      </c>
      <c r="D177" s="64" t="s">
        <v>59</v>
      </c>
      <c r="I177" s="73">
        <f>I17+I18+I19+I20+I21+I22+I24+I26+I27+I28</f>
        <v>122.53463000000001</v>
      </c>
      <c r="J177" s="73">
        <f t="shared" ref="J177:W177" si="29">I177*(1+J8)</f>
        <v>124.9853226</v>
      </c>
      <c r="K177" s="73">
        <f t="shared" si="29"/>
        <v>127.485029052</v>
      </c>
      <c r="L177" s="73">
        <f t="shared" si="29"/>
        <v>130.03472963304</v>
      </c>
      <c r="M177" s="73">
        <f t="shared" si="29"/>
        <v>132.6354242257008</v>
      </c>
      <c r="N177" s="73">
        <f t="shared" si="29"/>
        <v>135.28813271021482</v>
      </c>
      <c r="O177" s="73">
        <f t="shared" si="29"/>
        <v>137.99389536441913</v>
      </c>
      <c r="P177" s="73">
        <f t="shared" si="29"/>
        <v>140.75377327170753</v>
      </c>
      <c r="Q177" s="73">
        <f t="shared" si="29"/>
        <v>143.56884873714168</v>
      </c>
      <c r="R177" s="73">
        <f t="shared" si="29"/>
        <v>146.44022571188452</v>
      </c>
      <c r="S177" s="73">
        <f t="shared" si="29"/>
        <v>149.36903022612222</v>
      </c>
      <c r="T177" s="73">
        <f t="shared" si="29"/>
        <v>152.35641083064468</v>
      </c>
      <c r="U177" s="73">
        <f t="shared" si="29"/>
        <v>155.40353904725757</v>
      </c>
      <c r="V177" s="73">
        <f t="shared" si="29"/>
        <v>158.51160982820272</v>
      </c>
      <c r="W177" s="73">
        <f t="shared" si="29"/>
        <v>161.68184202476678</v>
      </c>
    </row>
    <row r="178" spans="1:23" x14ac:dyDescent="0.2">
      <c r="A178" s="70">
        <f t="shared" si="24"/>
        <v>141</v>
      </c>
      <c r="D178" s="64" t="s">
        <v>5</v>
      </c>
      <c r="I178" s="72">
        <f t="shared" ref="I178:W178" si="30">SUM(I176:I177)</f>
        <v>2540.3748610000002</v>
      </c>
      <c r="J178" s="72">
        <f t="shared" si="30"/>
        <v>2544.5520600141049</v>
      </c>
      <c r="K178" s="72">
        <f t="shared" si="30"/>
        <v>2548.8128030084918</v>
      </c>
      <c r="L178" s="72">
        <f t="shared" si="30"/>
        <v>2553.1587608627665</v>
      </c>
      <c r="M178" s="72">
        <f t="shared" si="30"/>
        <v>2557.5916378741263</v>
      </c>
      <c r="N178" s="72">
        <f t="shared" si="30"/>
        <v>2562.1131724257143</v>
      </c>
      <c r="O178" s="72">
        <f t="shared" si="30"/>
        <v>2566.725137668333</v>
      </c>
      <c r="P178" s="72">
        <f t="shared" si="30"/>
        <v>2571.4293422158034</v>
      </c>
      <c r="Q178" s="72">
        <f t="shared" si="30"/>
        <v>2576.2276308542246</v>
      </c>
      <c r="R178" s="72">
        <f t="shared" si="30"/>
        <v>2581.1218852654138</v>
      </c>
      <c r="S178" s="72">
        <f t="shared" si="30"/>
        <v>2586.1140247648268</v>
      </c>
      <c r="T178" s="72">
        <f t="shared" si="30"/>
        <v>2591.2060070542279</v>
      </c>
      <c r="U178" s="72">
        <f t="shared" si="30"/>
        <v>2596.399828989418</v>
      </c>
      <c r="V178" s="72">
        <f t="shared" si="30"/>
        <v>2601.6975273633116</v>
      </c>
      <c r="W178" s="72">
        <f t="shared" si="30"/>
        <v>2607.1011797046822</v>
      </c>
    </row>
    <row r="180" spans="1:23" x14ac:dyDescent="0.2">
      <c r="C180" s="67" t="s">
        <v>86</v>
      </c>
      <c r="F180" s="66" t="s">
        <v>121</v>
      </c>
      <c r="J180" s="65"/>
      <c r="K180" s="65"/>
      <c r="L180" s="65"/>
      <c r="M180" s="65"/>
      <c r="N180" s="65"/>
      <c r="O180" s="65"/>
    </row>
    <row r="181" spans="1:23" x14ac:dyDescent="0.2">
      <c r="A181" s="70">
        <f>A178+1</f>
        <v>142</v>
      </c>
      <c r="D181" s="69" t="s">
        <v>126</v>
      </c>
      <c r="I181" s="68" t="s">
        <v>127</v>
      </c>
    </row>
    <row r="182" spans="1:23" x14ac:dyDescent="0.2">
      <c r="A182" s="70">
        <f>A181+1</f>
        <v>143</v>
      </c>
      <c r="D182" s="69" t="s">
        <v>128</v>
      </c>
      <c r="F182" s="105" t="s">
        <v>129</v>
      </c>
      <c r="I182" s="71" t="s">
        <v>130</v>
      </c>
      <c r="P182" s="63"/>
    </row>
    <row r="183" spans="1:23" x14ac:dyDescent="0.2">
      <c r="A183" s="70">
        <f>A182+1</f>
        <v>144</v>
      </c>
      <c r="D183" s="69" t="s">
        <v>131</v>
      </c>
      <c r="F183" s="105" t="s">
        <v>132</v>
      </c>
      <c r="I183" s="68" t="s">
        <v>133</v>
      </c>
      <c r="O183" s="64" t="s">
        <v>134</v>
      </c>
    </row>
    <row r="184" spans="1:23" x14ac:dyDescent="0.2">
      <c r="A184" s="70">
        <f>A183+1</f>
        <v>145</v>
      </c>
      <c r="D184" s="69" t="s">
        <v>135</v>
      </c>
      <c r="F184" s="105" t="s">
        <v>136</v>
      </c>
      <c r="I184" s="71" t="s">
        <v>137</v>
      </c>
    </row>
    <row r="185" spans="1:23" x14ac:dyDescent="0.2">
      <c r="A185" s="70">
        <f>A184+1</f>
        <v>146</v>
      </c>
      <c r="D185" s="69" t="s">
        <v>107</v>
      </c>
      <c r="F185" s="105" t="s">
        <v>123</v>
      </c>
      <c r="I185" s="71" t="s">
        <v>122</v>
      </c>
      <c r="O185" s="64" t="s">
        <v>138</v>
      </c>
    </row>
    <row r="186" spans="1:23" x14ac:dyDescent="0.2">
      <c r="A186" s="70">
        <f>A185+1</f>
        <v>147</v>
      </c>
      <c r="D186" s="69" t="s">
        <v>108</v>
      </c>
      <c r="F186" s="105" t="s">
        <v>139</v>
      </c>
      <c r="I186" s="68" t="s">
        <v>140</v>
      </c>
    </row>
  </sheetData>
  <hyperlinks>
    <hyperlink ref="I186" r:id="rId1" display="https://elibrary-backup.ferc.gov/idmws/common/OpenNat.asp?fileID=14358862 "/>
    <hyperlink ref="I181" r:id="rId2" display="http://www.caiso.com/Documents/HighVoltageAccessChargeRatesEffectiveJan01_2018_RevisedFeb15_2018.pdf"/>
  </hyperlinks>
  <pageMargins left="0.70866141732283505" right="0.70866141732283505" top="0.74803149606299202" bottom="0.74803149606299202" header="0.31496062992126" footer="0.31496062992126"/>
  <pageSetup paperSize="3" scale="47" orientation="portrait" r:id="rId3"/>
  <headerFooter>
    <oddHeader>&amp;L&amp;"Arial,Bold"California ISO&amp;R&amp;"Arial,Bold"Page &amp;P</oddHeader>
  </headerFooter>
  <rowBreaks count="2" manualBreakCount="2">
    <brk id="48" min="8" max="17" man="1"/>
    <brk id="147" min="8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116"/>
  <sheetViews>
    <sheetView zoomScaleNormal="100" workbookViewId="0">
      <selection activeCell="I61" sqref="I1:I1048576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66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2018</v>
      </c>
      <c r="I3" s="5">
        <f>Existing!I3</f>
        <v>2019</v>
      </c>
      <c r="J3" s="5">
        <f>Existing!J3</f>
        <v>2020</v>
      </c>
      <c r="K3" s="5">
        <f>Existing!K3</f>
        <v>2021</v>
      </c>
      <c r="L3" s="5">
        <f>Existing!L3</f>
        <v>2022</v>
      </c>
      <c r="M3" s="5">
        <f>Existing!M3</f>
        <v>2023</v>
      </c>
      <c r="N3" s="5">
        <f>Existing!N3</f>
        <v>2024</v>
      </c>
      <c r="O3" s="5">
        <f>Existing!O3</f>
        <v>2025</v>
      </c>
      <c r="P3" s="5">
        <f>Existing!P3</f>
        <v>2026</v>
      </c>
      <c r="Q3" s="5">
        <f>Existing!Q3</f>
        <v>2027</v>
      </c>
      <c r="R3" s="5">
        <f>Existing!R3</f>
        <v>2028</v>
      </c>
      <c r="S3" s="5">
        <f>Existing!S3</f>
        <v>2029</v>
      </c>
      <c r="T3" s="5">
        <f>Existing!T3</f>
        <v>2030</v>
      </c>
      <c r="U3" s="5">
        <f>Existing!U3</f>
        <v>2031</v>
      </c>
      <c r="V3" s="5">
        <f>Existing!V3</f>
        <v>2032</v>
      </c>
      <c r="W3" s="5">
        <f>Existing!W3</f>
        <v>2033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2019</v>
      </c>
      <c r="I7" s="10"/>
      <c r="J7" s="10"/>
      <c r="K7" s="10"/>
      <c r="L7" s="10"/>
      <c r="M7" s="10"/>
      <c r="N7" s="10"/>
      <c r="O7" s="10"/>
      <c r="P7" s="12"/>
      <c r="Q7" s="12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6">
        <v>0</v>
      </c>
      <c r="I8" s="46">
        <v>204.345</v>
      </c>
      <c r="J8" s="46">
        <v>475.78593886749996</v>
      </c>
      <c r="K8" s="46">
        <v>316.23944204049997</v>
      </c>
      <c r="L8" s="46">
        <v>486.09741391599999</v>
      </c>
      <c r="M8" s="46">
        <v>493.02364632342443</v>
      </c>
      <c r="N8" s="46">
        <v>734.78874631250005</v>
      </c>
      <c r="O8" s="46">
        <v>130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</row>
    <row r="9" spans="1:24" x14ac:dyDescent="0.2">
      <c r="A9" s="10"/>
      <c r="F9" s="30"/>
      <c r="P9" s="62"/>
      <c r="Q9" s="12"/>
      <c r="R9" s="12"/>
      <c r="S9" s="12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 t="shared" ref="H36:W36" si="10">H8</f>
        <v>0</v>
      </c>
      <c r="I36" s="12">
        <f t="shared" si="10"/>
        <v>204.345</v>
      </c>
      <c r="J36" s="12">
        <f t="shared" si="10"/>
        <v>475.78593886749996</v>
      </c>
      <c r="K36" s="12">
        <f t="shared" si="10"/>
        <v>316.23944204049997</v>
      </c>
      <c r="L36" s="12">
        <f t="shared" si="10"/>
        <v>486.09741391599999</v>
      </c>
      <c r="M36" s="12">
        <f t="shared" si="10"/>
        <v>493.02364632342443</v>
      </c>
      <c r="N36" s="12">
        <f t="shared" si="10"/>
        <v>734.78874631250005</v>
      </c>
      <c r="O36" s="12">
        <f t="shared" si="10"/>
        <v>130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>IF(I3&gt;=$F7,-SUM(I35:I37),0)</f>
        <v>-204.345</v>
      </c>
      <c r="J38" s="12">
        <f t="shared" ref="J38:W38" si="12">IF(J3&gt;=$F7,-SUM(J35:J37),0)</f>
        <v>-475.78593886749996</v>
      </c>
      <c r="K38" s="12">
        <f t="shared" si="12"/>
        <v>-316.23944204049997</v>
      </c>
      <c r="L38" s="12">
        <f t="shared" si="12"/>
        <v>-486.09741391599999</v>
      </c>
      <c r="M38" s="12">
        <f t="shared" si="12"/>
        <v>-493.02364632342443</v>
      </c>
      <c r="N38" s="12">
        <f t="shared" si="12"/>
        <v>-734.78874631250005</v>
      </c>
      <c r="O38" s="12">
        <f t="shared" si="12"/>
        <v>-130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204.345</v>
      </c>
      <c r="K43" s="12">
        <f t="shared" ref="K43:W43" si="15">J46</f>
        <v>680.13093886749994</v>
      </c>
      <c r="L43" s="12">
        <f t="shared" si="15"/>
        <v>996.3703809079999</v>
      </c>
      <c r="M43" s="12">
        <f t="shared" si="15"/>
        <v>1482.4677948239998</v>
      </c>
      <c r="N43" s="12">
        <f t="shared" si="15"/>
        <v>1975.4914411474242</v>
      </c>
      <c r="O43" s="12">
        <f t="shared" si="15"/>
        <v>2710.2801874599245</v>
      </c>
      <c r="P43" s="12">
        <f t="shared" si="15"/>
        <v>2840.2801874599245</v>
      </c>
      <c r="Q43" s="12">
        <f t="shared" si="15"/>
        <v>2840.2801874599245</v>
      </c>
      <c r="R43" s="12">
        <f t="shared" si="15"/>
        <v>2840.2801874599245</v>
      </c>
      <c r="S43" s="12">
        <f>R46</f>
        <v>2840.2801874599245</v>
      </c>
      <c r="T43" s="12">
        <f t="shared" si="15"/>
        <v>2840.2801874599245</v>
      </c>
      <c r="U43" s="12">
        <f t="shared" si="15"/>
        <v>2840.2801874599245</v>
      </c>
      <c r="V43" s="12">
        <f t="shared" si="15"/>
        <v>2840.2801874599245</v>
      </c>
      <c r="W43" s="12">
        <f t="shared" si="15"/>
        <v>2840.2801874599245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204.345</v>
      </c>
      <c r="J44" s="12">
        <f t="shared" ref="J44:W44" si="16">-J38</f>
        <v>475.78593886749996</v>
      </c>
      <c r="K44" s="12">
        <f t="shared" si="16"/>
        <v>316.23944204049997</v>
      </c>
      <c r="L44" s="12">
        <f t="shared" si="16"/>
        <v>486.09741391599999</v>
      </c>
      <c r="M44" s="12">
        <f t="shared" si="16"/>
        <v>493.02364632342443</v>
      </c>
      <c r="N44" s="12">
        <f t="shared" si="16"/>
        <v>734.78874631250005</v>
      </c>
      <c r="O44" s="12">
        <f t="shared" si="16"/>
        <v>130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204.345</v>
      </c>
      <c r="J46" s="20">
        <f>SUM(J43:J45)</f>
        <v>680.13093886749994</v>
      </c>
      <c r="K46" s="20">
        <f t="shared" ref="K46:W46" si="18">SUM(K43:K45)</f>
        <v>996.3703809079999</v>
      </c>
      <c r="L46" s="20">
        <f t="shared" si="18"/>
        <v>1482.4677948239998</v>
      </c>
      <c r="M46" s="20">
        <f t="shared" si="18"/>
        <v>1975.4914411474242</v>
      </c>
      <c r="N46" s="20">
        <f t="shared" si="18"/>
        <v>2710.2801874599245</v>
      </c>
      <c r="O46" s="20">
        <f t="shared" si="18"/>
        <v>2840.2801874599245</v>
      </c>
      <c r="P46" s="20">
        <f t="shared" si="18"/>
        <v>2840.2801874599245</v>
      </c>
      <c r="Q46" s="20">
        <f t="shared" si="18"/>
        <v>2840.2801874599245</v>
      </c>
      <c r="R46" s="20">
        <f t="shared" si="18"/>
        <v>2840.2801874599245</v>
      </c>
      <c r="S46" s="20">
        <f t="shared" si="18"/>
        <v>2840.2801874599245</v>
      </c>
      <c r="T46" s="20">
        <f t="shared" si="18"/>
        <v>2840.2801874599245</v>
      </c>
      <c r="U46" s="20">
        <f t="shared" si="18"/>
        <v>2840.2801874599245</v>
      </c>
      <c r="V46" s="20">
        <f t="shared" si="18"/>
        <v>2840.2801874599245</v>
      </c>
      <c r="W46" s="20">
        <f t="shared" si="18"/>
        <v>2840.2801874599245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102.1725</v>
      </c>
      <c r="J47" s="20">
        <f>(J43+J46)/2</f>
        <v>442.23796943374998</v>
      </c>
      <c r="K47" s="20">
        <f t="shared" ref="K47:W47" si="19">(K43+K46)/2</f>
        <v>838.25065988774986</v>
      </c>
      <c r="L47" s="20">
        <f t="shared" si="19"/>
        <v>1239.4190878659999</v>
      </c>
      <c r="M47" s="20">
        <f t="shared" si="19"/>
        <v>1728.9796179857121</v>
      </c>
      <c r="N47" s="20">
        <f t="shared" si="19"/>
        <v>2342.8858143036741</v>
      </c>
      <c r="O47" s="20">
        <f t="shared" si="19"/>
        <v>2775.2801874599245</v>
      </c>
      <c r="P47" s="20">
        <f t="shared" si="19"/>
        <v>2840.2801874599245</v>
      </c>
      <c r="Q47" s="20">
        <f t="shared" si="19"/>
        <v>2840.2801874599245</v>
      </c>
      <c r="R47" s="20">
        <f t="shared" si="19"/>
        <v>2840.2801874599245</v>
      </c>
      <c r="S47" s="20">
        <f t="shared" si="19"/>
        <v>2840.2801874599245</v>
      </c>
      <c r="T47" s="20">
        <f t="shared" si="19"/>
        <v>2840.2801874599245</v>
      </c>
      <c r="U47" s="20">
        <f t="shared" si="19"/>
        <v>2840.2801874599245</v>
      </c>
      <c r="V47" s="20">
        <f t="shared" si="19"/>
        <v>2840.2801874599245</v>
      </c>
      <c r="W47" s="20">
        <f t="shared" si="19"/>
        <v>2840.2801874599245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2.5543125</v>
      </c>
      <c r="K50" s="12">
        <f t="shared" ref="K50:W50" si="20">J53</f>
        <v>13.61026173584375</v>
      </c>
      <c r="L50" s="12">
        <f t="shared" si="20"/>
        <v>34.566528233037502</v>
      </c>
      <c r="M50" s="12">
        <f t="shared" si="20"/>
        <v>65.552005429687497</v>
      </c>
      <c r="N50" s="12">
        <f t="shared" si="20"/>
        <v>108.7764958793303</v>
      </c>
      <c r="O50" s="12">
        <f t="shared" si="20"/>
        <v>167.34864123692216</v>
      </c>
      <c r="P50" s="12">
        <f t="shared" si="20"/>
        <v>236.7306459234203</v>
      </c>
      <c r="Q50" s="12">
        <f t="shared" si="20"/>
        <v>307.73765060991843</v>
      </c>
      <c r="R50" s="12">
        <f t="shared" si="20"/>
        <v>378.74465529641657</v>
      </c>
      <c r="S50" s="12">
        <f>R53</f>
        <v>449.7516599829147</v>
      </c>
      <c r="T50" s="12">
        <f t="shared" si="20"/>
        <v>520.75866466941284</v>
      </c>
      <c r="U50" s="12">
        <f t="shared" si="20"/>
        <v>591.76566935591097</v>
      </c>
      <c r="V50" s="12">
        <f t="shared" si="20"/>
        <v>662.77267404240911</v>
      </c>
      <c r="W50" s="12">
        <f t="shared" si="20"/>
        <v>733.77967872890724</v>
      </c>
    </row>
    <row r="51" spans="1:23" s="8" customFormat="1" x14ac:dyDescent="0.2">
      <c r="A51" s="10">
        <f>A50+1</f>
        <v>31</v>
      </c>
      <c r="D51" s="13" t="s">
        <v>71</v>
      </c>
      <c r="E51" s="19"/>
      <c r="H51" s="12">
        <f>MAX(H13*(H43+0.5*H44),0)</f>
        <v>0</v>
      </c>
      <c r="I51" s="12">
        <f>MAX(I13*(I43+0.5*I44),0)</f>
        <v>2.5543125</v>
      </c>
      <c r="J51" s="12">
        <f t="shared" ref="J51:W51" si="21">MIN(J13*(J43+0.5*J44),J43+J44-I53)</f>
        <v>11.05594923584375</v>
      </c>
      <c r="K51" s="12">
        <f t="shared" si="21"/>
        <v>20.956266497193749</v>
      </c>
      <c r="L51" s="12">
        <f t="shared" si="21"/>
        <v>30.985477196649999</v>
      </c>
      <c r="M51" s="12">
        <f t="shared" si="21"/>
        <v>43.224490449642808</v>
      </c>
      <c r="N51" s="12">
        <f t="shared" si="21"/>
        <v>58.572145357591857</v>
      </c>
      <c r="O51" s="12">
        <f t="shared" si="21"/>
        <v>69.382004686498121</v>
      </c>
      <c r="P51" s="12">
        <f t="shared" si="21"/>
        <v>71.007004686498121</v>
      </c>
      <c r="Q51" s="12">
        <f t="shared" si="21"/>
        <v>71.007004686498121</v>
      </c>
      <c r="R51" s="12">
        <f t="shared" si="21"/>
        <v>71.007004686498121</v>
      </c>
      <c r="S51" s="12">
        <f>MIN(S13*(S43+0.5*S44),S43+S44-R53)</f>
        <v>71.007004686498121</v>
      </c>
      <c r="T51" s="12">
        <f t="shared" si="21"/>
        <v>71.007004686498121</v>
      </c>
      <c r="U51" s="12">
        <f t="shared" si="21"/>
        <v>71.007004686498121</v>
      </c>
      <c r="V51" s="12">
        <f t="shared" si="21"/>
        <v>71.007004686498121</v>
      </c>
      <c r="W51" s="12">
        <f t="shared" si="21"/>
        <v>71.007004686498121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2.5543125</v>
      </c>
      <c r="J53" s="20">
        <f>SUM(J50:J52)</f>
        <v>13.61026173584375</v>
      </c>
      <c r="K53" s="20">
        <f t="shared" ref="K53:W53" si="23">SUM(K50:K52)</f>
        <v>34.566528233037502</v>
      </c>
      <c r="L53" s="20">
        <f t="shared" si="23"/>
        <v>65.552005429687497</v>
      </c>
      <c r="M53" s="20">
        <f t="shared" si="23"/>
        <v>108.7764958793303</v>
      </c>
      <c r="N53" s="20">
        <f t="shared" si="23"/>
        <v>167.34864123692216</v>
      </c>
      <c r="O53" s="20">
        <f t="shared" si="23"/>
        <v>236.7306459234203</v>
      </c>
      <c r="P53" s="20">
        <f t="shared" si="23"/>
        <v>307.73765060991843</v>
      </c>
      <c r="Q53" s="20">
        <f t="shared" si="23"/>
        <v>378.74465529641657</v>
      </c>
      <c r="R53" s="20">
        <f t="shared" si="23"/>
        <v>449.7516599829147</v>
      </c>
      <c r="S53" s="20">
        <f t="shared" si="23"/>
        <v>520.75866466941284</v>
      </c>
      <c r="T53" s="20">
        <f t="shared" si="23"/>
        <v>591.76566935591097</v>
      </c>
      <c r="U53" s="20">
        <f t="shared" si="23"/>
        <v>662.77267404240911</v>
      </c>
      <c r="V53" s="20">
        <f t="shared" si="23"/>
        <v>733.77967872890724</v>
      </c>
      <c r="W53" s="20">
        <f t="shared" si="23"/>
        <v>804.78668341540538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1.27715625</v>
      </c>
      <c r="J54" s="20">
        <f>(J50+J53)/2</f>
        <v>8.0822871179218758</v>
      </c>
      <c r="K54" s="20">
        <f t="shared" ref="K54:W54" si="24">(K50+K53)/2</f>
        <v>24.088394984440626</v>
      </c>
      <c r="L54" s="20">
        <f t="shared" si="24"/>
        <v>50.0592668313625</v>
      </c>
      <c r="M54" s="20">
        <f t="shared" si="24"/>
        <v>87.164250654508891</v>
      </c>
      <c r="N54" s="20">
        <f t="shared" si="24"/>
        <v>138.06256855812623</v>
      </c>
      <c r="O54" s="20">
        <f t="shared" si="24"/>
        <v>202.03964358017123</v>
      </c>
      <c r="P54" s="20">
        <f t="shared" si="24"/>
        <v>272.23414826666937</v>
      </c>
      <c r="Q54" s="20">
        <f t="shared" si="24"/>
        <v>343.2411529531675</v>
      </c>
      <c r="R54" s="20">
        <f t="shared" si="24"/>
        <v>414.24815763966564</v>
      </c>
      <c r="S54" s="20">
        <f t="shared" si="24"/>
        <v>485.25516232616377</v>
      </c>
      <c r="T54" s="20">
        <f t="shared" si="24"/>
        <v>556.26216701266185</v>
      </c>
      <c r="U54" s="20">
        <f t="shared" si="24"/>
        <v>627.2691716991601</v>
      </c>
      <c r="V54" s="20">
        <f t="shared" si="24"/>
        <v>698.27617638565812</v>
      </c>
      <c r="W54" s="20">
        <f t="shared" si="24"/>
        <v>769.28318107215637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194.12774999999999</v>
      </c>
      <c r="K57" s="12">
        <f t="shared" ref="K57:W57" si="25">J60</f>
        <v>626.711616924125</v>
      </c>
      <c r="L57" s="12">
        <f t="shared" si="25"/>
        <v>864.46792517018753</v>
      </c>
      <c r="M57" s="12">
        <f t="shared" si="25"/>
        <v>1239.8136758733688</v>
      </c>
      <c r="N57" s="12">
        <f t="shared" si="25"/>
        <v>1584.204772293285</v>
      </c>
      <c r="O57" s="12">
        <f t="shared" si="25"/>
        <v>2123.8336040608315</v>
      </c>
      <c r="P57" s="12">
        <f t="shared" si="25"/>
        <v>2034.3469252594982</v>
      </c>
      <c r="Q57" s="12">
        <f t="shared" si="25"/>
        <v>1827.697543352589</v>
      </c>
      <c r="R57" s="12">
        <f t="shared" si="25"/>
        <v>1636.7633133147997</v>
      </c>
      <c r="S57" s="12">
        <f t="shared" si="25"/>
        <v>1457.6038605088493</v>
      </c>
      <c r="T57" s="12">
        <f t="shared" si="25"/>
        <v>1286.1509012372501</v>
      </c>
      <c r="U57" s="12">
        <f t="shared" si="25"/>
        <v>1118.008731447929</v>
      </c>
      <c r="V57" s="12">
        <f t="shared" si="25"/>
        <v>950.29302665860791</v>
      </c>
      <c r="W57" s="12">
        <f t="shared" si="25"/>
        <v>782.57732186928683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204.345</v>
      </c>
      <c r="J58" s="12">
        <f t="shared" ref="J58:W58" si="26">-J38</f>
        <v>475.78593886749996</v>
      </c>
      <c r="K58" s="12">
        <f t="shared" si="26"/>
        <v>316.23944204049997</v>
      </c>
      <c r="L58" s="12">
        <f t="shared" si="26"/>
        <v>486.09741391599999</v>
      </c>
      <c r="M58" s="12">
        <f t="shared" si="26"/>
        <v>493.02364632342443</v>
      </c>
      <c r="N58" s="12">
        <f t="shared" si="26"/>
        <v>734.78874631250005</v>
      </c>
      <c r="O58" s="12">
        <f t="shared" si="26"/>
        <v>130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H59" s="12">
        <f>-I23*H58</f>
        <v>0</v>
      </c>
      <c r="I59" s="12">
        <f>-I23*I58-H58*J23</f>
        <v>-10.21725</v>
      </c>
      <c r="J59" s="12">
        <f>-I23*J58-J23*I58-H58*K23</f>
        <v>-43.202071943375003</v>
      </c>
      <c r="K59" s="12">
        <f>-I23*K58-J23*J58-K23*I58-H58*L23</f>
        <v>-78.483133794437492</v>
      </c>
      <c r="L59" s="12">
        <f>-I23*L58-J23*K58-K23*J58-L23*I58-H58*M23</f>
        <v>-110.75166321281876</v>
      </c>
      <c r="M59" s="12">
        <f>-I23*M58-J23*L58-K23*K58-L23*J58-M23*I58-H58*N23</f>
        <v>-148.63254990350808</v>
      </c>
      <c r="N59" s="12">
        <f>-I23*N58-J23*M58-K23*L58-L23*K58-M23*J58-N23*I58-H58*O23</f>
        <v>-195.15991454495349</v>
      </c>
      <c r="O59" s="12">
        <f>-I23*O58-J23*N58-K23*M58-L23*L58-M23*K58-N23*J58-O23*I58-H58*P23</f>
        <v>-219.48667880133314</v>
      </c>
      <c r="P59" s="12">
        <f>-I23*P58-J23*O58-K23*N58-L23*M58-M23*L58-N23*K58-O23*J58-P23*I58-H58*Q23</f>
        <v>-206.64938190690918</v>
      </c>
      <c r="Q59" s="12">
        <f>-I23*Q58-J23*P58-K23*O58-L23*N58-M23*M58-N23*L58-O23*K58-P23*J58-Q23*I58-H58*R23</f>
        <v>-190.93423003778943</v>
      </c>
      <c r="R59" s="12">
        <f>-I23*R58-J23*Q58-K23*P58-L23*O58-M23*N58-N23*M58-O23*L58-P23*K58-Q23*J58-R23*I58-H58*S23</f>
        <v>-179.15945280595045</v>
      </c>
      <c r="S59" s="12">
        <f>-I23*S58-J23*R58-K23*Q58-L23*P58-M23*O58-N23*N58-O23*M58-P23*L58-Q23*K58-R23*J58-S23*I58-H58*T23</f>
        <v>-171.45295927159921</v>
      </c>
      <c r="T59" s="12">
        <f>-I23*T58-J23*S58-K23*R58-L23*Q58-M23*P58-N23*O58-O23*N58-P23*M58-Q23*L58-R23*K58-S23*J58-T23*I58-H58*U23</f>
        <v>-168.14216978932106</v>
      </c>
      <c r="U59" s="12">
        <f>-I23*U58-J23*T58-K23*S58-L23*R58-M23*Q58-N23*P58-O23*O58-P23*N58-Q23*M58-R23*L58-S23*K58-T23*J58-U23*I58-H58*V23</f>
        <v>-167.71570478932102</v>
      </c>
      <c r="V59" s="12">
        <f>-I23*V58-J23*U58-K23*T58-L23*S58-M23*R58-N23*Q58-O23*P58-P23*O58-Q23*N58-R23*M58-S23*L58-T23*K58-U23*J58-V23*I58-H58*W23</f>
        <v>-167.71570478932105</v>
      </c>
      <c r="W59" s="12">
        <f>-I23*W58-J23*V58-K23*U58-L23*T58-M23*S58-N23*R58-O23*Q58-P23*P58-Q23*O58-R23*N58-S23*M58-T23*L58-U23*K58-V23*J58-W23*I58-H58*X23</f>
        <v>-167.71570478932102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194.12774999999999</v>
      </c>
      <c r="J60" s="20">
        <f t="shared" si="27"/>
        <v>626.711616924125</v>
      </c>
      <c r="K60" s="20">
        <f t="shared" si="27"/>
        <v>864.46792517018753</v>
      </c>
      <c r="L60" s="20">
        <f t="shared" si="27"/>
        <v>1239.8136758733688</v>
      </c>
      <c r="M60" s="20">
        <f t="shared" si="27"/>
        <v>1584.204772293285</v>
      </c>
      <c r="N60" s="20">
        <f t="shared" si="27"/>
        <v>2123.8336040608315</v>
      </c>
      <c r="O60" s="20">
        <f t="shared" si="27"/>
        <v>2034.3469252594982</v>
      </c>
      <c r="P60" s="20">
        <f t="shared" si="27"/>
        <v>1827.697543352589</v>
      </c>
      <c r="Q60" s="20">
        <f t="shared" si="27"/>
        <v>1636.7633133147997</v>
      </c>
      <c r="R60" s="20">
        <f t="shared" si="27"/>
        <v>1457.6038605088493</v>
      </c>
      <c r="S60" s="20">
        <f t="shared" si="27"/>
        <v>1286.1509012372501</v>
      </c>
      <c r="T60" s="20">
        <f t="shared" si="27"/>
        <v>1118.008731447929</v>
      </c>
      <c r="U60" s="20">
        <f t="shared" si="27"/>
        <v>950.29302665860791</v>
      </c>
      <c r="V60" s="20">
        <f t="shared" si="27"/>
        <v>782.57732186928683</v>
      </c>
      <c r="W60" s="20">
        <f t="shared" si="27"/>
        <v>614.86161707996575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199.23637500000001</v>
      </c>
      <c r="K63" s="12">
        <f t="shared" si="28"/>
        <v>653.16584664581251</v>
      </c>
      <c r="L63" s="12">
        <f t="shared" si="28"/>
        <v>928.8410103030094</v>
      </c>
      <c r="M63" s="12">
        <f t="shared" si="28"/>
        <v>1356.3439383559589</v>
      </c>
      <c r="N63" s="12">
        <f t="shared" si="28"/>
        <v>1769.2247966034997</v>
      </c>
      <c r="O63" s="12">
        <f t="shared" si="28"/>
        <v>2397.1825844280124</v>
      </c>
      <c r="P63" s="12">
        <f t="shared" si="28"/>
        <v>2404.0734552066119</v>
      </c>
      <c r="Q63" s="12">
        <f t="shared" si="28"/>
        <v>2283.8697824462815</v>
      </c>
      <c r="R63" s="12">
        <f t="shared" si="28"/>
        <v>2169.6762933239675</v>
      </c>
      <c r="S63" s="12">
        <f t="shared" si="28"/>
        <v>2061.1924786577692</v>
      </c>
      <c r="T63" s="12">
        <f t="shared" si="28"/>
        <v>1958.1328547248809</v>
      </c>
      <c r="U63" s="12">
        <f t="shared" si="28"/>
        <v>1860.2262119886368</v>
      </c>
      <c r="V63" s="12">
        <f t="shared" si="28"/>
        <v>1767.2149013892049</v>
      </c>
      <c r="W63" s="12">
        <f t="shared" si="28"/>
        <v>1678.8541563197446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204.345</v>
      </c>
      <c r="J64" s="12">
        <f t="shared" ref="J64:W64" si="29">-J38</f>
        <v>475.78593886749996</v>
      </c>
      <c r="K64" s="12">
        <f t="shared" si="29"/>
        <v>316.23944204049997</v>
      </c>
      <c r="L64" s="12">
        <f t="shared" si="29"/>
        <v>486.09741391599999</v>
      </c>
      <c r="M64" s="12">
        <f t="shared" si="29"/>
        <v>493.02364632342443</v>
      </c>
      <c r="N64" s="12">
        <f t="shared" si="29"/>
        <v>734.78874631250005</v>
      </c>
      <c r="O64" s="12">
        <f t="shared" si="29"/>
        <v>130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H65" s="12">
        <f>-H13*$F27*(H63+0.5*H64)</f>
        <v>0</v>
      </c>
      <c r="I65" s="12">
        <f t="shared" ref="I65:W65" si="30">-I13*$F27*(I63+0.5*I64)</f>
        <v>-5.108625</v>
      </c>
      <c r="J65" s="12">
        <f t="shared" si="30"/>
        <v>-21.856467221687502</v>
      </c>
      <c r="K65" s="12">
        <f t="shared" si="30"/>
        <v>-40.564278383303126</v>
      </c>
      <c r="L65" s="12">
        <f t="shared" si="30"/>
        <v>-58.594485863050465</v>
      </c>
      <c r="M65" s="12">
        <f t="shared" si="30"/>
        <v>-80.142788075883573</v>
      </c>
      <c r="N65" s="12">
        <f t="shared" si="30"/>
        <v>-106.83095848798749</v>
      </c>
      <c r="O65" s="12">
        <f t="shared" si="30"/>
        <v>-123.10912922140062</v>
      </c>
      <c r="P65" s="12">
        <f t="shared" si="30"/>
        <v>-120.2036727603306</v>
      </c>
      <c r="Q65" s="12">
        <f t="shared" si="30"/>
        <v>-114.19348912231408</v>
      </c>
      <c r="R65" s="12">
        <f t="shared" si="30"/>
        <v>-108.48381466619838</v>
      </c>
      <c r="S65" s="12">
        <f t="shared" si="30"/>
        <v>-103.05962393288847</v>
      </c>
      <c r="T65" s="12">
        <f t="shared" si="30"/>
        <v>-97.906642736244052</v>
      </c>
      <c r="U65" s="12">
        <f t="shared" si="30"/>
        <v>-93.011310599431852</v>
      </c>
      <c r="V65" s="12">
        <f t="shared" si="30"/>
        <v>-88.360745069460251</v>
      </c>
      <c r="W65" s="12">
        <f t="shared" si="30"/>
        <v>-83.942707815987234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199.23637500000001</v>
      </c>
      <c r="J66" s="20">
        <f t="shared" si="31"/>
        <v>653.16584664581251</v>
      </c>
      <c r="K66" s="20">
        <f t="shared" si="31"/>
        <v>928.8410103030094</v>
      </c>
      <c r="L66" s="20">
        <f t="shared" si="31"/>
        <v>1356.3439383559589</v>
      </c>
      <c r="M66" s="20">
        <f t="shared" si="31"/>
        <v>1769.2247966034997</v>
      </c>
      <c r="N66" s="20">
        <f t="shared" si="31"/>
        <v>2397.1825844280124</v>
      </c>
      <c r="O66" s="20">
        <f t="shared" si="31"/>
        <v>2404.0734552066119</v>
      </c>
      <c r="P66" s="20">
        <f t="shared" si="31"/>
        <v>2283.8697824462815</v>
      </c>
      <c r="Q66" s="20">
        <f t="shared" si="31"/>
        <v>2169.6762933239675</v>
      </c>
      <c r="R66" s="20">
        <f t="shared" si="31"/>
        <v>2061.1924786577692</v>
      </c>
      <c r="S66" s="20">
        <f t="shared" si="31"/>
        <v>1958.1328547248809</v>
      </c>
      <c r="T66" s="20">
        <f t="shared" si="31"/>
        <v>1860.2262119886368</v>
      </c>
      <c r="U66" s="20">
        <f t="shared" si="31"/>
        <v>1767.2149013892049</v>
      </c>
      <c r="V66" s="20">
        <f t="shared" si="31"/>
        <v>1678.8541563197446</v>
      </c>
      <c r="W66" s="20">
        <f t="shared" si="31"/>
        <v>1594.9114485037574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1.7875998427500002</v>
      </c>
      <c r="K69" s="12">
        <f t="shared" ref="K69:W69" si="32">J72</f>
        <v>9.2925505853909485</v>
      </c>
      <c r="L69" s="12">
        <f t="shared" si="32"/>
        <v>22.742537835890467</v>
      </c>
      <c r="M69" s="12">
        <f t="shared" si="32"/>
        <v>41.421539628512647</v>
      </c>
      <c r="N69" s="12">
        <f t="shared" si="32"/>
        <v>66.135458346850498</v>
      </c>
      <c r="O69" s="12">
        <f t="shared" si="32"/>
        <v>98.189092349970736</v>
      </c>
      <c r="P69" s="12">
        <f t="shared" si="32"/>
        <v>133.46316138310556</v>
      </c>
      <c r="Q69" s="12">
        <f t="shared" si="32"/>
        <v>165.38375911099604</v>
      </c>
      <c r="R69" s="12">
        <f t="shared" si="32"/>
        <v>193.58444776182685</v>
      </c>
      <c r="S69" s="12">
        <f t="shared" si="32"/>
        <v>218.91369236865418</v>
      </c>
      <c r="T69" s="12">
        <f t="shared" si="32"/>
        <v>242.24576954921631</v>
      </c>
      <c r="U69" s="12">
        <f t="shared" si="32"/>
        <v>264.52271734365121</v>
      </c>
      <c r="V69" s="12">
        <f t="shared" si="32"/>
        <v>286.36823707297964</v>
      </c>
      <c r="W69" s="12">
        <f t="shared" si="32"/>
        <v>307.88897990795698</v>
      </c>
    </row>
    <row r="70" spans="1:23" s="8" customFormat="1" x14ac:dyDescent="0.2">
      <c r="A70" s="10">
        <f>A69+1</f>
        <v>44</v>
      </c>
      <c r="D70" s="13" t="s">
        <v>76</v>
      </c>
      <c r="E70" s="19"/>
      <c r="H70" s="12">
        <f>($F24="Y")*H25*(-H59-H51-H71)</f>
        <v>0</v>
      </c>
      <c r="I70" s="12">
        <f>($F24="Y")*I25*(-I59-I51-I71)</f>
        <v>1.5617986177500001</v>
      </c>
      <c r="J70" s="12">
        <f>($F24="Y")*J25*(-J59-J51-J71)</f>
        <v>6.5501849526923595</v>
      </c>
      <c r="K70" s="12">
        <f t="shared" ref="K70:W70" si="33">($F24="Y")*K25*(-K59-K51-K71)</f>
        <v>11.716638999767451</v>
      </c>
      <c r="L70" s="12">
        <f t="shared" si="33"/>
        <v>16.238365426512381</v>
      </c>
      <c r="M70" s="12">
        <f t="shared" si="33"/>
        <v>21.450341208178173</v>
      </c>
      <c r="N70" s="12">
        <f t="shared" si="33"/>
        <v>27.787554922393277</v>
      </c>
      <c r="O70" s="12">
        <f t="shared" si="33"/>
        <v>30.52459122424942</v>
      </c>
      <c r="P70" s="12">
        <f t="shared" si="33"/>
        <v>27.571612270163691</v>
      </c>
      <c r="Q70" s="12">
        <f t="shared" si="33"/>
        <v>24.383003426704686</v>
      </c>
      <c r="R70" s="12">
        <f t="shared" si="33"/>
        <v>22.016294604621834</v>
      </c>
      <c r="S70" s="12">
        <f t="shared" si="33"/>
        <v>20.498625639181238</v>
      </c>
      <c r="T70" s="12">
        <f t="shared" si="33"/>
        <v>19.899019790837333</v>
      </c>
      <c r="U70" s="12">
        <f t="shared" si="33"/>
        <v>19.900339086625106</v>
      </c>
      <c r="V70" s="12">
        <f t="shared" si="33"/>
        <v>19.986672185123503</v>
      </c>
      <c r="W70" s="12">
        <f t="shared" si="33"/>
        <v>20.068688628696972</v>
      </c>
    </row>
    <row r="71" spans="1:23" s="8" customFormat="1" x14ac:dyDescent="0.2">
      <c r="A71" s="10">
        <f>A70+1</f>
        <v>45</v>
      </c>
      <c r="D71" s="13" t="s">
        <v>77</v>
      </c>
      <c r="E71" s="19"/>
      <c r="H71" s="12">
        <f>($F28="Y")*H29*(-H65-H51)</f>
        <v>0</v>
      </c>
      <c r="I71" s="12">
        <f>($F28="Y")*I29*(-I65-I51)</f>
        <v>0.22580122500000002</v>
      </c>
      <c r="J71" s="12">
        <f t="shared" ref="J71:W71" si="34">($F28="Y")*J29*(-J65-J51)</f>
        <v>0.95476578994858774</v>
      </c>
      <c r="K71" s="12">
        <f t="shared" si="34"/>
        <v>1.733348250732069</v>
      </c>
      <c r="L71" s="12">
        <f t="shared" si="34"/>
        <v>2.4406363661098016</v>
      </c>
      <c r="M71" s="12">
        <f t="shared" si="34"/>
        <v>3.263577510159684</v>
      </c>
      <c r="N71" s="12">
        <f t="shared" si="34"/>
        <v>4.2660790807269739</v>
      </c>
      <c r="O71" s="12">
        <f t="shared" si="34"/>
        <v>4.7494778088853815</v>
      </c>
      <c r="P71" s="12">
        <f t="shared" si="34"/>
        <v>4.3489854577267915</v>
      </c>
      <c r="Q71" s="12">
        <f t="shared" si="34"/>
        <v>3.817685224126131</v>
      </c>
      <c r="R71" s="12">
        <f t="shared" si="34"/>
        <v>3.3129500022055036</v>
      </c>
      <c r="S71" s="12">
        <f t="shared" si="34"/>
        <v>2.8334515413809069</v>
      </c>
      <c r="T71" s="12">
        <f t="shared" si="34"/>
        <v>2.3779280035975403</v>
      </c>
      <c r="U71" s="12">
        <f t="shared" si="34"/>
        <v>1.945180642703342</v>
      </c>
      <c r="V71" s="12">
        <f t="shared" si="34"/>
        <v>1.5340706498538523</v>
      </c>
      <c r="W71" s="12">
        <f t="shared" si="34"/>
        <v>1.1435161566468377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1.7875998427500002</v>
      </c>
      <c r="J72" s="20">
        <f>SUM(J69:J71)</f>
        <v>9.2925505853909485</v>
      </c>
      <c r="K72" s="20">
        <f t="shared" ref="K72:W72" si="35">SUM(K69:K71)</f>
        <v>22.742537835890467</v>
      </c>
      <c r="L72" s="20">
        <f t="shared" si="35"/>
        <v>41.421539628512647</v>
      </c>
      <c r="M72" s="20">
        <f t="shared" si="35"/>
        <v>66.135458346850498</v>
      </c>
      <c r="N72" s="20">
        <f t="shared" si="35"/>
        <v>98.189092349970736</v>
      </c>
      <c r="O72" s="20">
        <f t="shared" si="35"/>
        <v>133.46316138310556</v>
      </c>
      <c r="P72" s="20">
        <f t="shared" si="35"/>
        <v>165.38375911099604</v>
      </c>
      <c r="Q72" s="20">
        <f t="shared" si="35"/>
        <v>193.58444776182685</v>
      </c>
      <c r="R72" s="20">
        <f t="shared" si="35"/>
        <v>218.91369236865418</v>
      </c>
      <c r="S72" s="20">
        <f t="shared" si="35"/>
        <v>242.24576954921631</v>
      </c>
      <c r="T72" s="20">
        <f t="shared" si="35"/>
        <v>264.52271734365121</v>
      </c>
      <c r="U72" s="20">
        <f t="shared" si="35"/>
        <v>286.36823707297964</v>
      </c>
      <c r="V72" s="20">
        <f t="shared" si="35"/>
        <v>307.88897990795698</v>
      </c>
      <c r="W72" s="20">
        <f t="shared" si="35"/>
        <v>329.10118469330081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0.89379992137500008</v>
      </c>
      <c r="J73" s="20">
        <f>(J69+J72)/2</f>
        <v>5.5400752140704741</v>
      </c>
      <c r="K73" s="20">
        <f t="shared" ref="K73:W73" si="36">(K69+K72)/2</f>
        <v>16.017544210640708</v>
      </c>
      <c r="L73" s="20">
        <f t="shared" si="36"/>
        <v>32.082038732201553</v>
      </c>
      <c r="M73" s="20">
        <f t="shared" si="36"/>
        <v>53.778498987681573</v>
      </c>
      <c r="N73" s="20">
        <f t="shared" si="36"/>
        <v>82.162275348410617</v>
      </c>
      <c r="O73" s="20">
        <f t="shared" si="36"/>
        <v>115.82612686653815</v>
      </c>
      <c r="P73" s="20">
        <f t="shared" si="36"/>
        <v>149.4234602470508</v>
      </c>
      <c r="Q73" s="20">
        <f t="shared" si="36"/>
        <v>179.48410343641143</v>
      </c>
      <c r="R73" s="20">
        <f t="shared" si="36"/>
        <v>206.24907006524052</v>
      </c>
      <c r="S73" s="20">
        <f t="shared" si="36"/>
        <v>230.57973095893524</v>
      </c>
      <c r="T73" s="20">
        <f t="shared" si="36"/>
        <v>253.38424344643374</v>
      </c>
      <c r="U73" s="20">
        <f t="shared" si="36"/>
        <v>275.44547720831542</v>
      </c>
      <c r="V73" s="20">
        <f t="shared" si="36"/>
        <v>297.12860849046831</v>
      </c>
      <c r="W73" s="20">
        <f t="shared" si="36"/>
        <v>318.49508230062889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102.1725</v>
      </c>
      <c r="J76" s="12">
        <f t="shared" si="37"/>
        <v>442.23796943374998</v>
      </c>
      <c r="K76" s="12">
        <f t="shared" si="37"/>
        <v>838.25065988774986</v>
      </c>
      <c r="L76" s="12">
        <f t="shared" si="37"/>
        <v>1239.4190878659999</v>
      </c>
      <c r="M76" s="12">
        <f t="shared" si="37"/>
        <v>1728.9796179857121</v>
      </c>
      <c r="N76" s="12">
        <f t="shared" si="37"/>
        <v>2342.8858143036741</v>
      </c>
      <c r="O76" s="12">
        <f t="shared" si="37"/>
        <v>2775.2801874599245</v>
      </c>
      <c r="P76" s="12">
        <f t="shared" si="37"/>
        <v>2840.2801874599245</v>
      </c>
      <c r="Q76" s="12">
        <f t="shared" si="37"/>
        <v>2840.2801874599245</v>
      </c>
      <c r="R76" s="12">
        <f t="shared" si="37"/>
        <v>2840.2801874599245</v>
      </c>
      <c r="S76" s="12">
        <f t="shared" si="37"/>
        <v>2840.2801874599245</v>
      </c>
      <c r="T76" s="12">
        <f t="shared" si="37"/>
        <v>2840.2801874599245</v>
      </c>
      <c r="U76" s="12">
        <f t="shared" si="37"/>
        <v>2840.2801874599245</v>
      </c>
      <c r="V76" s="12">
        <f t="shared" si="37"/>
        <v>2840.2801874599245</v>
      </c>
      <c r="W76" s="12">
        <f t="shared" si="37"/>
        <v>2840.2801874599245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-1.27715625</v>
      </c>
      <c r="J77" s="12">
        <f t="shared" si="38"/>
        <v>-8.0822871179218758</v>
      </c>
      <c r="K77" s="12">
        <f t="shared" si="38"/>
        <v>-24.088394984440626</v>
      </c>
      <c r="L77" s="12">
        <f t="shared" si="38"/>
        <v>-50.0592668313625</v>
      </c>
      <c r="M77" s="12">
        <f t="shared" si="38"/>
        <v>-87.164250654508891</v>
      </c>
      <c r="N77" s="12">
        <f t="shared" si="38"/>
        <v>-138.06256855812623</v>
      </c>
      <c r="O77" s="12">
        <f t="shared" si="38"/>
        <v>-202.03964358017123</v>
      </c>
      <c r="P77" s="12">
        <f t="shared" si="38"/>
        <v>-272.23414826666937</v>
      </c>
      <c r="Q77" s="12">
        <f t="shared" si="38"/>
        <v>-343.2411529531675</v>
      </c>
      <c r="R77" s="12">
        <f t="shared" si="38"/>
        <v>-414.24815763966564</v>
      </c>
      <c r="S77" s="12">
        <f t="shared" si="38"/>
        <v>-485.25516232616377</v>
      </c>
      <c r="T77" s="12">
        <f t="shared" si="38"/>
        <v>-556.26216701266185</v>
      </c>
      <c r="U77" s="12">
        <f t="shared" si="38"/>
        <v>-627.2691716991601</v>
      </c>
      <c r="V77" s="12">
        <f t="shared" si="38"/>
        <v>-698.27617638565812</v>
      </c>
      <c r="W77" s="12">
        <f t="shared" si="38"/>
        <v>-769.28318107215637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-0.89379992137500008</v>
      </c>
      <c r="J79" s="12">
        <f>-J73</f>
        <v>-5.5400752140704741</v>
      </c>
      <c r="K79" s="12">
        <f t="shared" ref="K79:W79" si="40">-K73</f>
        <v>-16.017544210640708</v>
      </c>
      <c r="L79" s="12">
        <f t="shared" si="40"/>
        <v>-32.082038732201553</v>
      </c>
      <c r="M79" s="12">
        <f t="shared" si="40"/>
        <v>-53.778498987681573</v>
      </c>
      <c r="N79" s="12">
        <f t="shared" si="40"/>
        <v>-82.162275348410617</v>
      </c>
      <c r="O79" s="12">
        <f t="shared" si="40"/>
        <v>-115.82612686653815</v>
      </c>
      <c r="P79" s="12">
        <f t="shared" si="40"/>
        <v>-149.4234602470508</v>
      </c>
      <c r="Q79" s="12">
        <f t="shared" si="40"/>
        <v>-179.48410343641143</v>
      </c>
      <c r="R79" s="12">
        <f t="shared" si="40"/>
        <v>-206.24907006524052</v>
      </c>
      <c r="S79" s="12">
        <f t="shared" si="40"/>
        <v>-230.57973095893524</v>
      </c>
      <c r="T79" s="12">
        <f t="shared" si="40"/>
        <v>-253.38424344643374</v>
      </c>
      <c r="U79" s="12">
        <f t="shared" si="40"/>
        <v>-275.44547720831542</v>
      </c>
      <c r="V79" s="12">
        <f t="shared" si="40"/>
        <v>-297.12860849046831</v>
      </c>
      <c r="W79" s="12">
        <f t="shared" si="40"/>
        <v>-318.49508230062889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100.00154382862499</v>
      </c>
      <c r="J80" s="20">
        <f>SUM(J76:J79)</f>
        <v>428.61560710175763</v>
      </c>
      <c r="K80" s="20">
        <f t="shared" ref="K80:W80" si="41">SUM(K76:K79)</f>
        <v>798.14472069266856</v>
      </c>
      <c r="L80" s="20">
        <f>SUM(L76:L79)</f>
        <v>1157.277782302436</v>
      </c>
      <c r="M80" s="20">
        <f t="shared" si="41"/>
        <v>1588.0368683435217</v>
      </c>
      <c r="N80" s="20">
        <f t="shared" si="41"/>
        <v>2122.6609703971371</v>
      </c>
      <c r="O80" s="20">
        <f t="shared" si="41"/>
        <v>2457.4144170132149</v>
      </c>
      <c r="P80" s="20">
        <f t="shared" si="41"/>
        <v>2418.6225789462042</v>
      </c>
      <c r="Q80" s="20">
        <f t="shared" si="41"/>
        <v>2317.5549310703459</v>
      </c>
      <c r="R80" s="20">
        <f t="shared" si="41"/>
        <v>2219.7829597550181</v>
      </c>
      <c r="S80" s="20">
        <f t="shared" si="41"/>
        <v>2124.4452941748254</v>
      </c>
      <c r="T80" s="20">
        <f t="shared" si="41"/>
        <v>2030.633777000829</v>
      </c>
      <c r="U80" s="20">
        <f t="shared" si="41"/>
        <v>1937.5655385524487</v>
      </c>
      <c r="V80" s="20">
        <f t="shared" si="41"/>
        <v>1844.8754025837984</v>
      </c>
      <c r="W80" s="20">
        <f t="shared" si="41"/>
        <v>1752.5019240871393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>I51</f>
        <v>2.5543125</v>
      </c>
      <c r="J83" s="12">
        <f t="shared" ref="J83:W83" si="42">J51</f>
        <v>11.05594923584375</v>
      </c>
      <c r="K83" s="12">
        <f t="shared" si="42"/>
        <v>20.956266497193749</v>
      </c>
      <c r="L83" s="12">
        <f t="shared" si="42"/>
        <v>30.985477196649999</v>
      </c>
      <c r="M83" s="12">
        <f t="shared" si="42"/>
        <v>43.224490449642808</v>
      </c>
      <c r="N83" s="12">
        <f t="shared" si="42"/>
        <v>58.572145357591857</v>
      </c>
      <c r="O83" s="12">
        <f t="shared" si="42"/>
        <v>69.382004686498121</v>
      </c>
      <c r="P83" s="12">
        <f t="shared" si="42"/>
        <v>71.007004686498121</v>
      </c>
      <c r="Q83" s="12">
        <f t="shared" si="42"/>
        <v>71.007004686498121</v>
      </c>
      <c r="R83" s="12">
        <f t="shared" si="42"/>
        <v>71.007004686498121</v>
      </c>
      <c r="S83" s="12">
        <f t="shared" si="42"/>
        <v>71.007004686498121</v>
      </c>
      <c r="T83" s="12">
        <f t="shared" si="42"/>
        <v>71.007004686498121</v>
      </c>
      <c r="U83" s="12">
        <f t="shared" si="42"/>
        <v>71.007004686498121</v>
      </c>
      <c r="V83" s="12">
        <f t="shared" si="42"/>
        <v>71.007004686498121</v>
      </c>
      <c r="W83" s="12">
        <f t="shared" si="42"/>
        <v>71.007004686498121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>I15*I16*I80</f>
        <v>3.0000463148587495</v>
      </c>
      <c r="J84" s="12">
        <f t="shared" ref="J84:W84" si="44">J15*J16*J80</f>
        <v>12.858468213052728</v>
      </c>
      <c r="K84" s="12">
        <f t="shared" si="44"/>
        <v>23.944341620780055</v>
      </c>
      <c r="L84" s="12">
        <f t="shared" si="44"/>
        <v>34.71833346907308</v>
      </c>
      <c r="M84" s="12">
        <f t="shared" si="44"/>
        <v>47.641106050305652</v>
      </c>
      <c r="N84" s="12">
        <f t="shared" si="44"/>
        <v>63.67982911191411</v>
      </c>
      <c r="O84" s="12">
        <f t="shared" si="44"/>
        <v>73.722432510396445</v>
      </c>
      <c r="P84" s="12">
        <f t="shared" si="44"/>
        <v>72.558677368386128</v>
      </c>
      <c r="Q84" s="12">
        <f t="shared" si="44"/>
        <v>69.526647932110379</v>
      </c>
      <c r="R84" s="12">
        <f t="shared" si="44"/>
        <v>66.593488792650533</v>
      </c>
      <c r="S84" s="12">
        <f t="shared" si="44"/>
        <v>63.733358825244764</v>
      </c>
      <c r="T84" s="12">
        <f t="shared" si="44"/>
        <v>60.919013310024866</v>
      </c>
      <c r="U84" s="12">
        <f t="shared" si="44"/>
        <v>58.126966156573459</v>
      </c>
      <c r="V84" s="12">
        <f t="shared" si="44"/>
        <v>55.346262077513948</v>
      </c>
      <c r="W84" s="12">
        <f t="shared" si="44"/>
        <v>52.575057722614176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>I18*I19*I80</f>
        <v>5.5000849105743743</v>
      </c>
      <c r="J85" s="12">
        <f t="shared" ref="J85:W85" si="45">J18*J19*J80</f>
        <v>23.573858390596669</v>
      </c>
      <c r="K85" s="12">
        <f t="shared" si="45"/>
        <v>43.897959638096772</v>
      </c>
      <c r="L85" s="12">
        <f t="shared" si="45"/>
        <v>63.650278026633977</v>
      </c>
      <c r="M85" s="12">
        <f t="shared" si="45"/>
        <v>87.342027758893693</v>
      </c>
      <c r="N85" s="12">
        <f t="shared" si="45"/>
        <v>116.74635337184255</v>
      </c>
      <c r="O85" s="12">
        <f t="shared" si="45"/>
        <v>135.15779293572683</v>
      </c>
      <c r="P85" s="12">
        <f t="shared" si="45"/>
        <v>133.02424184204122</v>
      </c>
      <c r="Q85" s="12">
        <f t="shared" si="45"/>
        <v>127.46552120886902</v>
      </c>
      <c r="R85" s="12">
        <f t="shared" si="45"/>
        <v>122.088062786526</v>
      </c>
      <c r="S85" s="12">
        <f t="shared" si="45"/>
        <v>116.8444911796154</v>
      </c>
      <c r="T85" s="12">
        <f t="shared" si="45"/>
        <v>111.6848577350456</v>
      </c>
      <c r="U85" s="12">
        <f t="shared" si="45"/>
        <v>106.56610462038468</v>
      </c>
      <c r="V85" s="12">
        <f t="shared" si="45"/>
        <v>101.46814714210892</v>
      </c>
      <c r="W85" s="12">
        <f t="shared" si="45"/>
        <v>96.387605824792658</v>
      </c>
    </row>
    <row r="86" spans="1:25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1.4620478876210361</v>
      </c>
      <c r="J86" s="12">
        <f t="shared" ref="J86:W86" si="46">IF($F24="Y",J85*J25/(1-J25),J85*J25/(1-J25)+(J51+J59)*J25)</f>
        <v>6.2664686861079755</v>
      </c>
      <c r="K86" s="12">
        <f t="shared" si="46"/>
        <v>11.669077878481419</v>
      </c>
      <c r="L86" s="12">
        <f t="shared" si="46"/>
        <v>16.91969415897865</v>
      </c>
      <c r="M86" s="12">
        <f t="shared" si="46"/>
        <v>23.217501049832499</v>
      </c>
      <c r="N86" s="12">
        <f t="shared" si="46"/>
        <v>31.033840769730293</v>
      </c>
      <c r="O86" s="12">
        <f t="shared" si="46"/>
        <v>35.928020906965358</v>
      </c>
      <c r="P86" s="12">
        <f t="shared" si="46"/>
        <v>35.360874413707158</v>
      </c>
      <c r="Q86" s="12">
        <f t="shared" si="46"/>
        <v>33.883239815015813</v>
      </c>
      <c r="R86" s="12">
        <f t="shared" si="46"/>
        <v>32.453788841987922</v>
      </c>
      <c r="S86" s="12">
        <f t="shared" si="46"/>
        <v>31.059928035087637</v>
      </c>
      <c r="T86" s="12">
        <f t="shared" si="46"/>
        <v>29.688379904252624</v>
      </c>
      <c r="U86" s="12">
        <f t="shared" si="46"/>
        <v>28.327698696557949</v>
      </c>
      <c r="V86" s="12">
        <f t="shared" si="46"/>
        <v>26.972545442839078</v>
      </c>
      <c r="W86" s="12">
        <f t="shared" si="46"/>
        <v>25.622021801527161</v>
      </c>
    </row>
    <row r="87" spans="1:25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0.67513442229099874</v>
      </c>
      <c r="J87" s="12">
        <f t="shared" ref="J87:W87" si="47">IF($F28="Y",(J85+J86)*J29/(1-J29),(J85+J86)*J29/(1-J29)+(J51+J65)*J29)</f>
        <v>2.8936868292899196</v>
      </c>
      <c r="K87" s="12">
        <f t="shared" si="47"/>
        <v>5.3884665604053454</v>
      </c>
      <c r="L87" s="12">
        <f t="shared" si="47"/>
        <v>7.8130600495920985</v>
      </c>
      <c r="M87" s="12">
        <f t="shared" si="47"/>
        <v>10.721218019626367</v>
      </c>
      <c r="N87" s="12">
        <f t="shared" si="47"/>
        <v>14.330593639880474</v>
      </c>
      <c r="O87" s="12">
        <f t="shared" si="47"/>
        <v>16.590594497250976</v>
      </c>
      <c r="P87" s="12">
        <f t="shared" si="47"/>
        <v>16.328701488600437</v>
      </c>
      <c r="Q87" s="12">
        <f t="shared" si="47"/>
        <v>15.646369542026569</v>
      </c>
      <c r="R87" s="12">
        <f t="shared" si="47"/>
        <v>14.986287498859841</v>
      </c>
      <c r="S87" s="12">
        <f t="shared" si="47"/>
        <v>14.342640037933029</v>
      </c>
      <c r="T87" s="12">
        <f t="shared" si="47"/>
        <v>13.709295971164945</v>
      </c>
      <c r="U87" s="12">
        <f t="shared" si="47"/>
        <v>13.080969957456922</v>
      </c>
      <c r="V87" s="12">
        <f t="shared" si="47"/>
        <v>12.455196604332389</v>
      </c>
      <c r="W87" s="12">
        <f t="shared" si="47"/>
        <v>11.831561081797579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4.0869</v>
      </c>
      <c r="K88" s="12">
        <f t="shared" ref="K88:W88" si="48">(K80&gt;0)*(J88*(1+K32)+J44*K31)</f>
        <v>13.684356777349999</v>
      </c>
      <c r="L88" s="12">
        <f t="shared" si="48"/>
        <v>20.282832753706998</v>
      </c>
      <c r="M88" s="12">
        <f t="shared" si="48"/>
        <v>30.410437687101137</v>
      </c>
      <c r="N88" s="12">
        <f t="shared" si="48"/>
        <v>40.879119367311645</v>
      </c>
      <c r="O88" s="12">
        <f t="shared" si="48"/>
        <v>56.392476680907883</v>
      </c>
      <c r="P88" s="12">
        <f t="shared" si="48"/>
        <v>60.120326214526045</v>
      </c>
      <c r="Q88" s="12">
        <f t="shared" si="48"/>
        <v>61.322732738816569</v>
      </c>
      <c r="R88" s="12">
        <f t="shared" si="48"/>
        <v>62.549187393592902</v>
      </c>
      <c r="S88" s="12">
        <f t="shared" si="48"/>
        <v>63.800171141464759</v>
      </c>
      <c r="T88" s="12">
        <f t="shared" si="48"/>
        <v>65.07617456429405</v>
      </c>
      <c r="U88" s="12">
        <f t="shared" si="48"/>
        <v>66.377698055579927</v>
      </c>
      <c r="V88" s="12">
        <f t="shared" si="48"/>
        <v>67.705252016691531</v>
      </c>
      <c r="W88" s="12">
        <f t="shared" si="48"/>
        <v>69.059357057025366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13.191626035345159</v>
      </c>
      <c r="J89" s="20">
        <f t="shared" ref="J89:W89" si="49">SUM(J83:J88)</f>
        <v>60.735331354891045</v>
      </c>
      <c r="K89" s="20">
        <f t="shared" si="49"/>
        <v>119.54046897230735</v>
      </c>
      <c r="L89" s="20">
        <f t="shared" si="49"/>
        <v>174.36967565463482</v>
      </c>
      <c r="M89" s="20">
        <f t="shared" si="49"/>
        <v>242.55678101540215</v>
      </c>
      <c r="N89" s="20">
        <f t="shared" si="49"/>
        <v>325.24188161827095</v>
      </c>
      <c r="O89" s="20">
        <f t="shared" si="49"/>
        <v>387.17332221774564</v>
      </c>
      <c r="P89" s="20">
        <f t="shared" si="49"/>
        <v>388.39982601375914</v>
      </c>
      <c r="Q89" s="20">
        <f t="shared" si="49"/>
        <v>378.85151592333648</v>
      </c>
      <c r="R89" s="20">
        <f t="shared" si="49"/>
        <v>369.67782000011533</v>
      </c>
      <c r="S89" s="20">
        <f t="shared" si="49"/>
        <v>360.78759390584372</v>
      </c>
      <c r="T89" s="20">
        <f t="shared" si="49"/>
        <v>352.08472617128018</v>
      </c>
      <c r="U89" s="20">
        <f t="shared" si="49"/>
        <v>343.48644217305105</v>
      </c>
      <c r="V89" s="20">
        <f t="shared" si="49"/>
        <v>334.954407969984</v>
      </c>
      <c r="W89" s="20">
        <f t="shared" si="49"/>
        <v>326.48260817425501</v>
      </c>
      <c r="X89" s="50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x14ac:dyDescent="0.2"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8"/>
      <c r="Y95" s="56"/>
    </row>
    <row r="101" spans="5:6" x14ac:dyDescent="0.2">
      <c r="F101" s="55"/>
    </row>
    <row r="102" spans="5:6" x14ac:dyDescent="0.2">
      <c r="E102" s="53"/>
      <c r="F102" s="54"/>
    </row>
    <row r="103" spans="5:6" x14ac:dyDescent="0.2">
      <c r="E103" s="53"/>
      <c r="F103" s="54"/>
    </row>
    <row r="104" spans="5:6" x14ac:dyDescent="0.2">
      <c r="E104" s="53"/>
      <c r="F104" s="54"/>
    </row>
    <row r="105" spans="5:6" x14ac:dyDescent="0.2">
      <c r="E105" s="53"/>
      <c r="F105" s="54"/>
    </row>
    <row r="106" spans="5:6" x14ac:dyDescent="0.2">
      <c r="E106" s="53"/>
      <c r="F106" s="54"/>
    </row>
    <row r="107" spans="5:6" x14ac:dyDescent="0.2">
      <c r="E107" s="53"/>
      <c r="F107" s="54"/>
    </row>
    <row r="108" spans="5:6" x14ac:dyDescent="0.2">
      <c r="F108" s="59"/>
    </row>
    <row r="114" spans="5:9" x14ac:dyDescent="0.2">
      <c r="E114" s="53"/>
      <c r="F114" s="54"/>
      <c r="I114" s="43"/>
    </row>
    <row r="115" spans="5:9" x14ac:dyDescent="0.2">
      <c r="I115" s="43"/>
    </row>
    <row r="116" spans="5:9" x14ac:dyDescent="0.2">
      <c r="I116" s="43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4"/>
  <sheetViews>
    <sheetView zoomScale="80" zoomScaleNormal="80" workbookViewId="0">
      <selection activeCell="I8" sqref="I8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6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124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2018</v>
      </c>
      <c r="I3" s="5">
        <f>Existing!I3</f>
        <v>2019</v>
      </c>
      <c r="J3" s="5">
        <f>Existing!J3</f>
        <v>2020</v>
      </c>
      <c r="K3" s="5">
        <f>Existing!K3</f>
        <v>2021</v>
      </c>
      <c r="L3" s="5">
        <f>Existing!L3</f>
        <v>2022</v>
      </c>
      <c r="M3" s="5">
        <f>Existing!M3</f>
        <v>2023</v>
      </c>
      <c r="N3" s="5">
        <f>Existing!N3</f>
        <v>2024</v>
      </c>
      <c r="O3" s="5">
        <f>Existing!O3</f>
        <v>2025</v>
      </c>
      <c r="P3" s="5">
        <f>Existing!P3</f>
        <v>2026</v>
      </c>
      <c r="Q3" s="5">
        <f>Existing!Q3</f>
        <v>2027</v>
      </c>
      <c r="R3" s="5">
        <f>Existing!R3</f>
        <v>2028</v>
      </c>
      <c r="S3" s="5">
        <f>Existing!S3</f>
        <v>2029</v>
      </c>
      <c r="T3" s="5">
        <f>Existing!T3</f>
        <v>2030</v>
      </c>
      <c r="U3" s="5">
        <f>Existing!U3</f>
        <v>2031</v>
      </c>
      <c r="V3" s="5">
        <f>Existing!V3</f>
        <v>2032</v>
      </c>
      <c r="W3" s="5">
        <f>Existing!W3</f>
        <v>2033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2019</v>
      </c>
      <c r="I7" s="10"/>
      <c r="J7" s="10"/>
      <c r="K7" s="10"/>
      <c r="L7" s="10"/>
      <c r="M7" s="62"/>
      <c r="N7" s="62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9">
        <v>0</v>
      </c>
      <c r="I8" s="49">
        <v>338.41</v>
      </c>
      <c r="J8" s="49">
        <v>412.59377500000005</v>
      </c>
      <c r="K8" s="49">
        <v>85.024375000000006</v>
      </c>
      <c r="L8" s="49">
        <v>37.286826499999997</v>
      </c>
      <c r="M8" s="49">
        <v>34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52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338.41</v>
      </c>
      <c r="J36" s="12">
        <f t="shared" si="10"/>
        <v>412.59377500000005</v>
      </c>
      <c r="K36" s="12">
        <f t="shared" si="10"/>
        <v>85.024375000000006</v>
      </c>
      <c r="L36" s="12">
        <f t="shared" si="10"/>
        <v>37.286826499999997</v>
      </c>
      <c r="M36" s="12">
        <f>M8</f>
        <v>34</v>
      </c>
      <c r="N36" s="12">
        <f>N8</f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-338.41</v>
      </c>
      <c r="J38" s="12">
        <f t="shared" si="12"/>
        <v>-412.59377500000005</v>
      </c>
      <c r="K38" s="12">
        <f t="shared" si="12"/>
        <v>-85.024375000000006</v>
      </c>
      <c r="L38" s="12">
        <f t="shared" si="12"/>
        <v>-37.286826499999997</v>
      </c>
      <c r="M38" s="12">
        <f t="shared" si="12"/>
        <v>-34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338.41</v>
      </c>
      <c r="K43" s="12">
        <f t="shared" ref="K43:W43" si="15">J46</f>
        <v>751.00377500000013</v>
      </c>
      <c r="L43" s="12">
        <f t="shared" si="15"/>
        <v>836.0281500000001</v>
      </c>
      <c r="M43" s="12">
        <f t="shared" si="15"/>
        <v>873.31497650000006</v>
      </c>
      <c r="N43" s="12">
        <f t="shared" si="15"/>
        <v>907.31497650000006</v>
      </c>
      <c r="O43" s="12">
        <f t="shared" si="15"/>
        <v>907.31497650000006</v>
      </c>
      <c r="P43" s="12">
        <f t="shared" si="15"/>
        <v>907.31497650000006</v>
      </c>
      <c r="Q43" s="12">
        <f t="shared" si="15"/>
        <v>907.31497650000006</v>
      </c>
      <c r="R43" s="12">
        <f t="shared" si="15"/>
        <v>907.31497650000006</v>
      </c>
      <c r="S43" s="12">
        <f t="shared" si="15"/>
        <v>907.31497650000006</v>
      </c>
      <c r="T43" s="12">
        <f t="shared" si="15"/>
        <v>907.31497650000006</v>
      </c>
      <c r="U43" s="12">
        <f t="shared" si="15"/>
        <v>907.31497650000006</v>
      </c>
      <c r="V43" s="12">
        <f t="shared" si="15"/>
        <v>907.31497650000006</v>
      </c>
      <c r="W43" s="12">
        <f t="shared" si="15"/>
        <v>907.31497650000006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338.41</v>
      </c>
      <c r="J44" s="12">
        <f t="shared" ref="J44:W44" si="16">-J38</f>
        <v>412.59377500000005</v>
      </c>
      <c r="K44" s="12">
        <f t="shared" si="16"/>
        <v>85.024375000000006</v>
      </c>
      <c r="L44" s="12">
        <f t="shared" si="16"/>
        <v>37.286826499999997</v>
      </c>
      <c r="M44" s="12">
        <f t="shared" si="16"/>
        <v>34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338.41</v>
      </c>
      <c r="J46" s="20">
        <f>SUM(J43:J45)</f>
        <v>751.00377500000013</v>
      </c>
      <c r="K46" s="20">
        <f t="shared" ref="K46:W46" si="18">SUM(K43:K45)</f>
        <v>836.0281500000001</v>
      </c>
      <c r="L46" s="20">
        <f t="shared" si="18"/>
        <v>873.31497650000006</v>
      </c>
      <c r="M46" s="20">
        <f t="shared" si="18"/>
        <v>907.31497650000006</v>
      </c>
      <c r="N46" s="20">
        <f t="shared" si="18"/>
        <v>907.31497650000006</v>
      </c>
      <c r="O46" s="20">
        <f t="shared" si="18"/>
        <v>907.31497650000006</v>
      </c>
      <c r="P46" s="20">
        <f t="shared" si="18"/>
        <v>907.31497650000006</v>
      </c>
      <c r="Q46" s="20">
        <f t="shared" si="18"/>
        <v>907.31497650000006</v>
      </c>
      <c r="R46" s="20">
        <f t="shared" si="18"/>
        <v>907.31497650000006</v>
      </c>
      <c r="S46" s="20">
        <f t="shared" si="18"/>
        <v>907.31497650000006</v>
      </c>
      <c r="T46" s="20">
        <f t="shared" si="18"/>
        <v>907.31497650000006</v>
      </c>
      <c r="U46" s="20">
        <f t="shared" si="18"/>
        <v>907.31497650000006</v>
      </c>
      <c r="V46" s="20">
        <f t="shared" si="18"/>
        <v>907.31497650000006</v>
      </c>
      <c r="W46" s="20">
        <f t="shared" si="18"/>
        <v>907.31497650000006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169.20500000000001</v>
      </c>
      <c r="J47" s="20">
        <f>(J43+J46)/2</f>
        <v>544.70688750000011</v>
      </c>
      <c r="K47" s="20">
        <f t="shared" ref="K47:W47" si="19">(K43+K46)/2</f>
        <v>793.51596250000011</v>
      </c>
      <c r="L47" s="20">
        <f t="shared" si="19"/>
        <v>854.67156325000008</v>
      </c>
      <c r="M47" s="20">
        <f t="shared" si="19"/>
        <v>890.31497650000006</v>
      </c>
      <c r="N47" s="20">
        <f t="shared" si="19"/>
        <v>907.31497650000006</v>
      </c>
      <c r="O47" s="20">
        <f t="shared" si="19"/>
        <v>907.31497650000006</v>
      </c>
      <c r="P47" s="20">
        <f t="shared" si="19"/>
        <v>907.31497650000006</v>
      </c>
      <c r="Q47" s="20">
        <f t="shared" si="19"/>
        <v>907.31497650000006</v>
      </c>
      <c r="R47" s="20">
        <f t="shared" si="19"/>
        <v>907.31497650000006</v>
      </c>
      <c r="S47" s="20">
        <f t="shared" si="19"/>
        <v>907.31497650000006</v>
      </c>
      <c r="T47" s="20">
        <f t="shared" si="19"/>
        <v>907.31497650000006</v>
      </c>
      <c r="U47" s="20">
        <f t="shared" si="19"/>
        <v>907.31497650000006</v>
      </c>
      <c r="V47" s="20">
        <f t="shared" si="19"/>
        <v>907.31497650000006</v>
      </c>
      <c r="W47" s="20">
        <f t="shared" si="19"/>
        <v>907.31497650000006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4.2301250000000001</v>
      </c>
      <c r="K50" s="12">
        <f t="shared" ref="K50:W50" si="20">J53</f>
        <v>17.847797187499999</v>
      </c>
      <c r="L50" s="12">
        <f t="shared" si="20"/>
        <v>37.685696250000007</v>
      </c>
      <c r="M50" s="12">
        <f t="shared" si="20"/>
        <v>59.052485331250011</v>
      </c>
      <c r="N50" s="12">
        <f t="shared" si="20"/>
        <v>81.310359743750013</v>
      </c>
      <c r="O50" s="12">
        <f t="shared" si="20"/>
        <v>103.99323415625001</v>
      </c>
      <c r="P50" s="12">
        <f t="shared" si="20"/>
        <v>126.67610856875001</v>
      </c>
      <c r="Q50" s="12">
        <f t="shared" si="20"/>
        <v>149.35898298125002</v>
      </c>
      <c r="R50" s="12">
        <f t="shared" si="20"/>
        <v>172.04185739375004</v>
      </c>
      <c r="S50" s="12">
        <f t="shared" si="20"/>
        <v>194.72473180625005</v>
      </c>
      <c r="T50" s="12">
        <f t="shared" si="20"/>
        <v>217.40760621875006</v>
      </c>
      <c r="U50" s="12">
        <f t="shared" si="20"/>
        <v>240.09048063125007</v>
      </c>
      <c r="V50" s="12">
        <f t="shared" si="20"/>
        <v>262.77335504375009</v>
      </c>
      <c r="W50" s="12">
        <f t="shared" si="20"/>
        <v>285.45622945625007</v>
      </c>
    </row>
    <row r="51" spans="1:23" s="8" customFormat="1" x14ac:dyDescent="0.2">
      <c r="A51" s="10">
        <f>A50+1</f>
        <v>31</v>
      </c>
      <c r="D51" s="13" t="s">
        <v>71</v>
      </c>
      <c r="E51" s="19"/>
      <c r="H51" s="12">
        <f>MAX(H13*(H43+0.5*H44),0)</f>
        <v>0</v>
      </c>
      <c r="I51" s="12">
        <f>MAX(I13*(I43+0.5*I44),0)</f>
        <v>4.2301250000000001</v>
      </c>
      <c r="J51" s="12">
        <f t="shared" ref="J51:W51" si="21">MIN(J13*(J43+0.5*J44),J43+J44-I53)</f>
        <v>13.6176721875</v>
      </c>
      <c r="K51" s="12">
        <f t="shared" si="21"/>
        <v>19.837899062500004</v>
      </c>
      <c r="L51" s="12">
        <f t="shared" si="21"/>
        <v>21.366789081250005</v>
      </c>
      <c r="M51" s="12">
        <f t="shared" si="21"/>
        <v>22.257874412500001</v>
      </c>
      <c r="N51" s="12">
        <f t="shared" si="21"/>
        <v>22.682874412500002</v>
      </c>
      <c r="O51" s="12">
        <f t="shared" si="21"/>
        <v>22.682874412500002</v>
      </c>
      <c r="P51" s="12">
        <f t="shared" si="21"/>
        <v>22.682874412500002</v>
      </c>
      <c r="Q51" s="12">
        <f t="shared" si="21"/>
        <v>22.682874412500002</v>
      </c>
      <c r="R51" s="12">
        <f t="shared" si="21"/>
        <v>22.682874412500002</v>
      </c>
      <c r="S51" s="12">
        <f t="shared" si="21"/>
        <v>22.682874412500002</v>
      </c>
      <c r="T51" s="12">
        <f t="shared" si="21"/>
        <v>22.682874412500002</v>
      </c>
      <c r="U51" s="12">
        <f t="shared" si="21"/>
        <v>22.682874412500002</v>
      </c>
      <c r="V51" s="12">
        <f t="shared" si="21"/>
        <v>22.682874412500002</v>
      </c>
      <c r="W51" s="12">
        <f t="shared" si="21"/>
        <v>22.682874412500002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4.2301250000000001</v>
      </c>
      <c r="J53" s="20">
        <f>SUM(J50:J52)</f>
        <v>17.847797187499999</v>
      </c>
      <c r="K53" s="20">
        <f t="shared" ref="K53:W53" si="23">SUM(K50:K52)</f>
        <v>37.685696250000007</v>
      </c>
      <c r="L53" s="20">
        <f t="shared" si="23"/>
        <v>59.052485331250011</v>
      </c>
      <c r="M53" s="20">
        <f t="shared" si="23"/>
        <v>81.310359743750013</v>
      </c>
      <c r="N53" s="20">
        <f t="shared" si="23"/>
        <v>103.99323415625001</v>
      </c>
      <c r="O53" s="20">
        <f t="shared" si="23"/>
        <v>126.67610856875001</v>
      </c>
      <c r="P53" s="20">
        <f t="shared" si="23"/>
        <v>149.35898298125002</v>
      </c>
      <c r="Q53" s="20">
        <f t="shared" si="23"/>
        <v>172.04185739375004</v>
      </c>
      <c r="R53" s="20">
        <f t="shared" si="23"/>
        <v>194.72473180625005</v>
      </c>
      <c r="S53" s="20">
        <f t="shared" si="23"/>
        <v>217.40760621875006</v>
      </c>
      <c r="T53" s="20">
        <f t="shared" si="23"/>
        <v>240.09048063125007</v>
      </c>
      <c r="U53" s="20">
        <f t="shared" si="23"/>
        <v>262.77335504375009</v>
      </c>
      <c r="V53" s="20">
        <f t="shared" si="23"/>
        <v>285.45622945625007</v>
      </c>
      <c r="W53" s="20">
        <f t="shared" si="23"/>
        <v>308.13910386875006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2.1150625000000001</v>
      </c>
      <c r="J54" s="20">
        <f>(J50+J53)/2</f>
        <v>11.03896109375</v>
      </c>
      <c r="K54" s="20">
        <f t="shared" ref="K54:W54" si="24">(K50+K53)/2</f>
        <v>27.766746718750003</v>
      </c>
      <c r="L54" s="20">
        <f t="shared" si="24"/>
        <v>48.369090790625009</v>
      </c>
      <c r="M54" s="20">
        <f t="shared" si="24"/>
        <v>70.181422537500012</v>
      </c>
      <c r="N54" s="20">
        <f t="shared" si="24"/>
        <v>92.651796950000005</v>
      </c>
      <c r="O54" s="20">
        <f t="shared" si="24"/>
        <v>115.33467136250002</v>
      </c>
      <c r="P54" s="20">
        <f t="shared" si="24"/>
        <v>138.01754577500003</v>
      </c>
      <c r="Q54" s="20">
        <f t="shared" si="24"/>
        <v>160.70042018750001</v>
      </c>
      <c r="R54" s="20">
        <f t="shared" si="24"/>
        <v>183.38329460000006</v>
      </c>
      <c r="S54" s="20">
        <f t="shared" si="24"/>
        <v>206.06616901250004</v>
      </c>
      <c r="T54" s="20">
        <f t="shared" si="24"/>
        <v>228.74904342500008</v>
      </c>
      <c r="U54" s="20">
        <f t="shared" si="24"/>
        <v>251.43191783750007</v>
      </c>
      <c r="V54" s="20">
        <f t="shared" si="24"/>
        <v>274.11479225000005</v>
      </c>
      <c r="W54" s="20">
        <f t="shared" si="24"/>
        <v>296.79766666250009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321.48950000000002</v>
      </c>
      <c r="K57" s="12">
        <f t="shared" ref="K57:W57" si="25">J60</f>
        <v>681.30463625000004</v>
      </c>
      <c r="L57" s="12">
        <f t="shared" si="25"/>
        <v>693.94732887500004</v>
      </c>
      <c r="M57" s="12">
        <f t="shared" si="25"/>
        <v>659.97508116250003</v>
      </c>
      <c r="N57" s="12">
        <f t="shared" si="25"/>
        <v>626.27757304625004</v>
      </c>
      <c r="O57" s="12">
        <f t="shared" si="25"/>
        <v>563.64981574162505</v>
      </c>
      <c r="P57" s="12">
        <f t="shared" si="25"/>
        <v>506.28569556296253</v>
      </c>
      <c r="Q57" s="12">
        <f t="shared" si="25"/>
        <v>451.44154770216755</v>
      </c>
      <c r="R57" s="12">
        <f t="shared" si="25"/>
        <v>397.3961822204858</v>
      </c>
      <c r="S57" s="12">
        <f t="shared" si="25"/>
        <v>343.70860317313731</v>
      </c>
      <c r="T57" s="12">
        <f t="shared" si="25"/>
        <v>290.13256112578881</v>
      </c>
      <c r="U57" s="12">
        <f t="shared" si="25"/>
        <v>236.55651907844032</v>
      </c>
      <c r="V57" s="12">
        <f t="shared" si="25"/>
        <v>182.98047703109182</v>
      </c>
      <c r="W57" s="12">
        <f t="shared" si="25"/>
        <v>129.40443498374336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338.41</v>
      </c>
      <c r="J58" s="12">
        <f t="shared" ref="J58:W58" si="26">-J38</f>
        <v>412.59377500000005</v>
      </c>
      <c r="K58" s="12">
        <f t="shared" si="26"/>
        <v>85.024375000000006</v>
      </c>
      <c r="L58" s="12">
        <f t="shared" si="26"/>
        <v>37.286826499999997</v>
      </c>
      <c r="M58" s="12">
        <f t="shared" si="26"/>
        <v>34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H59" s="12">
        <f>-I23*H58</f>
        <v>0</v>
      </c>
      <c r="I59" s="12">
        <f>-I23*I58-H58*J23</f>
        <v>-16.920500000000001</v>
      </c>
      <c r="J59" s="12">
        <f>-I23*J58-J23*I58-H58*K23</f>
        <v>-52.778638749999999</v>
      </c>
      <c r="K59" s="12">
        <f>-I23*K58-J23*J58-K23*I58-H58*L23</f>
        <v>-72.381682375000011</v>
      </c>
      <c r="L59" s="12">
        <f>-I23*L58-J23*K58-K23*J58-L23*I58-H58*M23</f>
        <v>-71.259074212500011</v>
      </c>
      <c r="M59" s="12">
        <f>-I23*M58-J23*L58-K23*K58-L23*J58-M23*I58-H58*N23</f>
        <v>-67.697508116250006</v>
      </c>
      <c r="N59" s="12">
        <f>-I23*N58-J23*M58-K23*L58-L23*K58-M23*J58-N23*I58-H58*O23</f>
        <v>-62.627757304625007</v>
      </c>
      <c r="O59" s="12">
        <f>-I23*O58-J23*N58-K23*M58-L23*L58-M23*K58-N23*J58-O23*I58-H58*P23</f>
        <v>-57.364120178662503</v>
      </c>
      <c r="P59" s="12">
        <f>-I23*P58-J23*O58-K23*N58-L23*M58-M23*L58-N23*K58-O23*J58-P23*I58-H58*Q23</f>
        <v>-54.844147860795005</v>
      </c>
      <c r="Q59" s="12">
        <f>-I23*Q58-J23*P58-K23*O58-L23*N58-M23*M58-N23*L58-O23*K58-P23*J58-Q23*I58-H58*R23</f>
        <v>-54.045365481681742</v>
      </c>
      <c r="R59" s="12">
        <f>-I23*R58-J23*Q58-K23*P58-L23*O58-M23*N58-N23*M58-O23*L58-P23*K58-Q23*J58-R23*I58-H58*S23</f>
        <v>-53.6875790473485</v>
      </c>
      <c r="S59" s="12">
        <f>-I23*S58-J23*R58-K23*Q58-L23*P58-M23*O58-N23*N58-O23*M58-P23*L58-Q23*K58-R23*J58-S23*I58-H58*T23</f>
        <v>-53.576042047348494</v>
      </c>
      <c r="T59" s="12">
        <f>-I23*T58-J23*S58-K23*R58-L23*Q58-M23*P58-N23*O58-O23*N58-P23*M58-Q23*L58-R23*K58-S23*J58-T23*I58-H58*U23</f>
        <v>-53.576042047348494</v>
      </c>
      <c r="U59" s="12">
        <f>-I23*U58-J23*T58-K23*S58-L23*R58-M23*Q58-N23*P58-O23*O58-P23*N58-Q23*M58-R23*L58-S23*K58-T23*J58-U23*I58-H58*V23</f>
        <v>-53.576042047348487</v>
      </c>
      <c r="V59" s="12">
        <f>-I23*V58-J23*U58-K23*T58-L23*S58-M23*R58-N23*Q58-O23*P58-P23*O58-Q23*N58-R23*M58-S23*L58-T23*K58-U23*J58-V23*I58-H58*W23</f>
        <v>-53.576042047348466</v>
      </c>
      <c r="W59" s="12">
        <f>-I23*W58-J23*V58-K23*U58-L23*T58-M23*S58-N23*R58-O23*Q58-P23*P58-Q23*O58-R23*N58-S23*M58-T23*L58-U23*K58-V23*J58-W23*I58-H58*X23</f>
        <v>-53.57604204734848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321.48950000000002</v>
      </c>
      <c r="J60" s="20">
        <f t="shared" si="27"/>
        <v>681.30463625000004</v>
      </c>
      <c r="K60" s="20">
        <f t="shared" si="27"/>
        <v>693.94732887500004</v>
      </c>
      <c r="L60" s="20">
        <f t="shared" si="27"/>
        <v>659.97508116250003</v>
      </c>
      <c r="M60" s="20">
        <f t="shared" si="27"/>
        <v>626.27757304625004</v>
      </c>
      <c r="N60" s="20">
        <f t="shared" si="27"/>
        <v>563.64981574162505</v>
      </c>
      <c r="O60" s="20">
        <f t="shared" si="27"/>
        <v>506.28569556296253</v>
      </c>
      <c r="P60" s="20">
        <f t="shared" si="27"/>
        <v>451.44154770216755</v>
      </c>
      <c r="Q60" s="20">
        <f t="shared" si="27"/>
        <v>397.3961822204858</v>
      </c>
      <c r="R60" s="20">
        <f t="shared" si="27"/>
        <v>343.70860317313731</v>
      </c>
      <c r="S60" s="20">
        <f t="shared" si="27"/>
        <v>290.13256112578881</v>
      </c>
      <c r="T60" s="20">
        <f t="shared" si="27"/>
        <v>236.55651907844032</v>
      </c>
      <c r="U60" s="20">
        <f t="shared" si="27"/>
        <v>182.98047703109182</v>
      </c>
      <c r="V60" s="20">
        <f t="shared" si="27"/>
        <v>129.40443498374336</v>
      </c>
      <c r="W60" s="20">
        <f t="shared" si="27"/>
        <v>75.828392936394877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329.94975000000005</v>
      </c>
      <c r="K63" s="12">
        <f t="shared" si="28"/>
        <v>715.731193125</v>
      </c>
      <c r="L63" s="12">
        <f t="shared" si="28"/>
        <v>762.84339909375001</v>
      </c>
      <c r="M63" s="12">
        <f t="shared" si="28"/>
        <v>761.05588497656242</v>
      </c>
      <c r="N63" s="12">
        <f t="shared" si="28"/>
        <v>756.15309072773425</v>
      </c>
      <c r="O63" s="12">
        <f t="shared" si="28"/>
        <v>718.34543619134752</v>
      </c>
      <c r="P63" s="12">
        <f t="shared" si="28"/>
        <v>682.42816438178011</v>
      </c>
      <c r="Q63" s="12">
        <f t="shared" si="28"/>
        <v>648.30675616269104</v>
      </c>
      <c r="R63" s="12">
        <f t="shared" si="28"/>
        <v>615.89141835455644</v>
      </c>
      <c r="S63" s="12">
        <f t="shared" si="28"/>
        <v>585.09684743682863</v>
      </c>
      <c r="T63" s="12">
        <f t="shared" si="28"/>
        <v>555.84200506498723</v>
      </c>
      <c r="U63" s="12">
        <f t="shared" si="28"/>
        <v>528.04990481173786</v>
      </c>
      <c r="V63" s="12">
        <f t="shared" si="28"/>
        <v>501.64740957115094</v>
      </c>
      <c r="W63" s="12">
        <f t="shared" si="28"/>
        <v>476.56503909259339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338.41</v>
      </c>
      <c r="J64" s="12">
        <f t="shared" ref="J64:W64" si="29">-J38</f>
        <v>412.59377500000005</v>
      </c>
      <c r="K64" s="12">
        <f t="shared" si="29"/>
        <v>85.024375000000006</v>
      </c>
      <c r="L64" s="12">
        <f t="shared" si="29"/>
        <v>37.286826499999997</v>
      </c>
      <c r="M64" s="12">
        <f t="shared" si="29"/>
        <v>34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H65" s="12">
        <f>-H13*$F27*(H63+0.5*H64)</f>
        <v>0</v>
      </c>
      <c r="I65" s="12">
        <f t="shared" ref="I65:W65" si="30">-I13*$F27*(I63+0.5*I64)</f>
        <v>-8.4602500000000003</v>
      </c>
      <c r="J65" s="12">
        <f t="shared" si="30"/>
        <v>-26.812331875000009</v>
      </c>
      <c r="K65" s="12">
        <f t="shared" si="30"/>
        <v>-37.912169031250002</v>
      </c>
      <c r="L65" s="12">
        <f t="shared" si="30"/>
        <v>-39.074340617187502</v>
      </c>
      <c r="M65" s="12">
        <f t="shared" si="30"/>
        <v>-38.902794248828123</v>
      </c>
      <c r="N65" s="12">
        <f t="shared" si="30"/>
        <v>-37.807654536386714</v>
      </c>
      <c r="O65" s="12">
        <f t="shared" si="30"/>
        <v>-35.917271809567374</v>
      </c>
      <c r="P65" s="12">
        <f t="shared" si="30"/>
        <v>-34.121408219089005</v>
      </c>
      <c r="Q65" s="12">
        <f t="shared" si="30"/>
        <v>-32.415337808134552</v>
      </c>
      <c r="R65" s="12">
        <f t="shared" si="30"/>
        <v>-30.794570917727825</v>
      </c>
      <c r="S65" s="12">
        <f t="shared" si="30"/>
        <v>-29.254842371841434</v>
      </c>
      <c r="T65" s="12">
        <f t="shared" si="30"/>
        <v>-27.792100253249362</v>
      </c>
      <c r="U65" s="12">
        <f t="shared" si="30"/>
        <v>-26.402495240586894</v>
      </c>
      <c r="V65" s="12">
        <f t="shared" si="30"/>
        <v>-25.08237047855755</v>
      </c>
      <c r="W65" s="12">
        <f t="shared" si="30"/>
        <v>-23.828251954629671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329.94975000000005</v>
      </c>
      <c r="J66" s="20">
        <f t="shared" si="31"/>
        <v>715.731193125</v>
      </c>
      <c r="K66" s="20">
        <f t="shared" si="31"/>
        <v>762.84339909375001</v>
      </c>
      <c r="L66" s="20">
        <f t="shared" si="31"/>
        <v>761.05588497656242</v>
      </c>
      <c r="M66" s="20">
        <f t="shared" si="31"/>
        <v>756.15309072773425</v>
      </c>
      <c r="N66" s="20">
        <f t="shared" si="31"/>
        <v>718.34543619134752</v>
      </c>
      <c r="O66" s="20">
        <f t="shared" si="31"/>
        <v>682.42816438178011</v>
      </c>
      <c r="P66" s="20">
        <f t="shared" si="31"/>
        <v>648.30675616269104</v>
      </c>
      <c r="Q66" s="20">
        <f t="shared" si="31"/>
        <v>615.89141835455644</v>
      </c>
      <c r="R66" s="20">
        <f t="shared" si="31"/>
        <v>585.09684743682863</v>
      </c>
      <c r="S66" s="20">
        <f t="shared" si="31"/>
        <v>555.84200506498723</v>
      </c>
      <c r="T66" s="20">
        <f t="shared" si="31"/>
        <v>528.04990481173786</v>
      </c>
      <c r="U66" s="20">
        <f t="shared" si="31"/>
        <v>501.64740957115094</v>
      </c>
      <c r="V66" s="20">
        <f t="shared" si="31"/>
        <v>476.56503909259339</v>
      </c>
      <c r="W66" s="20">
        <f t="shared" si="31"/>
        <v>452.73678713796374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2.9603937594999996</v>
      </c>
      <c r="K69" s="12">
        <f t="shared" ref="K69:W69" si="32">J72</f>
        <v>12.105658991561249</v>
      </c>
      <c r="L69" s="12">
        <f t="shared" si="32"/>
        <v>24.402088204723874</v>
      </c>
      <c r="M69" s="12">
        <f t="shared" si="32"/>
        <v>36.116092651350108</v>
      </c>
      <c r="N69" s="12">
        <f t="shared" si="32"/>
        <v>46.820830350827421</v>
      </c>
      <c r="O69" s="12">
        <f t="shared" si="32"/>
        <v>56.265509902905421</v>
      </c>
      <c r="P69" s="12">
        <f t="shared" si="32"/>
        <v>64.472808890421149</v>
      </c>
      <c r="Q69" s="12">
        <f t="shared" si="32"/>
        <v>72.025497761480054</v>
      </c>
      <c r="R69" s="12">
        <f t="shared" si="32"/>
        <v>79.291297199705753</v>
      </c>
      <c r="S69" s="12">
        <f t="shared" si="32"/>
        <v>86.368773610163018</v>
      </c>
      <c r="T69" s="12">
        <f t="shared" si="32"/>
        <v>93.315298767889772</v>
      </c>
      <c r="U69" s="12">
        <f t="shared" si="32"/>
        <v>100.15967186702252</v>
      </c>
      <c r="V69" s="12">
        <f t="shared" si="32"/>
        <v>106.90700051049099</v>
      </c>
      <c r="W69" s="12">
        <f t="shared" si="32"/>
        <v>113.56213692107836</v>
      </c>
    </row>
    <row r="70" spans="1:23" s="8" customFormat="1" x14ac:dyDescent="0.2">
      <c r="A70" s="10">
        <f>A69+1</f>
        <v>44</v>
      </c>
      <c r="D70" s="13" t="s">
        <v>76</v>
      </c>
      <c r="E70" s="19"/>
      <c r="H70" s="12">
        <f>($F24="Y")*H25*(-H59-H51-H71)</f>
        <v>0</v>
      </c>
      <c r="I70" s="12">
        <f>($F24="Y")*I25*(-I59-I51-I71)</f>
        <v>2.5864507094999998</v>
      </c>
      <c r="J70" s="12">
        <f>($F24="Y")*J25*(-J59-J51-J71)</f>
        <v>7.9788573156862501</v>
      </c>
      <c r="K70" s="12">
        <f t="shared" ref="K70:W70" si="33">($F24="Y")*K25*(-K59-K51-K71)</f>
        <v>10.698663747925126</v>
      </c>
      <c r="L70" s="12">
        <f t="shared" si="33"/>
        <v>10.148656890849358</v>
      </c>
      <c r="M70" s="12">
        <f t="shared" si="33"/>
        <v>9.2333267859459056</v>
      </c>
      <c r="N70" s="12">
        <f t="shared" si="33"/>
        <v>8.1076489891264192</v>
      </c>
      <c r="O70" s="12">
        <f t="shared" si="33"/>
        <v>7.0373782576149679</v>
      </c>
      <c r="P70" s="12">
        <f t="shared" si="33"/>
        <v>6.5415224825564326</v>
      </c>
      <c r="Q70" s="12">
        <f t="shared" si="33"/>
        <v>6.4054496740516047</v>
      </c>
      <c r="R70" s="12">
        <f t="shared" si="33"/>
        <v>6.3604024393951351</v>
      </c>
      <c r="S70" s="12">
        <f t="shared" si="33"/>
        <v>6.3655631901209686</v>
      </c>
      <c r="T70" s="12">
        <f t="shared" si="33"/>
        <v>6.3927175348105116</v>
      </c>
      <c r="U70" s="12">
        <f t="shared" si="33"/>
        <v>6.418514162265577</v>
      </c>
      <c r="V70" s="12">
        <f t="shared" si="33"/>
        <v>6.4430209583478844</v>
      </c>
      <c r="W70" s="12">
        <f t="shared" si="33"/>
        <v>6.4663024146260843</v>
      </c>
    </row>
    <row r="71" spans="1:23" s="8" customFormat="1" x14ac:dyDescent="0.2">
      <c r="A71" s="10">
        <f>A70+1</f>
        <v>45</v>
      </c>
      <c r="D71" s="13" t="s">
        <v>77</v>
      </c>
      <c r="E71" s="19"/>
      <c r="H71" s="12">
        <f>($F28="Y")*H29*(-H65-H51)</f>
        <v>0</v>
      </c>
      <c r="I71" s="12">
        <f>($F28="Y")*I29*(-I65-I51)</f>
        <v>0.37394305000000005</v>
      </c>
      <c r="J71" s="12">
        <f t="shared" ref="J71:W71" si="34">($F28="Y")*J29*(-J65-J51)</f>
        <v>1.1664079163750007</v>
      </c>
      <c r="K71" s="12">
        <f t="shared" si="34"/>
        <v>1.5977654652375</v>
      </c>
      <c r="L71" s="12">
        <f t="shared" si="34"/>
        <v>1.5653475557768748</v>
      </c>
      <c r="M71" s="12">
        <f t="shared" si="34"/>
        <v>1.471410913531406</v>
      </c>
      <c r="N71" s="12">
        <f t="shared" si="34"/>
        <v>1.3370305629515855</v>
      </c>
      <c r="O71" s="12">
        <f t="shared" si="34"/>
        <v>1.1699207299007557</v>
      </c>
      <c r="P71" s="12">
        <f t="shared" si="34"/>
        <v>1.011166388502468</v>
      </c>
      <c r="Q71" s="12">
        <f t="shared" si="34"/>
        <v>0.86034976417409426</v>
      </c>
      <c r="R71" s="12">
        <f t="shared" si="34"/>
        <v>0.71707397106213955</v>
      </c>
      <c r="S71" s="12">
        <f t="shared" si="34"/>
        <v>0.58096196760578267</v>
      </c>
      <c r="T71" s="12">
        <f t="shared" si="34"/>
        <v>0.45165556432224346</v>
      </c>
      <c r="U71" s="12">
        <f t="shared" si="34"/>
        <v>0.32881448120288131</v>
      </c>
      <c r="V71" s="12">
        <f t="shared" si="34"/>
        <v>0.21211545223948725</v>
      </c>
      <c r="W71" s="12">
        <f t="shared" si="34"/>
        <v>0.10125137472426275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2.9603937594999996</v>
      </c>
      <c r="J72" s="20">
        <f>SUM(J69:J71)</f>
        <v>12.105658991561249</v>
      </c>
      <c r="K72" s="20">
        <f t="shared" ref="K72:W72" si="35">SUM(K69:K71)</f>
        <v>24.402088204723874</v>
      </c>
      <c r="L72" s="20">
        <f t="shared" si="35"/>
        <v>36.116092651350108</v>
      </c>
      <c r="M72" s="20">
        <f t="shared" si="35"/>
        <v>46.820830350827421</v>
      </c>
      <c r="N72" s="20">
        <f t="shared" si="35"/>
        <v>56.265509902905421</v>
      </c>
      <c r="O72" s="20">
        <f t="shared" si="35"/>
        <v>64.472808890421149</v>
      </c>
      <c r="P72" s="20">
        <f t="shared" si="35"/>
        <v>72.025497761480054</v>
      </c>
      <c r="Q72" s="20">
        <f t="shared" si="35"/>
        <v>79.291297199705753</v>
      </c>
      <c r="R72" s="20">
        <f t="shared" si="35"/>
        <v>86.368773610163018</v>
      </c>
      <c r="S72" s="20">
        <f t="shared" si="35"/>
        <v>93.315298767889772</v>
      </c>
      <c r="T72" s="20">
        <f t="shared" si="35"/>
        <v>100.15967186702252</v>
      </c>
      <c r="U72" s="20">
        <f t="shared" si="35"/>
        <v>106.90700051049099</v>
      </c>
      <c r="V72" s="20">
        <f t="shared" si="35"/>
        <v>113.56213692107836</v>
      </c>
      <c r="W72" s="20">
        <f t="shared" si="35"/>
        <v>120.1296907104287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1.4801968797499998</v>
      </c>
      <c r="J73" s="20">
        <f>(J69+J72)/2</f>
        <v>7.5330263755306248</v>
      </c>
      <c r="K73" s="20">
        <f t="shared" ref="K73:W73" si="36">(K69+K72)/2</f>
        <v>18.253873598142562</v>
      </c>
      <c r="L73" s="20">
        <f t="shared" si="36"/>
        <v>30.259090428036991</v>
      </c>
      <c r="M73" s="20">
        <f t="shared" si="36"/>
        <v>41.468461501088768</v>
      </c>
      <c r="N73" s="20">
        <f t="shared" si="36"/>
        <v>51.543170126866421</v>
      </c>
      <c r="O73" s="20">
        <f t="shared" si="36"/>
        <v>60.369159396663285</v>
      </c>
      <c r="P73" s="20">
        <f t="shared" si="36"/>
        <v>68.249153325950601</v>
      </c>
      <c r="Q73" s="20">
        <f t="shared" si="36"/>
        <v>75.658397480592896</v>
      </c>
      <c r="R73" s="20">
        <f t="shared" si="36"/>
        <v>82.830035404934392</v>
      </c>
      <c r="S73" s="20">
        <f t="shared" si="36"/>
        <v>89.842036189026402</v>
      </c>
      <c r="T73" s="20">
        <f t="shared" si="36"/>
        <v>96.737485317456148</v>
      </c>
      <c r="U73" s="20">
        <f t="shared" si="36"/>
        <v>103.53333618875675</v>
      </c>
      <c r="V73" s="20">
        <f t="shared" si="36"/>
        <v>110.23456871578468</v>
      </c>
      <c r="W73" s="20">
        <f t="shared" si="36"/>
        <v>116.84591381575353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169.20500000000001</v>
      </c>
      <c r="J76" s="12">
        <f t="shared" si="37"/>
        <v>544.70688750000011</v>
      </c>
      <c r="K76" s="12">
        <f t="shared" si="37"/>
        <v>793.51596250000011</v>
      </c>
      <c r="L76" s="12">
        <f t="shared" si="37"/>
        <v>854.67156325000008</v>
      </c>
      <c r="M76" s="12">
        <f t="shared" si="37"/>
        <v>890.31497650000006</v>
      </c>
      <c r="N76" s="12">
        <f t="shared" si="37"/>
        <v>907.31497650000006</v>
      </c>
      <c r="O76" s="12">
        <f t="shared" si="37"/>
        <v>907.31497650000006</v>
      </c>
      <c r="P76" s="12">
        <f t="shared" si="37"/>
        <v>907.31497650000006</v>
      </c>
      <c r="Q76" s="12">
        <f t="shared" si="37"/>
        <v>907.31497650000006</v>
      </c>
      <c r="R76" s="12">
        <f t="shared" si="37"/>
        <v>907.31497650000006</v>
      </c>
      <c r="S76" s="12">
        <f t="shared" si="37"/>
        <v>907.31497650000006</v>
      </c>
      <c r="T76" s="12">
        <f t="shared" si="37"/>
        <v>907.31497650000006</v>
      </c>
      <c r="U76" s="12">
        <f t="shared" si="37"/>
        <v>907.31497650000006</v>
      </c>
      <c r="V76" s="12">
        <f t="shared" si="37"/>
        <v>907.31497650000006</v>
      </c>
      <c r="W76" s="12">
        <f t="shared" si="37"/>
        <v>907.31497650000006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-2.1150625000000001</v>
      </c>
      <c r="J77" s="12">
        <f t="shared" si="38"/>
        <v>-11.03896109375</v>
      </c>
      <c r="K77" s="12">
        <f t="shared" si="38"/>
        <v>-27.766746718750003</v>
      </c>
      <c r="L77" s="12">
        <f t="shared" si="38"/>
        <v>-48.369090790625009</v>
      </c>
      <c r="M77" s="12">
        <f t="shared" si="38"/>
        <v>-70.181422537500012</v>
      </c>
      <c r="N77" s="12">
        <f t="shared" si="38"/>
        <v>-92.651796950000005</v>
      </c>
      <c r="O77" s="12">
        <f t="shared" si="38"/>
        <v>-115.33467136250002</v>
      </c>
      <c r="P77" s="12">
        <f t="shared" si="38"/>
        <v>-138.01754577500003</v>
      </c>
      <c r="Q77" s="12">
        <f t="shared" si="38"/>
        <v>-160.70042018750001</v>
      </c>
      <c r="R77" s="12">
        <f t="shared" si="38"/>
        <v>-183.38329460000006</v>
      </c>
      <c r="S77" s="12">
        <f t="shared" si="38"/>
        <v>-206.06616901250004</v>
      </c>
      <c r="T77" s="12">
        <f t="shared" si="38"/>
        <v>-228.74904342500008</v>
      </c>
      <c r="U77" s="12">
        <f t="shared" si="38"/>
        <v>-251.43191783750007</v>
      </c>
      <c r="V77" s="12">
        <f t="shared" si="38"/>
        <v>-274.11479225000005</v>
      </c>
      <c r="W77" s="12">
        <f t="shared" si="38"/>
        <v>-296.79766666250009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-1.4801968797499998</v>
      </c>
      <c r="J79" s="12">
        <f>-J73</f>
        <v>-7.5330263755306248</v>
      </c>
      <c r="K79" s="12">
        <f t="shared" ref="K79:W79" si="40">-K73</f>
        <v>-18.253873598142562</v>
      </c>
      <c r="L79" s="12">
        <f t="shared" si="40"/>
        <v>-30.259090428036991</v>
      </c>
      <c r="M79" s="12">
        <f t="shared" si="40"/>
        <v>-41.468461501088768</v>
      </c>
      <c r="N79" s="12">
        <f t="shared" si="40"/>
        <v>-51.543170126866421</v>
      </c>
      <c r="O79" s="12">
        <f t="shared" si="40"/>
        <v>-60.369159396663285</v>
      </c>
      <c r="P79" s="12">
        <f t="shared" si="40"/>
        <v>-68.249153325950601</v>
      </c>
      <c r="Q79" s="12">
        <f t="shared" si="40"/>
        <v>-75.658397480592896</v>
      </c>
      <c r="R79" s="12">
        <f t="shared" si="40"/>
        <v>-82.830035404934392</v>
      </c>
      <c r="S79" s="12">
        <f t="shared" si="40"/>
        <v>-89.842036189026402</v>
      </c>
      <c r="T79" s="12">
        <f t="shared" si="40"/>
        <v>-96.737485317456148</v>
      </c>
      <c r="U79" s="12">
        <f t="shared" si="40"/>
        <v>-103.53333618875675</v>
      </c>
      <c r="V79" s="12">
        <f t="shared" si="40"/>
        <v>-110.23456871578468</v>
      </c>
      <c r="W79" s="12">
        <f t="shared" si="40"/>
        <v>-116.84591381575353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165.60974062025002</v>
      </c>
      <c r="J80" s="20">
        <f>SUM(J76:J79)</f>
        <v>526.13490003071945</v>
      </c>
      <c r="K80" s="20">
        <f t="shared" ref="K80:W80" si="41">SUM(K76:K79)</f>
        <v>747.49534218310748</v>
      </c>
      <c r="L80" s="20">
        <f t="shared" si="41"/>
        <v>776.04338203133807</v>
      </c>
      <c r="M80" s="20">
        <f t="shared" si="41"/>
        <v>778.66509246141129</v>
      </c>
      <c r="N80" s="20">
        <f t="shared" si="41"/>
        <v>763.12000942313352</v>
      </c>
      <c r="O80" s="20">
        <f t="shared" si="41"/>
        <v>731.61114574083683</v>
      </c>
      <c r="P80" s="20">
        <f t="shared" si="41"/>
        <v>701.04827739904943</v>
      </c>
      <c r="Q80" s="20">
        <f t="shared" si="41"/>
        <v>670.95615883190726</v>
      </c>
      <c r="R80" s="20">
        <f t="shared" si="41"/>
        <v>641.10164649506567</v>
      </c>
      <c r="S80" s="20">
        <f t="shared" si="41"/>
        <v>611.40677129847359</v>
      </c>
      <c r="T80" s="20">
        <f t="shared" si="41"/>
        <v>581.82844775754381</v>
      </c>
      <c r="U80" s="20">
        <f t="shared" si="41"/>
        <v>552.34972247374321</v>
      </c>
      <c r="V80" s="20">
        <f t="shared" si="41"/>
        <v>522.96561553421532</v>
      </c>
      <c r="W80" s="20">
        <f t="shared" si="41"/>
        <v>493.67139602174643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4.2301250000000001</v>
      </c>
      <c r="J83" s="12">
        <f t="shared" si="42"/>
        <v>13.6176721875</v>
      </c>
      <c r="K83" s="12">
        <f t="shared" si="42"/>
        <v>19.837899062500004</v>
      </c>
      <c r="L83" s="12">
        <f t="shared" si="42"/>
        <v>21.366789081250005</v>
      </c>
      <c r="M83" s="12">
        <f t="shared" si="42"/>
        <v>22.257874412500001</v>
      </c>
      <c r="N83" s="12">
        <f t="shared" si="42"/>
        <v>22.682874412500002</v>
      </c>
      <c r="O83" s="12">
        <f t="shared" si="42"/>
        <v>22.682874412500002</v>
      </c>
      <c r="P83" s="12">
        <f t="shared" si="42"/>
        <v>22.682874412500002</v>
      </c>
      <c r="Q83" s="12">
        <f t="shared" si="42"/>
        <v>22.682874412500002</v>
      </c>
      <c r="R83" s="12">
        <f t="shared" si="42"/>
        <v>22.682874412500002</v>
      </c>
      <c r="S83" s="12">
        <f t="shared" si="42"/>
        <v>22.682874412500002</v>
      </c>
      <c r="T83" s="12">
        <f t="shared" si="42"/>
        <v>22.682874412500002</v>
      </c>
      <c r="U83" s="12">
        <f t="shared" si="42"/>
        <v>22.682874412500002</v>
      </c>
      <c r="V83" s="12">
        <f t="shared" si="42"/>
        <v>22.682874412500002</v>
      </c>
      <c r="W83" s="12">
        <f t="shared" si="42"/>
        <v>22.682874412500002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4.9682922186075009</v>
      </c>
      <c r="J84" s="12">
        <f t="shared" si="44"/>
        <v>15.784047000921582</v>
      </c>
      <c r="K84" s="12">
        <f t="shared" si="44"/>
        <v>22.424860265493223</v>
      </c>
      <c r="L84" s="12">
        <f t="shared" si="44"/>
        <v>23.281301460940142</v>
      </c>
      <c r="M84" s="12">
        <f t="shared" si="44"/>
        <v>23.359952773842338</v>
      </c>
      <c r="N84" s="12">
        <f t="shared" si="44"/>
        <v>22.893600282694006</v>
      </c>
      <c r="O84" s="12">
        <f t="shared" si="44"/>
        <v>21.948334372225105</v>
      </c>
      <c r="P84" s="12">
        <f t="shared" si="44"/>
        <v>21.031448321971482</v>
      </c>
      <c r="Q84" s="12">
        <f t="shared" si="44"/>
        <v>20.128684764957217</v>
      </c>
      <c r="R84" s="12">
        <f t="shared" si="44"/>
        <v>19.233049394851971</v>
      </c>
      <c r="S84" s="12">
        <f t="shared" si="44"/>
        <v>18.342203138954208</v>
      </c>
      <c r="T84" s="12">
        <f t="shared" si="44"/>
        <v>17.454853432726313</v>
      </c>
      <c r="U84" s="12">
        <f t="shared" si="44"/>
        <v>16.570491674212295</v>
      </c>
      <c r="V84" s="12">
        <f t="shared" si="44"/>
        <v>15.688968466026459</v>
      </c>
      <c r="W84" s="12">
        <f t="shared" si="44"/>
        <v>14.810141880652392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9.1085357341137509</v>
      </c>
      <c r="J85" s="12">
        <f t="shared" si="45"/>
        <v>28.937419501689568</v>
      </c>
      <c r="K85" s="12">
        <f t="shared" si="45"/>
        <v>41.112243820070908</v>
      </c>
      <c r="L85" s="12">
        <f t="shared" si="45"/>
        <v>42.682386011723594</v>
      </c>
      <c r="M85" s="12">
        <f t="shared" si="45"/>
        <v>42.826580085377621</v>
      </c>
      <c r="N85" s="12">
        <f t="shared" si="45"/>
        <v>41.971600518272346</v>
      </c>
      <c r="O85" s="12">
        <f t="shared" si="45"/>
        <v>40.238613015746026</v>
      </c>
      <c r="P85" s="12">
        <f t="shared" si="45"/>
        <v>38.557655256947719</v>
      </c>
      <c r="Q85" s="12">
        <f t="shared" si="45"/>
        <v>36.902588735754897</v>
      </c>
      <c r="R85" s="12">
        <f t="shared" si="45"/>
        <v>35.26059055722861</v>
      </c>
      <c r="S85" s="12">
        <f t="shared" si="45"/>
        <v>33.627372421416048</v>
      </c>
      <c r="T85" s="12">
        <f t="shared" si="45"/>
        <v>32.000564626664911</v>
      </c>
      <c r="U85" s="12">
        <f t="shared" si="45"/>
        <v>30.379234736055878</v>
      </c>
      <c r="V85" s="12">
        <f t="shared" si="45"/>
        <v>28.763108854381844</v>
      </c>
      <c r="W85" s="12">
        <f t="shared" si="45"/>
        <v>27.151926781196053</v>
      </c>
    </row>
    <row r="86" spans="1:24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2.4212563343846676</v>
      </c>
      <c r="J86" s="12">
        <f t="shared" ref="J86:W86" si="46">IF($F24="Y",J85*J25/(1-J25),J85*J25/(1-J25)+(J51+J59)*J25)</f>
        <v>7.6922254371579859</v>
      </c>
      <c r="K86" s="12">
        <f t="shared" si="46"/>
        <v>10.928571142044165</v>
      </c>
      <c r="L86" s="12">
        <f t="shared" si="46"/>
        <v>11.345950711977158</v>
      </c>
      <c r="M86" s="12">
        <f t="shared" si="46"/>
        <v>11.384280782188988</v>
      </c>
      <c r="N86" s="12">
        <f t="shared" si="46"/>
        <v>11.157007732705308</v>
      </c>
      <c r="O86" s="12">
        <f t="shared" si="46"/>
        <v>10.696340168742614</v>
      </c>
      <c r="P86" s="12">
        <f t="shared" si="46"/>
        <v>10.249503296150658</v>
      </c>
      <c r="Q86" s="12">
        <f t="shared" si="46"/>
        <v>9.8095489044411757</v>
      </c>
      <c r="R86" s="12">
        <f t="shared" si="46"/>
        <v>9.3730683759721618</v>
      </c>
      <c r="S86" s="12">
        <f t="shared" si="46"/>
        <v>8.9389217829080625</v>
      </c>
      <c r="T86" s="12">
        <f t="shared" si="46"/>
        <v>8.506479204556495</v>
      </c>
      <c r="U86" s="12">
        <f t="shared" si="46"/>
        <v>8.0754927779389032</v>
      </c>
      <c r="V86" s="12">
        <f t="shared" si="46"/>
        <v>7.6458896954685907</v>
      </c>
      <c r="W86" s="12">
        <f t="shared" si="46"/>
        <v>7.2176007899381904</v>
      </c>
    </row>
    <row r="87" spans="1:24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1.1180711044923872</v>
      </c>
      <c r="J87" s="12">
        <f t="shared" ref="J87:W87" si="47">IF($F28="Y",(J85+J86)*J29/(1-J29),(J85+J86)*J29/(1-J29)+(J51+J65)*J29)</f>
        <v>3.5520629800286576</v>
      </c>
      <c r="K87" s="12">
        <f t="shared" si="47"/>
        <v>5.046520450472765</v>
      </c>
      <c r="L87" s="12">
        <f t="shared" si="47"/>
        <v>5.2392551188845404</v>
      </c>
      <c r="M87" s="12">
        <f t="shared" si="47"/>
        <v>5.2569549151962356</v>
      </c>
      <c r="N87" s="12">
        <f t="shared" si="47"/>
        <v>5.1520063288574214</v>
      </c>
      <c r="O87" s="12">
        <f t="shared" si="47"/>
        <v>4.9392824281579601</v>
      </c>
      <c r="P87" s="12">
        <f t="shared" si="47"/>
        <v>4.7329451690367446</v>
      </c>
      <c r="Q87" s="12">
        <f t="shared" si="47"/>
        <v>4.5297860546219102</v>
      </c>
      <c r="R87" s="12">
        <f t="shared" si="47"/>
        <v>4.3282310768922212</v>
      </c>
      <c r="S87" s="12">
        <f t="shared" si="47"/>
        <v>4.1277538478085249</v>
      </c>
      <c r="T87" s="12">
        <f t="shared" si="47"/>
        <v>3.9280634869240596</v>
      </c>
      <c r="U87" s="12">
        <f t="shared" si="47"/>
        <v>3.7290455377765896</v>
      </c>
      <c r="V87" s="12">
        <f t="shared" si="47"/>
        <v>3.5306663797792659</v>
      </c>
      <c r="W87" s="12">
        <f t="shared" si="47"/>
        <v>3.3328940733745802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6.7682000000000002</v>
      </c>
      <c r="K88" s="12">
        <f t="shared" ref="K88:W88" si="48">(K80&gt;0)*(J88*(1+K32)+J44*K31)</f>
        <v>15.1554395</v>
      </c>
      <c r="L88" s="12">
        <f t="shared" si="48"/>
        <v>17.159035790000001</v>
      </c>
      <c r="M88" s="12">
        <f t="shared" si="48"/>
        <v>18.247953035799998</v>
      </c>
      <c r="N88" s="12">
        <f t="shared" si="48"/>
        <v>19.292912096515998</v>
      </c>
      <c r="O88" s="12">
        <f t="shared" si="48"/>
        <v>19.67877033844632</v>
      </c>
      <c r="P88" s="12">
        <f t="shared" si="48"/>
        <v>20.072345745215248</v>
      </c>
      <c r="Q88" s="12">
        <f t="shared" si="48"/>
        <v>20.473792660119553</v>
      </c>
      <c r="R88" s="12">
        <f t="shared" si="48"/>
        <v>20.883268513321944</v>
      </c>
      <c r="S88" s="12">
        <f t="shared" si="48"/>
        <v>21.300933883588385</v>
      </c>
      <c r="T88" s="12">
        <f t="shared" si="48"/>
        <v>21.726952561260152</v>
      </c>
      <c r="U88" s="12">
        <f t="shared" si="48"/>
        <v>22.161491612485356</v>
      </c>
      <c r="V88" s="12">
        <f t="shared" si="48"/>
        <v>22.604721444735063</v>
      </c>
      <c r="W88" s="12">
        <f t="shared" si="48"/>
        <v>23.056815873629763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21.846280391598309</v>
      </c>
      <c r="J89" s="20">
        <f t="shared" ref="J89:W89" si="49">SUM(J83:J88)</f>
        <v>76.351627107297787</v>
      </c>
      <c r="K89" s="20">
        <f t="shared" si="49"/>
        <v>114.50553424058107</v>
      </c>
      <c r="L89" s="20">
        <f t="shared" si="49"/>
        <v>121.07471817477544</v>
      </c>
      <c r="M89" s="20">
        <f t="shared" si="49"/>
        <v>123.33359600490519</v>
      </c>
      <c r="N89" s="20">
        <f t="shared" si="49"/>
        <v>123.15000137154507</v>
      </c>
      <c r="O89" s="20">
        <f t="shared" si="49"/>
        <v>120.18421473581802</v>
      </c>
      <c r="P89" s="20">
        <f t="shared" si="49"/>
        <v>117.32677220182184</v>
      </c>
      <c r="Q89" s="20">
        <f t="shared" si="49"/>
        <v>114.52727553239475</v>
      </c>
      <c r="R89" s="20">
        <f t="shared" si="49"/>
        <v>111.76108233076692</v>
      </c>
      <c r="S89" s="20">
        <f t="shared" si="49"/>
        <v>109.02005948717523</v>
      </c>
      <c r="T89" s="20">
        <f t="shared" si="49"/>
        <v>106.29978772463193</v>
      </c>
      <c r="U89" s="20">
        <f t="shared" si="49"/>
        <v>103.59863075096902</v>
      </c>
      <c r="V89" s="20">
        <f t="shared" si="49"/>
        <v>100.91622925289123</v>
      </c>
      <c r="W89" s="20">
        <f t="shared" si="49"/>
        <v>98.25225381129097</v>
      </c>
      <c r="X89" s="51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4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</row>
    <row r="93" spans="1:24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</row>
    <row r="94" spans="1:24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5"/>
  <sheetViews>
    <sheetView zoomScale="90" zoomScaleNormal="90" workbookViewId="0">
      <selection activeCell="E1" sqref="E1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68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2018</v>
      </c>
      <c r="I3" s="5">
        <f>Existing!I3</f>
        <v>2019</v>
      </c>
      <c r="J3" s="5">
        <f>Existing!J3</f>
        <v>2020</v>
      </c>
      <c r="K3" s="5">
        <f>Existing!K3</f>
        <v>2021</v>
      </c>
      <c r="L3" s="5">
        <f>Existing!L3</f>
        <v>2022</v>
      </c>
      <c r="M3" s="5">
        <f>Existing!M3</f>
        <v>2023</v>
      </c>
      <c r="N3" s="5">
        <f>Existing!N3</f>
        <v>2024</v>
      </c>
      <c r="O3" s="5">
        <f>Existing!O3</f>
        <v>2025</v>
      </c>
      <c r="P3" s="5">
        <f>Existing!P3</f>
        <v>2026</v>
      </c>
      <c r="Q3" s="5">
        <f>Existing!Q3</f>
        <v>2027</v>
      </c>
      <c r="R3" s="5">
        <f>Existing!R3</f>
        <v>2028</v>
      </c>
      <c r="S3" s="5">
        <f>Existing!S3</f>
        <v>2029</v>
      </c>
      <c r="T3" s="5">
        <f>Existing!T3</f>
        <v>2030</v>
      </c>
      <c r="U3" s="5">
        <f>Existing!U3</f>
        <v>2031</v>
      </c>
      <c r="V3" s="5">
        <f>Existing!V3</f>
        <v>2032</v>
      </c>
      <c r="W3" s="5">
        <f>Existing!W3</f>
        <v>2033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9">
        <v>0</v>
      </c>
      <c r="I8" s="49">
        <v>0</v>
      </c>
      <c r="J8" s="49">
        <v>174.38375552499994</v>
      </c>
      <c r="K8" s="49">
        <v>153.65990552500003</v>
      </c>
      <c r="L8" s="49">
        <v>143.91384307999985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52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174.38375552499994</v>
      </c>
      <c r="L35" s="12">
        <f t="shared" si="9"/>
        <v>328.04366104999997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174.38375552499994</v>
      </c>
      <c r="K36" s="12">
        <f t="shared" si="10"/>
        <v>153.65990552500003</v>
      </c>
      <c r="L36" s="12">
        <f t="shared" si="10"/>
        <v>143.91384307999985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-471.95750412999985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174.38375552499994</v>
      </c>
      <c r="K39" s="20">
        <f t="shared" ref="K39:W39" si="13">SUM(K35:K38)</f>
        <v>328.04366104999997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87.191877762499971</v>
      </c>
      <c r="K40" s="20">
        <f t="shared" ref="K40:W40" si="14">(K35+K39)/2</f>
        <v>251.21370828749997</v>
      </c>
      <c r="L40" s="20">
        <f t="shared" si="14"/>
        <v>164.02183052499998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471.95750412999985</v>
      </c>
      <c r="N43" s="12">
        <f t="shared" si="15"/>
        <v>471.95750412999985</v>
      </c>
      <c r="O43" s="12">
        <f t="shared" si="15"/>
        <v>471.95750412999985</v>
      </c>
      <c r="P43" s="12">
        <f t="shared" si="15"/>
        <v>471.95750412999985</v>
      </c>
      <c r="Q43" s="12">
        <f t="shared" si="15"/>
        <v>471.95750412999985</v>
      </c>
      <c r="R43" s="12">
        <f t="shared" si="15"/>
        <v>471.95750412999985</v>
      </c>
      <c r="S43" s="12">
        <f t="shared" si="15"/>
        <v>471.95750412999985</v>
      </c>
      <c r="T43" s="12">
        <f t="shared" si="15"/>
        <v>471.95750412999985</v>
      </c>
      <c r="U43" s="12">
        <f t="shared" si="15"/>
        <v>471.95750412999985</v>
      </c>
      <c r="V43" s="12">
        <f t="shared" si="15"/>
        <v>471.95750412999985</v>
      </c>
      <c r="W43" s="12">
        <f t="shared" si="15"/>
        <v>471.95750412999985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471.95750412999985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471.95750412999985</v>
      </c>
      <c r="M46" s="20">
        <f t="shared" si="18"/>
        <v>471.95750412999985</v>
      </c>
      <c r="N46" s="20">
        <f t="shared" si="18"/>
        <v>471.95750412999985</v>
      </c>
      <c r="O46" s="20">
        <f t="shared" si="18"/>
        <v>471.95750412999985</v>
      </c>
      <c r="P46" s="20">
        <f t="shared" si="18"/>
        <v>471.95750412999985</v>
      </c>
      <c r="Q46" s="20">
        <f t="shared" si="18"/>
        <v>471.95750412999985</v>
      </c>
      <c r="R46" s="20">
        <f t="shared" si="18"/>
        <v>471.95750412999985</v>
      </c>
      <c r="S46" s="20">
        <f t="shared" si="18"/>
        <v>471.95750412999985</v>
      </c>
      <c r="T46" s="20">
        <f t="shared" si="18"/>
        <v>471.95750412999985</v>
      </c>
      <c r="U46" s="20">
        <f t="shared" si="18"/>
        <v>471.95750412999985</v>
      </c>
      <c r="V46" s="20">
        <f t="shared" si="18"/>
        <v>471.95750412999985</v>
      </c>
      <c r="W46" s="20">
        <f t="shared" si="18"/>
        <v>471.95750412999985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235.97875206499992</v>
      </c>
      <c r="M47" s="20">
        <f t="shared" si="19"/>
        <v>471.95750412999985</v>
      </c>
      <c r="N47" s="20">
        <f t="shared" si="19"/>
        <v>471.95750412999985</v>
      </c>
      <c r="O47" s="20">
        <f t="shared" si="19"/>
        <v>471.95750412999985</v>
      </c>
      <c r="P47" s="20">
        <f t="shared" si="19"/>
        <v>471.95750412999985</v>
      </c>
      <c r="Q47" s="20">
        <f t="shared" si="19"/>
        <v>471.95750412999985</v>
      </c>
      <c r="R47" s="20">
        <f t="shared" si="19"/>
        <v>471.95750412999985</v>
      </c>
      <c r="S47" s="20">
        <f t="shared" si="19"/>
        <v>471.95750412999985</v>
      </c>
      <c r="T47" s="20">
        <f t="shared" si="19"/>
        <v>471.95750412999985</v>
      </c>
      <c r="U47" s="20">
        <f t="shared" si="19"/>
        <v>471.95750412999985</v>
      </c>
      <c r="V47" s="20">
        <f t="shared" si="19"/>
        <v>471.95750412999985</v>
      </c>
      <c r="W47" s="20">
        <f t="shared" si="19"/>
        <v>471.95750412999985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5.8994688016249981</v>
      </c>
      <c r="N50" s="12">
        <f t="shared" si="20"/>
        <v>17.698406404874994</v>
      </c>
      <c r="O50" s="12">
        <f t="shared" si="20"/>
        <v>29.49734400812499</v>
      </c>
      <c r="P50" s="12">
        <f t="shared" si="20"/>
        <v>41.296281611374987</v>
      </c>
      <c r="Q50" s="12">
        <f t="shared" si="20"/>
        <v>53.095219214624983</v>
      </c>
      <c r="R50" s="12">
        <f t="shared" si="20"/>
        <v>64.894156817874972</v>
      </c>
      <c r="S50" s="12">
        <f t="shared" si="20"/>
        <v>76.693094421124968</v>
      </c>
      <c r="T50" s="12">
        <f t="shared" si="20"/>
        <v>88.492032024374964</v>
      </c>
      <c r="U50" s="12">
        <f t="shared" si="20"/>
        <v>100.29096962762496</v>
      </c>
      <c r="V50" s="12">
        <f t="shared" si="20"/>
        <v>112.08990723087496</v>
      </c>
      <c r="W50" s="12">
        <f t="shared" si="20"/>
        <v>123.88884483412495</v>
      </c>
    </row>
    <row r="51" spans="1:23" s="8" customFormat="1" x14ac:dyDescent="0.2">
      <c r="A51" s="10">
        <f>A50+1</f>
        <v>31</v>
      </c>
      <c r="D51" s="13" t="s">
        <v>71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5.8994688016249981</v>
      </c>
      <c r="M51" s="12">
        <f t="shared" si="21"/>
        <v>11.798937603249996</v>
      </c>
      <c r="N51" s="12">
        <f t="shared" si="21"/>
        <v>11.798937603249996</v>
      </c>
      <c r="O51" s="12">
        <f t="shared" si="21"/>
        <v>11.798937603249996</v>
      </c>
      <c r="P51" s="12">
        <f t="shared" si="21"/>
        <v>11.798937603249996</v>
      </c>
      <c r="Q51" s="12">
        <f t="shared" si="21"/>
        <v>11.798937603249996</v>
      </c>
      <c r="R51" s="12">
        <f t="shared" si="21"/>
        <v>11.798937603249996</v>
      </c>
      <c r="S51" s="12">
        <f t="shared" si="21"/>
        <v>11.798937603249996</v>
      </c>
      <c r="T51" s="12">
        <f t="shared" si="21"/>
        <v>11.798937603249996</v>
      </c>
      <c r="U51" s="12">
        <f t="shared" si="21"/>
        <v>11.798937603249996</v>
      </c>
      <c r="V51" s="12">
        <f t="shared" si="21"/>
        <v>11.798937603249996</v>
      </c>
      <c r="W51" s="12">
        <f t="shared" si="21"/>
        <v>11.798937603249996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5.8994688016249981</v>
      </c>
      <c r="M53" s="20">
        <f t="shared" si="23"/>
        <v>17.698406404874994</v>
      </c>
      <c r="N53" s="20">
        <f t="shared" si="23"/>
        <v>29.49734400812499</v>
      </c>
      <c r="O53" s="20">
        <f t="shared" si="23"/>
        <v>41.296281611374987</v>
      </c>
      <c r="P53" s="20">
        <f t="shared" si="23"/>
        <v>53.095219214624983</v>
      </c>
      <c r="Q53" s="20">
        <f t="shared" si="23"/>
        <v>64.894156817874972</v>
      </c>
      <c r="R53" s="20">
        <f t="shared" si="23"/>
        <v>76.693094421124968</v>
      </c>
      <c r="S53" s="20">
        <f t="shared" si="23"/>
        <v>88.492032024374964</v>
      </c>
      <c r="T53" s="20">
        <f t="shared" si="23"/>
        <v>100.29096962762496</v>
      </c>
      <c r="U53" s="20">
        <f t="shared" si="23"/>
        <v>112.08990723087496</v>
      </c>
      <c r="V53" s="20">
        <f t="shared" si="23"/>
        <v>123.88884483412495</v>
      </c>
      <c r="W53" s="20">
        <f t="shared" si="23"/>
        <v>135.68778243737495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2.949734400812499</v>
      </c>
      <c r="M54" s="20">
        <f t="shared" si="24"/>
        <v>11.798937603249996</v>
      </c>
      <c r="N54" s="20">
        <f t="shared" si="24"/>
        <v>23.597875206499992</v>
      </c>
      <c r="O54" s="20">
        <f t="shared" si="24"/>
        <v>35.396812809749989</v>
      </c>
      <c r="P54" s="20">
        <f t="shared" si="24"/>
        <v>47.195750412999985</v>
      </c>
      <c r="Q54" s="20">
        <f t="shared" si="24"/>
        <v>58.994688016249981</v>
      </c>
      <c r="R54" s="20">
        <f t="shared" si="24"/>
        <v>70.793625619499977</v>
      </c>
      <c r="S54" s="20">
        <f t="shared" si="24"/>
        <v>82.592563222749959</v>
      </c>
      <c r="T54" s="20">
        <f t="shared" si="24"/>
        <v>94.391500825999969</v>
      </c>
      <c r="U54" s="20">
        <f t="shared" si="24"/>
        <v>106.19043842924995</v>
      </c>
      <c r="V54" s="20">
        <f t="shared" si="24"/>
        <v>117.98937603249996</v>
      </c>
      <c r="W54" s="20">
        <f t="shared" si="24"/>
        <v>129.78831363574994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448.35962892349983</v>
      </c>
      <c r="N57" s="12">
        <f t="shared" si="25"/>
        <v>403.52366603114984</v>
      </c>
      <c r="O57" s="12">
        <f t="shared" si="25"/>
        <v>363.17129942803484</v>
      </c>
      <c r="P57" s="12">
        <f t="shared" si="25"/>
        <v>326.85416948523135</v>
      </c>
      <c r="Q57" s="12">
        <f t="shared" si="25"/>
        <v>294.16875253670821</v>
      </c>
      <c r="R57" s="12">
        <f t="shared" si="25"/>
        <v>264.7518772830374</v>
      </c>
      <c r="S57" s="12">
        <f t="shared" si="25"/>
        <v>236.88325862166505</v>
      </c>
      <c r="T57" s="12">
        <f t="shared" si="25"/>
        <v>209.0146399602927</v>
      </c>
      <c r="U57" s="12">
        <f t="shared" si="25"/>
        <v>181.14602129892035</v>
      </c>
      <c r="V57" s="12">
        <f t="shared" si="25"/>
        <v>153.27740263754799</v>
      </c>
      <c r="W57" s="12">
        <f t="shared" si="25"/>
        <v>125.40878397617564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471.95750412999985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-23.597875206499992</v>
      </c>
      <c r="M59" s="12">
        <f>-I23*M58-J23*L58-K23*K58-L23*J58-M23*I58-H58*N23</f>
        <v>-44.835962892349983</v>
      </c>
      <c r="N59" s="12">
        <f>-I23*N58-J23*M58-K23*L58-L23*K58-M23*J58-N23*I58-H58*O23</f>
        <v>-40.352366603114987</v>
      </c>
      <c r="O59" s="12">
        <f>-I23*O58-J23*N58-K23*M58-L23*L58-M23*K58-N23*J58-O23*I58-H58*P23</f>
        <v>-36.31712994280349</v>
      </c>
      <c r="P59" s="12">
        <f>-I23*P58-J23*O58-K23*N58-L23*M58-M23*L58-N23*K58-O23*J58-P23*I58-H58*Q23</f>
        <v>-32.685416948523141</v>
      </c>
      <c r="Q59" s="12">
        <f>-I23*Q58-J23*P58-K23*O58-L23*N58-M23*M58-N23*L58-O23*K58-P23*J58-Q23*I58-H58*R23</f>
        <v>-29.416875253670824</v>
      </c>
      <c r="R59" s="12">
        <f>-I23*R58-J23*Q58-K23*P58-L23*O58-M23*N58-N23*M58-O23*L58-P23*K58-Q23*J58-R23*I58-H58*S23</f>
        <v>-27.868618661372359</v>
      </c>
      <c r="S59" s="12">
        <f>-I23*S58-J23*R58-K23*Q58-L23*P58-M23*O58-N23*N58-O23*M58-P23*L58-Q23*K58-R23*J58-S23*I58-H58*T23</f>
        <v>-27.868618661372352</v>
      </c>
      <c r="T59" s="12">
        <f>-I23*T58-J23*S58-K23*R58-L23*Q58-M23*P58-N23*O58-O23*N58-P23*M58-Q23*L58-R23*K58-S23*J58-T23*I58-H58*U23</f>
        <v>-27.868618661372359</v>
      </c>
      <c r="U59" s="12">
        <f>-I23*U58-J23*T58-K23*S58-L23*R58-M23*Q58-N23*P58-O23*O58-P23*N58-Q23*M58-R23*L58-S23*K58-T23*J58-U23*I58-H58*V23</f>
        <v>-27.868618661372356</v>
      </c>
      <c r="V59" s="12">
        <f>-I23*V58-J23*U58-K23*T58-L23*S58-M23*R58-N23*Q58-O23*P58-P23*O58-Q23*N58-R23*M58-S23*L58-T23*K58-U23*J58-V23*I58-H58*W23</f>
        <v>-27.868618661372356</v>
      </c>
      <c r="W59" s="12">
        <f>-I23*W58-J23*V58-K23*U58-L23*T58-M23*S58-N23*R58-O23*Q58-P23*P58-Q23*O58-R23*N58-S23*M58-T23*L58-U23*K58-V23*J58-W23*I58-H58*X23</f>
        <v>-27.868618661372352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448.35962892349983</v>
      </c>
      <c r="M60" s="20">
        <f t="shared" si="27"/>
        <v>403.52366603114984</v>
      </c>
      <c r="N60" s="20">
        <f t="shared" si="27"/>
        <v>363.17129942803484</v>
      </c>
      <c r="O60" s="20">
        <f t="shared" si="27"/>
        <v>326.85416948523135</v>
      </c>
      <c r="P60" s="20">
        <f t="shared" si="27"/>
        <v>294.16875253670821</v>
      </c>
      <c r="Q60" s="20">
        <f t="shared" si="27"/>
        <v>264.7518772830374</v>
      </c>
      <c r="R60" s="20">
        <f t="shared" si="27"/>
        <v>236.88325862166505</v>
      </c>
      <c r="S60" s="20">
        <f t="shared" si="27"/>
        <v>209.0146399602927</v>
      </c>
      <c r="T60" s="20">
        <f t="shared" si="27"/>
        <v>181.14602129892035</v>
      </c>
      <c r="U60" s="20">
        <f t="shared" si="27"/>
        <v>153.27740263754799</v>
      </c>
      <c r="V60" s="20">
        <f t="shared" si="27"/>
        <v>125.40878397617564</v>
      </c>
      <c r="W60" s="20">
        <f t="shared" si="27"/>
        <v>97.540165314803289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460.15856652674984</v>
      </c>
      <c r="N63" s="12">
        <f t="shared" si="28"/>
        <v>437.15063820041235</v>
      </c>
      <c r="O63" s="12">
        <f t="shared" si="28"/>
        <v>415.29310629039173</v>
      </c>
      <c r="P63" s="12">
        <f t="shared" si="28"/>
        <v>394.52845097587215</v>
      </c>
      <c r="Q63" s="12">
        <f t="shared" si="28"/>
        <v>374.80202842707854</v>
      </c>
      <c r="R63" s="12">
        <f t="shared" si="28"/>
        <v>356.06192700572461</v>
      </c>
      <c r="S63" s="12">
        <f t="shared" si="28"/>
        <v>338.25883065543837</v>
      </c>
      <c r="T63" s="12">
        <f t="shared" si="28"/>
        <v>321.34588912266645</v>
      </c>
      <c r="U63" s="12">
        <f t="shared" si="28"/>
        <v>305.27859466653314</v>
      </c>
      <c r="V63" s="12">
        <f t="shared" si="28"/>
        <v>290.01466493320646</v>
      </c>
      <c r="W63" s="12">
        <f t="shared" si="28"/>
        <v>275.51393168654613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471.95750412999985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-11.798937603249996</v>
      </c>
      <c r="M65" s="12">
        <f t="shared" si="30"/>
        <v>-23.007928326337492</v>
      </c>
      <c r="N65" s="12">
        <f t="shared" si="30"/>
        <v>-21.857531910020619</v>
      </c>
      <c r="O65" s="12">
        <f t="shared" si="30"/>
        <v>-20.764655314519587</v>
      </c>
      <c r="P65" s="12">
        <f t="shared" si="30"/>
        <v>-19.726422548793607</v>
      </c>
      <c r="Q65" s="12">
        <f t="shared" si="30"/>
        <v>-18.740101421353927</v>
      </c>
      <c r="R65" s="12">
        <f t="shared" si="30"/>
        <v>-17.803096350286232</v>
      </c>
      <c r="S65" s="12">
        <f t="shared" si="30"/>
        <v>-16.912941532771921</v>
      </c>
      <c r="T65" s="12">
        <f t="shared" si="30"/>
        <v>-16.067294456133322</v>
      </c>
      <c r="U65" s="12">
        <f t="shared" si="30"/>
        <v>-15.263929733326657</v>
      </c>
      <c r="V65" s="12">
        <f t="shared" si="30"/>
        <v>-14.500733246660324</v>
      </c>
      <c r="W65" s="12">
        <f t="shared" si="30"/>
        <v>-13.775696584327306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460.15856652674984</v>
      </c>
      <c r="M66" s="20">
        <f t="shared" si="31"/>
        <v>437.15063820041235</v>
      </c>
      <c r="N66" s="20">
        <f t="shared" si="31"/>
        <v>415.29310629039173</v>
      </c>
      <c r="O66" s="20">
        <f t="shared" si="31"/>
        <v>394.52845097587215</v>
      </c>
      <c r="P66" s="20">
        <f t="shared" si="31"/>
        <v>374.80202842707854</v>
      </c>
      <c r="Q66" s="20">
        <f t="shared" si="31"/>
        <v>356.06192700572461</v>
      </c>
      <c r="R66" s="20">
        <f t="shared" si="31"/>
        <v>338.25883065543837</v>
      </c>
      <c r="S66" s="20">
        <f t="shared" si="31"/>
        <v>321.34588912266645</v>
      </c>
      <c r="T66" s="20">
        <f t="shared" si="31"/>
        <v>305.27859466653314</v>
      </c>
      <c r="U66" s="20">
        <f t="shared" si="31"/>
        <v>290.01466493320646</v>
      </c>
      <c r="V66" s="20">
        <f t="shared" si="31"/>
        <v>275.51393168654613</v>
      </c>
      <c r="W66" s="20">
        <f t="shared" si="31"/>
        <v>261.73823510221882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4.1286606482540318</v>
      </c>
      <c r="N69" s="12">
        <f t="shared" si="32"/>
        <v>11.849227035102567</v>
      </c>
      <c r="O69" s="12">
        <f t="shared" si="32"/>
        <v>18.547899117081847</v>
      </c>
      <c r="P69" s="12">
        <f t="shared" si="32"/>
        <v>24.322849370472305</v>
      </c>
      <c r="Q69" s="12">
        <f t="shared" si="32"/>
        <v>29.262633871636648</v>
      </c>
      <c r="R69" s="12">
        <f t="shared" si="32"/>
        <v>33.44714389462613</v>
      </c>
      <c r="S69" s="12">
        <f t="shared" si="32"/>
        <v>37.241083347089848</v>
      </c>
      <c r="T69" s="12">
        <f t="shared" si="32"/>
        <v>40.972857947717635</v>
      </c>
      <c r="U69" s="12">
        <f t="shared" si="32"/>
        <v>44.645575939101292</v>
      </c>
      <c r="V69" s="12">
        <f t="shared" si="32"/>
        <v>48.262190151703017</v>
      </c>
      <c r="W69" s="12">
        <f t="shared" si="32"/>
        <v>51.825505774461917</v>
      </c>
    </row>
    <row r="70" spans="1:23" s="8" customFormat="1" x14ac:dyDescent="0.2">
      <c r="A70" s="10">
        <f>A69+1</f>
        <v>44</v>
      </c>
      <c r="D70" s="13" t="s">
        <v>76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3.6071476061903822</v>
      </c>
      <c r="M70" s="12">
        <f t="shared" si="33"/>
        <v>6.7296916069276005</v>
      </c>
      <c r="N70" s="12">
        <f t="shared" si="33"/>
        <v>5.8094923452607574</v>
      </c>
      <c r="O70" s="12">
        <f t="shared" si="33"/>
        <v>4.9823808077142244</v>
      </c>
      <c r="P70" s="12">
        <f t="shared" si="33"/>
        <v>4.2389948319782889</v>
      </c>
      <c r="Q70" s="12">
        <f t="shared" si="33"/>
        <v>3.5709111414690922</v>
      </c>
      <c r="R70" s="12">
        <f t="shared" si="33"/>
        <v>3.2631718192257155</v>
      </c>
      <c r="S70" s="12">
        <f t="shared" si="33"/>
        <v>3.2796966532580498</v>
      </c>
      <c r="T70" s="12">
        <f t="shared" si="33"/>
        <v>3.2953952455887698</v>
      </c>
      <c r="U70" s="12">
        <f t="shared" si="33"/>
        <v>3.3103089083029524</v>
      </c>
      <c r="V70" s="12">
        <f t="shared" si="33"/>
        <v>3.3244768878814259</v>
      </c>
      <c r="W70" s="12">
        <f t="shared" si="33"/>
        <v>3.3379364684809754</v>
      </c>
    </row>
    <row r="71" spans="1:23" s="8" customFormat="1" x14ac:dyDescent="0.2">
      <c r="A71" s="10">
        <f>A70+1</f>
        <v>45</v>
      </c>
      <c r="D71" s="13" t="s">
        <v>77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0.5215130420636499</v>
      </c>
      <c r="M71" s="12">
        <f t="shared" si="34"/>
        <v>0.99087477992093465</v>
      </c>
      <c r="N71" s="12">
        <f t="shared" si="34"/>
        <v>0.88917973671852313</v>
      </c>
      <c r="O71" s="12">
        <f t="shared" si="34"/>
        <v>0.79256944567623189</v>
      </c>
      <c r="P71" s="12">
        <f t="shared" si="34"/>
        <v>0.70078966918605523</v>
      </c>
      <c r="Q71" s="12">
        <f t="shared" si="34"/>
        <v>0.61359888152038755</v>
      </c>
      <c r="R71" s="12">
        <f t="shared" si="34"/>
        <v>0.53076763323800324</v>
      </c>
      <c r="S71" s="12">
        <f t="shared" si="34"/>
        <v>0.45207794736973816</v>
      </c>
      <c r="T71" s="12">
        <f t="shared" si="34"/>
        <v>0.37732274579488601</v>
      </c>
      <c r="U71" s="12">
        <f t="shared" si="34"/>
        <v>0.30630530429877684</v>
      </c>
      <c r="V71" s="12">
        <f t="shared" si="34"/>
        <v>0.23883873487747304</v>
      </c>
      <c r="W71" s="12">
        <f t="shared" si="34"/>
        <v>0.17474549392723424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4.1286606482540318</v>
      </c>
      <c r="M72" s="20">
        <f t="shared" si="35"/>
        <v>11.849227035102567</v>
      </c>
      <c r="N72" s="20">
        <f t="shared" si="35"/>
        <v>18.547899117081847</v>
      </c>
      <c r="O72" s="20">
        <f t="shared" si="35"/>
        <v>24.322849370472305</v>
      </c>
      <c r="P72" s="20">
        <f t="shared" si="35"/>
        <v>29.262633871636648</v>
      </c>
      <c r="Q72" s="20">
        <f t="shared" si="35"/>
        <v>33.44714389462613</v>
      </c>
      <c r="R72" s="20">
        <f t="shared" si="35"/>
        <v>37.241083347089848</v>
      </c>
      <c r="S72" s="20">
        <f t="shared" si="35"/>
        <v>40.972857947717635</v>
      </c>
      <c r="T72" s="20">
        <f t="shared" si="35"/>
        <v>44.645575939101292</v>
      </c>
      <c r="U72" s="20">
        <f t="shared" si="35"/>
        <v>48.262190151703017</v>
      </c>
      <c r="V72" s="20">
        <f t="shared" si="35"/>
        <v>51.825505774461917</v>
      </c>
      <c r="W72" s="20">
        <f t="shared" si="35"/>
        <v>55.338187736870125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2.0643303241270159</v>
      </c>
      <c r="M73" s="20">
        <f t="shared" si="36"/>
        <v>7.9889438416782994</v>
      </c>
      <c r="N73" s="20">
        <f t="shared" si="36"/>
        <v>15.198563076092206</v>
      </c>
      <c r="O73" s="20">
        <f t="shared" si="36"/>
        <v>21.435374243777076</v>
      </c>
      <c r="P73" s="20">
        <f t="shared" si="36"/>
        <v>26.792741621054475</v>
      </c>
      <c r="Q73" s="20">
        <f t="shared" si="36"/>
        <v>31.354888883131387</v>
      </c>
      <c r="R73" s="20">
        <f t="shared" si="36"/>
        <v>35.344113620857989</v>
      </c>
      <c r="S73" s="20">
        <f t="shared" si="36"/>
        <v>39.106970647403742</v>
      </c>
      <c r="T73" s="20">
        <f t="shared" si="36"/>
        <v>42.809216943409467</v>
      </c>
      <c r="U73" s="20">
        <f t="shared" si="36"/>
        <v>46.453883045402151</v>
      </c>
      <c r="V73" s="20">
        <f t="shared" si="36"/>
        <v>50.04384796308247</v>
      </c>
      <c r="W73" s="20">
        <f t="shared" si="36"/>
        <v>53.581846755666021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235.97875206499992</v>
      </c>
      <c r="M76" s="12">
        <f t="shared" si="37"/>
        <v>471.95750412999985</v>
      </c>
      <c r="N76" s="12">
        <f t="shared" si="37"/>
        <v>471.95750412999985</v>
      </c>
      <c r="O76" s="12">
        <f t="shared" si="37"/>
        <v>471.95750412999985</v>
      </c>
      <c r="P76" s="12">
        <f t="shared" si="37"/>
        <v>471.95750412999985</v>
      </c>
      <c r="Q76" s="12">
        <f t="shared" si="37"/>
        <v>471.95750412999985</v>
      </c>
      <c r="R76" s="12">
        <f t="shared" si="37"/>
        <v>471.95750412999985</v>
      </c>
      <c r="S76" s="12">
        <f t="shared" si="37"/>
        <v>471.95750412999985</v>
      </c>
      <c r="T76" s="12">
        <f t="shared" si="37"/>
        <v>471.95750412999985</v>
      </c>
      <c r="U76" s="12">
        <f t="shared" si="37"/>
        <v>471.95750412999985</v>
      </c>
      <c r="V76" s="12">
        <f t="shared" si="37"/>
        <v>471.95750412999985</v>
      </c>
      <c r="W76" s="12">
        <f t="shared" si="37"/>
        <v>471.95750412999985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-2.949734400812499</v>
      </c>
      <c r="M77" s="12">
        <f t="shared" si="38"/>
        <v>-11.798937603249996</v>
      </c>
      <c r="N77" s="12">
        <f t="shared" si="38"/>
        <v>-23.597875206499992</v>
      </c>
      <c r="O77" s="12">
        <f t="shared" si="38"/>
        <v>-35.396812809749989</v>
      </c>
      <c r="P77" s="12">
        <f t="shared" si="38"/>
        <v>-47.195750412999985</v>
      </c>
      <c r="Q77" s="12">
        <f t="shared" si="38"/>
        <v>-58.994688016249981</v>
      </c>
      <c r="R77" s="12">
        <f t="shared" si="38"/>
        <v>-70.793625619499977</v>
      </c>
      <c r="S77" s="12">
        <f t="shared" si="38"/>
        <v>-82.592563222749959</v>
      </c>
      <c r="T77" s="12">
        <f t="shared" si="38"/>
        <v>-94.391500825999969</v>
      </c>
      <c r="U77" s="12">
        <f t="shared" si="38"/>
        <v>-106.19043842924995</v>
      </c>
      <c r="V77" s="12">
        <f t="shared" si="38"/>
        <v>-117.98937603249996</v>
      </c>
      <c r="W77" s="12">
        <f t="shared" si="38"/>
        <v>-129.78831363574994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87.191877762499971</v>
      </c>
      <c r="K78" s="12">
        <f t="shared" si="39"/>
        <v>251.21370828749997</v>
      </c>
      <c r="L78" s="12">
        <f t="shared" si="39"/>
        <v>164.02183052499998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-2.0643303241270159</v>
      </c>
      <c r="M79" s="12">
        <f t="shared" si="40"/>
        <v>-7.9889438416782994</v>
      </c>
      <c r="N79" s="12">
        <f t="shared" si="40"/>
        <v>-15.198563076092206</v>
      </c>
      <c r="O79" s="12">
        <f t="shared" si="40"/>
        <v>-21.435374243777076</v>
      </c>
      <c r="P79" s="12">
        <f t="shared" si="40"/>
        <v>-26.792741621054475</v>
      </c>
      <c r="Q79" s="12">
        <f t="shared" si="40"/>
        <v>-31.354888883131387</v>
      </c>
      <c r="R79" s="12">
        <f t="shared" si="40"/>
        <v>-35.344113620857989</v>
      </c>
      <c r="S79" s="12">
        <f t="shared" si="40"/>
        <v>-39.106970647403742</v>
      </c>
      <c r="T79" s="12">
        <f t="shared" si="40"/>
        <v>-42.809216943409467</v>
      </c>
      <c r="U79" s="12">
        <f t="shared" si="40"/>
        <v>-46.453883045402151</v>
      </c>
      <c r="V79" s="12">
        <f t="shared" si="40"/>
        <v>-50.04384796308247</v>
      </c>
      <c r="W79" s="12">
        <f t="shared" si="40"/>
        <v>-53.581846755666021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87.191877762499971</v>
      </c>
      <c r="K80" s="20">
        <f t="shared" ref="K80:W80" si="41">SUM(K76:K79)</f>
        <v>251.21370828749997</v>
      </c>
      <c r="L80" s="20">
        <f t="shared" si="41"/>
        <v>394.98651786506036</v>
      </c>
      <c r="M80" s="20">
        <f t="shared" si="41"/>
        <v>452.16962268507154</v>
      </c>
      <c r="N80" s="20">
        <f t="shared" si="41"/>
        <v>433.1610658474076</v>
      </c>
      <c r="O80" s="20">
        <f t="shared" si="41"/>
        <v>415.12531707647281</v>
      </c>
      <c r="P80" s="20">
        <f t="shared" si="41"/>
        <v>397.9690120959454</v>
      </c>
      <c r="Q80" s="20">
        <f t="shared" si="41"/>
        <v>381.60792723061849</v>
      </c>
      <c r="R80" s="20">
        <f t="shared" si="41"/>
        <v>365.81976488964193</v>
      </c>
      <c r="S80" s="20">
        <f t="shared" si="41"/>
        <v>350.25797025984616</v>
      </c>
      <c r="T80" s="20">
        <f t="shared" si="41"/>
        <v>334.75678636059041</v>
      </c>
      <c r="U80" s="20">
        <f t="shared" si="41"/>
        <v>319.3131826553477</v>
      </c>
      <c r="V80" s="20">
        <f t="shared" si="41"/>
        <v>303.92428013441736</v>
      </c>
      <c r="W80" s="20">
        <f t="shared" si="41"/>
        <v>288.58734373858385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5.8994688016249981</v>
      </c>
      <c r="M83" s="12">
        <f t="shared" si="42"/>
        <v>11.798937603249996</v>
      </c>
      <c r="N83" s="12">
        <f t="shared" si="42"/>
        <v>11.798937603249996</v>
      </c>
      <c r="O83" s="12">
        <f t="shared" si="42"/>
        <v>11.798937603249996</v>
      </c>
      <c r="P83" s="12">
        <f t="shared" si="42"/>
        <v>11.798937603249996</v>
      </c>
      <c r="Q83" s="12">
        <f t="shared" si="42"/>
        <v>11.798937603249996</v>
      </c>
      <c r="R83" s="12">
        <f t="shared" si="42"/>
        <v>11.798937603249996</v>
      </c>
      <c r="S83" s="12">
        <f t="shared" si="42"/>
        <v>11.798937603249996</v>
      </c>
      <c r="T83" s="12">
        <f t="shared" si="42"/>
        <v>11.798937603249996</v>
      </c>
      <c r="U83" s="12">
        <f t="shared" si="42"/>
        <v>11.798937603249996</v>
      </c>
      <c r="V83" s="12">
        <f t="shared" si="42"/>
        <v>11.798937603249996</v>
      </c>
      <c r="W83" s="12">
        <f t="shared" si="42"/>
        <v>11.798937603249996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2.6157563328749989</v>
      </c>
      <c r="K84" s="12">
        <f t="shared" si="44"/>
        <v>7.536411248624999</v>
      </c>
      <c r="L84" s="12">
        <f t="shared" si="44"/>
        <v>11.84959553595181</v>
      </c>
      <c r="M84" s="12">
        <f t="shared" si="44"/>
        <v>13.565088680552146</v>
      </c>
      <c r="N84" s="12">
        <f t="shared" si="44"/>
        <v>12.994831975422228</v>
      </c>
      <c r="O84" s="12">
        <f t="shared" si="44"/>
        <v>12.453759512294184</v>
      </c>
      <c r="P84" s="12">
        <f t="shared" si="44"/>
        <v>11.939070362878361</v>
      </c>
      <c r="Q84" s="12">
        <f t="shared" si="44"/>
        <v>11.448237816918555</v>
      </c>
      <c r="R84" s="12">
        <f t="shared" si="44"/>
        <v>10.974592946689258</v>
      </c>
      <c r="S84" s="12">
        <f t="shared" si="44"/>
        <v>10.507739107795384</v>
      </c>
      <c r="T84" s="12">
        <f t="shared" si="44"/>
        <v>10.042703590817712</v>
      </c>
      <c r="U84" s="12">
        <f t="shared" si="44"/>
        <v>9.5793954796604304</v>
      </c>
      <c r="V84" s="12">
        <f t="shared" si="44"/>
        <v>9.1177284040325208</v>
      </c>
      <c r="W84" s="12">
        <f t="shared" si="44"/>
        <v>8.6576203121575155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4.7955532769374987</v>
      </c>
      <c r="K85" s="12">
        <f t="shared" si="45"/>
        <v>13.816753955812498</v>
      </c>
      <c r="L85" s="12">
        <f t="shared" si="45"/>
        <v>21.724258482578321</v>
      </c>
      <c r="M85" s="12">
        <f t="shared" si="45"/>
        <v>24.869329247678934</v>
      </c>
      <c r="N85" s="12">
        <f t="shared" si="45"/>
        <v>23.823858621607418</v>
      </c>
      <c r="O85" s="12">
        <f t="shared" si="45"/>
        <v>22.831892439206005</v>
      </c>
      <c r="P85" s="12">
        <f t="shared" si="45"/>
        <v>21.888295665276996</v>
      </c>
      <c r="Q85" s="12">
        <f t="shared" si="45"/>
        <v>20.988435997684018</v>
      </c>
      <c r="R85" s="12">
        <f t="shared" si="45"/>
        <v>20.120087068930307</v>
      </c>
      <c r="S85" s="12">
        <f t="shared" si="45"/>
        <v>19.264188364291538</v>
      </c>
      <c r="T85" s="12">
        <f t="shared" si="45"/>
        <v>18.411623249832473</v>
      </c>
      <c r="U85" s="12">
        <f t="shared" si="45"/>
        <v>17.562225046044123</v>
      </c>
      <c r="V85" s="12">
        <f t="shared" si="45"/>
        <v>16.715835407392955</v>
      </c>
      <c r="W85" s="12">
        <f t="shared" si="45"/>
        <v>15.872303905622113</v>
      </c>
    </row>
    <row r="86" spans="1:24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1.2747673267808541</v>
      </c>
      <c r="K86" s="12">
        <f t="shared" si="46"/>
        <v>3.6728080135704104</v>
      </c>
      <c r="L86" s="12">
        <f t="shared" si="46"/>
        <v>5.7748028877739834</v>
      </c>
      <c r="M86" s="12">
        <f t="shared" si="46"/>
        <v>6.6108343569779446</v>
      </c>
      <c r="N86" s="12">
        <f t="shared" si="46"/>
        <v>6.3329244437184267</v>
      </c>
      <c r="O86" s="12">
        <f t="shared" si="46"/>
        <v>6.0692372306750135</v>
      </c>
      <c r="P86" s="12">
        <f t="shared" si="46"/>
        <v>5.8184077084913532</v>
      </c>
      <c r="Q86" s="12">
        <f t="shared" si="46"/>
        <v>5.5792045057134727</v>
      </c>
      <c r="R86" s="12">
        <f t="shared" si="46"/>
        <v>5.3483775752852711</v>
      </c>
      <c r="S86" s="12">
        <f t="shared" si="46"/>
        <v>5.1208601981028137</v>
      </c>
      <c r="T86" s="12">
        <f t="shared" si="46"/>
        <v>4.8942289651453406</v>
      </c>
      <c r="U86" s="12">
        <f t="shared" si="46"/>
        <v>4.6684395692016025</v>
      </c>
      <c r="V86" s="12">
        <f t="shared" si="46"/>
        <v>4.443449918420912</v>
      </c>
      <c r="W86" s="12">
        <f t="shared" si="46"/>
        <v>4.219220025545118</v>
      </c>
    </row>
    <row r="87" spans="1:24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0.58865329241849762</v>
      </c>
      <c r="K87" s="12">
        <f t="shared" si="47"/>
        <v>1.6960040347668379</v>
      </c>
      <c r="L87" s="12">
        <f t="shared" si="47"/>
        <v>2.6666487770284601</v>
      </c>
      <c r="M87" s="12">
        <f t="shared" si="47"/>
        <v>3.0527056413467184</v>
      </c>
      <c r="N87" s="12">
        <f t="shared" si="47"/>
        <v>2.9243743121706944</v>
      </c>
      <c r="O87" s="12">
        <f t="shared" si="47"/>
        <v>2.8026106437225566</v>
      </c>
      <c r="P87" s="12">
        <f t="shared" si="47"/>
        <v>2.6867843113658649</v>
      </c>
      <c r="Q87" s="12">
        <f t="shared" si="47"/>
        <v>2.57632670085601</v>
      </c>
      <c r="R87" s="12">
        <f t="shared" si="47"/>
        <v>2.4697370278067763</v>
      </c>
      <c r="S87" s="12">
        <f t="shared" si="47"/>
        <v>2.3646756175029191</v>
      </c>
      <c r="T87" s="12">
        <f t="shared" si="47"/>
        <v>2.2600234047872303</v>
      </c>
      <c r="U87" s="12">
        <f t="shared" si="47"/>
        <v>2.155759929780301</v>
      </c>
      <c r="V87" s="12">
        <f t="shared" si="47"/>
        <v>2.0518657555966939</v>
      </c>
      <c r="W87" s="12">
        <f t="shared" si="47"/>
        <v>1.9483224171952429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9.4391500825999977</v>
      </c>
      <c r="N88" s="12">
        <f t="shared" si="48"/>
        <v>9.6279330842519979</v>
      </c>
      <c r="O88" s="12">
        <f t="shared" si="48"/>
        <v>9.8204917459370389</v>
      </c>
      <c r="P88" s="12">
        <f t="shared" si="48"/>
        <v>10.01690158085578</v>
      </c>
      <c r="Q88" s="12">
        <f t="shared" si="48"/>
        <v>10.217239612472897</v>
      </c>
      <c r="R88" s="12">
        <f t="shared" si="48"/>
        <v>10.421584404722354</v>
      </c>
      <c r="S88" s="12">
        <f t="shared" si="48"/>
        <v>10.630016092816803</v>
      </c>
      <c r="T88" s="12">
        <f t="shared" si="48"/>
        <v>10.842616414673138</v>
      </c>
      <c r="U88" s="12">
        <f t="shared" si="48"/>
        <v>11.059468742966601</v>
      </c>
      <c r="V88" s="12">
        <f t="shared" si="48"/>
        <v>11.280658117825933</v>
      </c>
      <c r="W88" s="12">
        <f t="shared" si="48"/>
        <v>11.506271280182451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9.2747302290118494</v>
      </c>
      <c r="K89" s="20">
        <f t="shared" si="49"/>
        <v>26.721977252774742</v>
      </c>
      <c r="L89" s="20">
        <f t="shared" si="49"/>
        <v>47.914774484957583</v>
      </c>
      <c r="M89" s="20">
        <f t="shared" si="49"/>
        <v>69.336045612405741</v>
      </c>
      <c r="N89" s="20">
        <f t="shared" si="49"/>
        <v>67.502860040420757</v>
      </c>
      <c r="O89" s="20">
        <f t="shared" si="49"/>
        <v>65.776929175084788</v>
      </c>
      <c r="P89" s="20">
        <f t="shared" si="49"/>
        <v>64.148397232118342</v>
      </c>
      <c r="Q89" s="20">
        <f t="shared" si="49"/>
        <v>62.60838223689494</v>
      </c>
      <c r="R89" s="20">
        <f t="shared" si="49"/>
        <v>61.133316626683957</v>
      </c>
      <c r="S89" s="20">
        <f t="shared" si="49"/>
        <v>59.68641698375945</v>
      </c>
      <c r="T89" s="20">
        <f t="shared" si="49"/>
        <v>58.250133228505888</v>
      </c>
      <c r="U89" s="20">
        <f t="shared" si="49"/>
        <v>56.824226370903055</v>
      </c>
      <c r="V89" s="20">
        <f t="shared" si="49"/>
        <v>55.408475206519014</v>
      </c>
      <c r="W89" s="20">
        <f t="shared" si="49"/>
        <v>54.002675543952442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4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</row>
    <row r="93" spans="1:24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</row>
    <row r="94" spans="1:24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</row>
    <row r="95" spans="1:24" x14ac:dyDescent="0.2"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0"/>
  <sheetViews>
    <sheetView zoomScale="80" zoomScaleNormal="80" workbookViewId="0">
      <selection activeCell="I8" sqref="I8:K8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113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2018</v>
      </c>
      <c r="I3" s="5">
        <f>Existing!I3</f>
        <v>2019</v>
      </c>
      <c r="J3" s="5">
        <f>Existing!J3</f>
        <v>2020</v>
      </c>
      <c r="K3" s="5">
        <f>Existing!K3</f>
        <v>2021</v>
      </c>
      <c r="L3" s="5">
        <f>Existing!L3</f>
        <v>2022</v>
      </c>
      <c r="M3" s="5">
        <f>Existing!M3</f>
        <v>2023</v>
      </c>
      <c r="N3" s="5">
        <f>Existing!N3</f>
        <v>2024</v>
      </c>
      <c r="O3" s="5">
        <f>Existing!O3</f>
        <v>2025</v>
      </c>
      <c r="P3" s="5">
        <f>Existing!P3</f>
        <v>2026</v>
      </c>
      <c r="Q3" s="5">
        <f>Existing!Q3</f>
        <v>2027</v>
      </c>
      <c r="R3" s="5">
        <f>Existing!R3</f>
        <v>2028</v>
      </c>
      <c r="S3" s="5">
        <f>Existing!S3</f>
        <v>2029</v>
      </c>
      <c r="T3" s="5">
        <f>Existing!T3</f>
        <v>2030</v>
      </c>
      <c r="U3" s="5">
        <f>Existing!U3</f>
        <v>2031</v>
      </c>
      <c r="V3" s="5">
        <f>Existing!V3</f>
        <v>2032</v>
      </c>
      <c r="W3" s="5">
        <f>Existing!W3</f>
        <v>2033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46">
        <v>6</v>
      </c>
      <c r="J8" s="46">
        <v>23</v>
      </c>
      <c r="K8" s="46">
        <v>34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6</v>
      </c>
      <c r="K35" s="12">
        <f t="shared" ref="K35:W35" si="9">J39</f>
        <v>29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6</v>
      </c>
      <c r="J36" s="12">
        <f t="shared" si="10"/>
        <v>23</v>
      </c>
      <c r="K36" s="12">
        <f t="shared" si="10"/>
        <v>34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>IF(K3&gt;=$F7,-SUM(K35:K37),0)</f>
        <v>-63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6</v>
      </c>
      <c r="J39" s="20">
        <f>SUM(J35:J38)</f>
        <v>29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3</v>
      </c>
      <c r="J40" s="20">
        <f>(J35+J39)/2</f>
        <v>17.5</v>
      </c>
      <c r="K40" s="20">
        <f t="shared" ref="K40:W40" si="14">(K35+K39)/2</f>
        <v>14.5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63</v>
      </c>
      <c r="M43" s="12">
        <f t="shared" si="15"/>
        <v>63</v>
      </c>
      <c r="N43" s="12">
        <f t="shared" si="15"/>
        <v>63</v>
      </c>
      <c r="O43" s="12">
        <f t="shared" si="15"/>
        <v>63</v>
      </c>
      <c r="P43" s="12">
        <f t="shared" si="15"/>
        <v>63</v>
      </c>
      <c r="Q43" s="12">
        <f t="shared" si="15"/>
        <v>63</v>
      </c>
      <c r="R43" s="12">
        <f t="shared" si="15"/>
        <v>63</v>
      </c>
      <c r="S43" s="12">
        <f t="shared" si="15"/>
        <v>63</v>
      </c>
      <c r="T43" s="12">
        <f t="shared" si="15"/>
        <v>63</v>
      </c>
      <c r="U43" s="12">
        <f t="shared" si="15"/>
        <v>63</v>
      </c>
      <c r="V43" s="12">
        <f t="shared" si="15"/>
        <v>63</v>
      </c>
      <c r="W43" s="12">
        <f t="shared" si="15"/>
        <v>63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63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63</v>
      </c>
      <c r="L46" s="20">
        <f t="shared" si="18"/>
        <v>63</v>
      </c>
      <c r="M46" s="20">
        <f t="shared" si="18"/>
        <v>63</v>
      </c>
      <c r="N46" s="20">
        <f t="shared" si="18"/>
        <v>63</v>
      </c>
      <c r="O46" s="20">
        <f t="shared" si="18"/>
        <v>63</v>
      </c>
      <c r="P46" s="20">
        <f t="shared" si="18"/>
        <v>63</v>
      </c>
      <c r="Q46" s="20">
        <f t="shared" si="18"/>
        <v>63</v>
      </c>
      <c r="R46" s="20">
        <f t="shared" si="18"/>
        <v>63</v>
      </c>
      <c r="S46" s="20">
        <f t="shared" si="18"/>
        <v>63</v>
      </c>
      <c r="T46" s="20">
        <f t="shared" si="18"/>
        <v>63</v>
      </c>
      <c r="U46" s="20">
        <f t="shared" si="18"/>
        <v>63</v>
      </c>
      <c r="V46" s="20">
        <f t="shared" si="18"/>
        <v>63</v>
      </c>
      <c r="W46" s="20">
        <f t="shared" si="18"/>
        <v>63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31.5</v>
      </c>
      <c r="L47" s="20">
        <f t="shared" si="19"/>
        <v>63</v>
      </c>
      <c r="M47" s="20">
        <f t="shared" si="19"/>
        <v>63</v>
      </c>
      <c r="N47" s="20">
        <f t="shared" si="19"/>
        <v>63</v>
      </c>
      <c r="O47" s="20">
        <f t="shared" si="19"/>
        <v>63</v>
      </c>
      <c r="P47" s="20">
        <f t="shared" si="19"/>
        <v>63</v>
      </c>
      <c r="Q47" s="20">
        <f t="shared" si="19"/>
        <v>63</v>
      </c>
      <c r="R47" s="20">
        <f t="shared" si="19"/>
        <v>63</v>
      </c>
      <c r="S47" s="20">
        <f t="shared" si="19"/>
        <v>63</v>
      </c>
      <c r="T47" s="20">
        <f t="shared" si="19"/>
        <v>63</v>
      </c>
      <c r="U47" s="20">
        <f t="shared" si="19"/>
        <v>63</v>
      </c>
      <c r="V47" s="20">
        <f t="shared" si="19"/>
        <v>63</v>
      </c>
      <c r="W47" s="20">
        <f t="shared" si="19"/>
        <v>63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0.78750000000000009</v>
      </c>
      <c r="M50" s="12">
        <f t="shared" si="20"/>
        <v>2.3625000000000003</v>
      </c>
      <c r="N50" s="12">
        <f t="shared" si="20"/>
        <v>3.9375000000000004</v>
      </c>
      <c r="O50" s="12">
        <f t="shared" si="20"/>
        <v>5.5125000000000011</v>
      </c>
      <c r="P50" s="12">
        <f t="shared" si="20"/>
        <v>7.0875000000000012</v>
      </c>
      <c r="Q50" s="12">
        <f t="shared" si="20"/>
        <v>8.6625000000000014</v>
      </c>
      <c r="R50" s="12">
        <f t="shared" si="20"/>
        <v>10.237500000000001</v>
      </c>
      <c r="S50" s="12">
        <f t="shared" si="20"/>
        <v>11.8125</v>
      </c>
      <c r="T50" s="12">
        <f t="shared" si="20"/>
        <v>13.387499999999999</v>
      </c>
      <c r="U50" s="12">
        <f t="shared" si="20"/>
        <v>14.962499999999999</v>
      </c>
      <c r="V50" s="12">
        <f t="shared" si="20"/>
        <v>16.537499999999998</v>
      </c>
      <c r="W50" s="12">
        <f t="shared" si="20"/>
        <v>18.112499999999997</v>
      </c>
    </row>
    <row r="51" spans="1:23" s="8" customFormat="1" x14ac:dyDescent="0.2">
      <c r="A51" s="10">
        <f>A50+1</f>
        <v>31</v>
      </c>
      <c r="D51" s="13" t="s">
        <v>71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0.78750000000000009</v>
      </c>
      <c r="L51" s="12">
        <f t="shared" si="21"/>
        <v>1.5750000000000002</v>
      </c>
      <c r="M51" s="12">
        <f t="shared" si="21"/>
        <v>1.5750000000000002</v>
      </c>
      <c r="N51" s="12">
        <f t="shared" si="21"/>
        <v>1.5750000000000002</v>
      </c>
      <c r="O51" s="12">
        <f t="shared" si="21"/>
        <v>1.5750000000000002</v>
      </c>
      <c r="P51" s="12">
        <f t="shared" si="21"/>
        <v>1.5750000000000002</v>
      </c>
      <c r="Q51" s="12">
        <f t="shared" si="21"/>
        <v>1.5750000000000002</v>
      </c>
      <c r="R51" s="12">
        <f t="shared" si="21"/>
        <v>1.5750000000000002</v>
      </c>
      <c r="S51" s="12">
        <f t="shared" si="21"/>
        <v>1.5750000000000002</v>
      </c>
      <c r="T51" s="12">
        <f t="shared" si="21"/>
        <v>1.5750000000000002</v>
      </c>
      <c r="U51" s="12">
        <f t="shared" si="21"/>
        <v>1.5750000000000002</v>
      </c>
      <c r="V51" s="12">
        <f t="shared" si="21"/>
        <v>1.5750000000000002</v>
      </c>
      <c r="W51" s="12">
        <f t="shared" si="21"/>
        <v>1.5750000000000002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0.78750000000000009</v>
      </c>
      <c r="L53" s="20">
        <f t="shared" si="23"/>
        <v>2.3625000000000003</v>
      </c>
      <c r="M53" s="20">
        <f t="shared" si="23"/>
        <v>3.9375000000000004</v>
      </c>
      <c r="N53" s="20">
        <f t="shared" si="23"/>
        <v>5.5125000000000011</v>
      </c>
      <c r="O53" s="20">
        <f t="shared" si="23"/>
        <v>7.0875000000000012</v>
      </c>
      <c r="P53" s="20">
        <f t="shared" si="23"/>
        <v>8.6625000000000014</v>
      </c>
      <c r="Q53" s="20">
        <f t="shared" si="23"/>
        <v>10.237500000000001</v>
      </c>
      <c r="R53" s="20">
        <f t="shared" si="23"/>
        <v>11.8125</v>
      </c>
      <c r="S53" s="20">
        <f t="shared" si="23"/>
        <v>13.387499999999999</v>
      </c>
      <c r="T53" s="20">
        <f t="shared" si="23"/>
        <v>14.962499999999999</v>
      </c>
      <c r="U53" s="20">
        <f t="shared" si="23"/>
        <v>16.537499999999998</v>
      </c>
      <c r="V53" s="20">
        <f t="shared" si="23"/>
        <v>18.112499999999997</v>
      </c>
      <c r="W53" s="20">
        <f t="shared" si="23"/>
        <v>19.687499999999996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0.39375000000000004</v>
      </c>
      <c r="L54" s="20">
        <f t="shared" si="24"/>
        <v>1.5750000000000002</v>
      </c>
      <c r="M54" s="20">
        <f t="shared" si="24"/>
        <v>3.1500000000000004</v>
      </c>
      <c r="N54" s="20">
        <f t="shared" si="24"/>
        <v>4.7250000000000005</v>
      </c>
      <c r="O54" s="20">
        <f t="shared" si="24"/>
        <v>6.3000000000000007</v>
      </c>
      <c r="P54" s="20">
        <f t="shared" si="24"/>
        <v>7.8750000000000018</v>
      </c>
      <c r="Q54" s="20">
        <f t="shared" si="24"/>
        <v>9.4500000000000011</v>
      </c>
      <c r="R54" s="20">
        <f t="shared" si="24"/>
        <v>11.025</v>
      </c>
      <c r="S54" s="20">
        <f t="shared" si="24"/>
        <v>12.6</v>
      </c>
      <c r="T54" s="20">
        <f t="shared" si="24"/>
        <v>14.174999999999999</v>
      </c>
      <c r="U54" s="20">
        <f t="shared" si="24"/>
        <v>15.749999999999998</v>
      </c>
      <c r="V54" s="20">
        <f t="shared" si="24"/>
        <v>17.324999999999996</v>
      </c>
      <c r="W54" s="20">
        <f t="shared" si="24"/>
        <v>18.899999999999999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59.85</v>
      </c>
      <c r="M57" s="12">
        <f t="shared" si="25"/>
        <v>53.865000000000002</v>
      </c>
      <c r="N57" s="12">
        <f t="shared" si="25"/>
        <v>48.478500000000004</v>
      </c>
      <c r="O57" s="12">
        <f t="shared" si="25"/>
        <v>43.630650000000003</v>
      </c>
      <c r="P57" s="12">
        <f t="shared" si="25"/>
        <v>39.267585000000004</v>
      </c>
      <c r="Q57" s="12">
        <f t="shared" si="25"/>
        <v>35.340826500000006</v>
      </c>
      <c r="R57" s="12">
        <f t="shared" si="25"/>
        <v>31.620739500000006</v>
      </c>
      <c r="S57" s="12">
        <f t="shared" si="25"/>
        <v>27.900652500000007</v>
      </c>
      <c r="T57" s="12">
        <f t="shared" si="25"/>
        <v>24.180565500000007</v>
      </c>
      <c r="U57" s="12">
        <f t="shared" si="25"/>
        <v>20.460478500000008</v>
      </c>
      <c r="V57" s="12">
        <f t="shared" si="25"/>
        <v>16.740391500000008</v>
      </c>
      <c r="W57" s="12">
        <f t="shared" si="25"/>
        <v>13.020304500000009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63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-3.1500000000000004</v>
      </c>
      <c r="L59" s="12">
        <f>-I23*L58-J23*K58-K23*J58-L23*I58</f>
        <v>-5.9850000000000003</v>
      </c>
      <c r="M59" s="12">
        <f>-I23*M58-J23*L58-K23*K58-L23*J58-M23*I58</f>
        <v>-5.3865000000000007</v>
      </c>
      <c r="N59" s="12">
        <f>-I23*N58-J23*M58-K23*L58-L23*K58-M23*J58-N23*I58</f>
        <v>-4.8478500000000002</v>
      </c>
      <c r="O59" s="12">
        <f>-I23*O58-J23*N58-K23*M58-L23*L58-M23*K58-N23*J58-O23*I58</f>
        <v>-4.3630649999999997</v>
      </c>
      <c r="P59" s="12">
        <f>-I23*P58-J23*O58-K23*N58-L23*M58-M23*L58-N23*K58-O23*J58-P23*I58</f>
        <v>-3.9267584999999996</v>
      </c>
      <c r="Q59" s="12">
        <f>-I23*Q58-J23*P58-K23*O58-L23*N58-M23*M58-N23*L58-O23*K58-P23*J58-Q23*I58</f>
        <v>-3.7200869999999999</v>
      </c>
      <c r="R59" s="12">
        <f>-I23*R58-J23*Q58-K23*P58-L23*O58-M23*N58-N23*M58-O23*L58-P23*K58-Q23*J58-R23*I58</f>
        <v>-3.720086999999999</v>
      </c>
      <c r="S59" s="12">
        <f>-I23*S58-J23*R58-K23*Q58-L23*P58-M23*O58-N23*N58-O23*M58-P23*L58-Q23*K58-R23*J58-S23*I58</f>
        <v>-3.7200869999999999</v>
      </c>
      <c r="T59" s="12">
        <f>-I23*T58-J23*S58-K23*R58-L23*Q58-M23*P58-N23*O58-O23*N58-P23*M58-Q23*L58-R23*K58-S23*J58-T23*I58</f>
        <v>-3.7200869999999995</v>
      </c>
      <c r="U59" s="12">
        <f>-I23*U58-J23*T58-K23*S58-L23*R58-M23*Q58-N23*P58-O23*O58-P23*N58-Q23*M58-R23*L58-S23*K58-T23*J58-U23*I58</f>
        <v>-3.7200869999999995</v>
      </c>
      <c r="V59" s="12">
        <f>-I23*V58-J23*U58-K23*T58-L23*S58-M23*R58-N23*Q58-O23*P58-P23*O58-Q23*N58-R23*M58-S23*L58-T23*K58-U23*J58-V23*I58</f>
        <v>-3.720086999999999</v>
      </c>
      <c r="W59" s="12">
        <f>-I23*W58-J23*V58-K23*U58-L23*T58-M23*S58-N23*R58-O23*Q58-P23*P58-Q23*O58-R23*N58-S23*M58-T23*L58-U23*K58-V23*J58-W23*I58</f>
        <v>-3.7200869999999981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59.85</v>
      </c>
      <c r="L60" s="20">
        <f t="shared" si="27"/>
        <v>53.865000000000002</v>
      </c>
      <c r="M60" s="20">
        <f t="shared" si="27"/>
        <v>48.478500000000004</v>
      </c>
      <c r="N60" s="20">
        <f t="shared" si="27"/>
        <v>43.630650000000003</v>
      </c>
      <c r="O60" s="20">
        <f t="shared" si="27"/>
        <v>39.267585000000004</v>
      </c>
      <c r="P60" s="20">
        <f t="shared" si="27"/>
        <v>35.340826500000006</v>
      </c>
      <c r="Q60" s="20">
        <f t="shared" si="27"/>
        <v>31.620739500000006</v>
      </c>
      <c r="R60" s="20">
        <f t="shared" si="27"/>
        <v>27.900652500000007</v>
      </c>
      <c r="S60" s="20">
        <f t="shared" si="27"/>
        <v>24.180565500000007</v>
      </c>
      <c r="T60" s="20">
        <f t="shared" si="27"/>
        <v>20.460478500000008</v>
      </c>
      <c r="U60" s="20">
        <f t="shared" si="27"/>
        <v>16.740391500000008</v>
      </c>
      <c r="V60" s="20">
        <f t="shared" si="27"/>
        <v>13.020304500000009</v>
      </c>
      <c r="W60" s="20">
        <f t="shared" si="27"/>
        <v>9.3002175000000111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61.424999999999997</v>
      </c>
      <c r="M63" s="12">
        <f t="shared" si="28"/>
        <v>58.353749999999998</v>
      </c>
      <c r="N63" s="12">
        <f t="shared" si="28"/>
        <v>55.436062499999998</v>
      </c>
      <c r="O63" s="12">
        <f t="shared" si="28"/>
        <v>52.664259375</v>
      </c>
      <c r="P63" s="12">
        <f t="shared" si="28"/>
        <v>50.031046406249999</v>
      </c>
      <c r="Q63" s="12">
        <f t="shared" si="28"/>
        <v>47.5294940859375</v>
      </c>
      <c r="R63" s="12">
        <f t="shared" si="28"/>
        <v>45.153019381640625</v>
      </c>
      <c r="S63" s="12">
        <f t="shared" si="28"/>
        <v>42.895368412558597</v>
      </c>
      <c r="T63" s="12">
        <f t="shared" si="28"/>
        <v>40.75059999193067</v>
      </c>
      <c r="U63" s="12">
        <f t="shared" si="28"/>
        <v>38.713069992334134</v>
      </c>
      <c r="V63" s="12">
        <f t="shared" si="28"/>
        <v>36.777416492717428</v>
      </c>
      <c r="W63" s="12">
        <f t="shared" si="28"/>
        <v>34.938545668081559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63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-1.5750000000000002</v>
      </c>
      <c r="L65" s="12">
        <f t="shared" si="30"/>
        <v>-3.07125</v>
      </c>
      <c r="M65" s="12">
        <f t="shared" si="30"/>
        <v>-2.9176875</v>
      </c>
      <c r="N65" s="12">
        <f t="shared" si="30"/>
        <v>-2.7718031249999999</v>
      </c>
      <c r="O65" s="12">
        <f t="shared" si="30"/>
        <v>-2.6332129687500001</v>
      </c>
      <c r="P65" s="12">
        <f t="shared" si="30"/>
        <v>-2.5015523203125003</v>
      </c>
      <c r="Q65" s="12">
        <f t="shared" si="30"/>
        <v>-2.376474704296875</v>
      </c>
      <c r="R65" s="12">
        <f t="shared" si="30"/>
        <v>-2.2576509690820314</v>
      </c>
      <c r="S65" s="12">
        <f t="shared" si="30"/>
        <v>-2.1447684206279298</v>
      </c>
      <c r="T65" s="12">
        <f t="shared" si="30"/>
        <v>-2.0375299995965337</v>
      </c>
      <c r="U65" s="12">
        <f t="shared" si="30"/>
        <v>-1.9356534996167067</v>
      </c>
      <c r="V65" s="12">
        <f t="shared" si="30"/>
        <v>-1.8388708246358716</v>
      </c>
      <c r="W65" s="12">
        <f t="shared" si="30"/>
        <v>-1.7469272834040781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61.424999999999997</v>
      </c>
      <c r="L66" s="20">
        <f t="shared" si="31"/>
        <v>58.353749999999998</v>
      </c>
      <c r="M66" s="20">
        <f t="shared" si="31"/>
        <v>55.436062499999998</v>
      </c>
      <c r="N66" s="20">
        <f t="shared" si="31"/>
        <v>52.664259375</v>
      </c>
      <c r="O66" s="20">
        <f t="shared" si="31"/>
        <v>50.031046406249999</v>
      </c>
      <c r="P66" s="20">
        <f t="shared" si="31"/>
        <v>47.5294940859375</v>
      </c>
      <c r="Q66" s="20">
        <f t="shared" si="31"/>
        <v>45.153019381640625</v>
      </c>
      <c r="R66" s="20">
        <f t="shared" si="31"/>
        <v>42.895368412558597</v>
      </c>
      <c r="S66" s="20">
        <f t="shared" si="31"/>
        <v>40.75059999193067</v>
      </c>
      <c r="T66" s="20">
        <f t="shared" si="31"/>
        <v>38.713069992334134</v>
      </c>
      <c r="U66" s="20">
        <f t="shared" si="31"/>
        <v>36.777416492717428</v>
      </c>
      <c r="V66" s="20">
        <f t="shared" si="31"/>
        <v>34.938545668081559</v>
      </c>
      <c r="W66" s="20">
        <f t="shared" si="31"/>
        <v>33.191618384677483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0.55112085</v>
      </c>
      <c r="M69" s="12">
        <f t="shared" si="32"/>
        <v>1.5817129649999999</v>
      </c>
      <c r="N69" s="12">
        <f t="shared" si="32"/>
        <v>2.4758958892500003</v>
      </c>
      <c r="O69" s="12">
        <f t="shared" si="32"/>
        <v>3.2467743322875</v>
      </c>
      <c r="P69" s="12">
        <f t="shared" si="32"/>
        <v>3.9061693431731248</v>
      </c>
      <c r="Q69" s="12">
        <f t="shared" si="32"/>
        <v>4.4647453360144684</v>
      </c>
      <c r="R69" s="12">
        <f t="shared" si="32"/>
        <v>4.9711853934637453</v>
      </c>
      <c r="S69" s="12">
        <f t="shared" si="32"/>
        <v>5.4693272765405583</v>
      </c>
      <c r="T69" s="12">
        <f t="shared" si="32"/>
        <v>5.9595858939635304</v>
      </c>
      <c r="U69" s="12">
        <f t="shared" si="32"/>
        <v>6.4423554090153541</v>
      </c>
      <c r="V69" s="12">
        <f t="shared" si="32"/>
        <v>6.9180102768145861</v>
      </c>
      <c r="W69" s="12">
        <f t="shared" si="32"/>
        <v>7.3869062297238566</v>
      </c>
    </row>
    <row r="70" spans="1:23" s="8" customFormat="1" x14ac:dyDescent="0.2">
      <c r="A70" s="10">
        <f>A69+1</f>
        <v>44</v>
      </c>
      <c r="D70" s="13" t="s">
        <v>76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0.48150585000000001</v>
      </c>
      <c r="L70" s="12">
        <f t="shared" si="33"/>
        <v>0.89832361499999991</v>
      </c>
      <c r="M70" s="12">
        <f t="shared" si="33"/>
        <v>0.77548934925000013</v>
      </c>
      <c r="N70" s="12">
        <f t="shared" si="33"/>
        <v>0.66508104678750002</v>
      </c>
      <c r="O70" s="12">
        <f t="shared" si="33"/>
        <v>0.56584898444812481</v>
      </c>
      <c r="P70" s="12">
        <f t="shared" si="33"/>
        <v>0.47666876772571859</v>
      </c>
      <c r="Q70" s="12">
        <f t="shared" si="33"/>
        <v>0.43558969358943278</v>
      </c>
      <c r="R70" s="12">
        <f t="shared" si="33"/>
        <v>0.43779553740996091</v>
      </c>
      <c r="S70" s="12">
        <f t="shared" si="33"/>
        <v>0.43989108903946306</v>
      </c>
      <c r="T70" s="12">
        <f t="shared" si="33"/>
        <v>0.44188186308748972</v>
      </c>
      <c r="U70" s="12">
        <f t="shared" si="33"/>
        <v>0.4437730984331153</v>
      </c>
      <c r="V70" s="12">
        <f t="shared" si="33"/>
        <v>0.44556977201145948</v>
      </c>
      <c r="W70" s="12">
        <f t="shared" si="33"/>
        <v>0.4472766119108863</v>
      </c>
    </row>
    <row r="71" spans="1:23" s="8" customFormat="1" x14ac:dyDescent="0.2">
      <c r="A71" s="10">
        <f>A70+1</f>
        <v>45</v>
      </c>
      <c r="D71" s="13" t="s">
        <v>77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6.961500000000001E-2</v>
      </c>
      <c r="L71" s="12">
        <f t="shared" si="34"/>
        <v>0.13226849999999998</v>
      </c>
      <c r="M71" s="12">
        <f t="shared" si="34"/>
        <v>0.118693575</v>
      </c>
      <c r="N71" s="12">
        <f t="shared" si="34"/>
        <v>0.10579739624999998</v>
      </c>
      <c r="O71" s="12">
        <f t="shared" si="34"/>
        <v>9.3546026437499999E-2</v>
      </c>
      <c r="P71" s="12">
        <f t="shared" si="34"/>
        <v>8.190722511562501E-2</v>
      </c>
      <c r="Q71" s="12">
        <f t="shared" si="34"/>
        <v>7.0850363859843737E-2</v>
      </c>
      <c r="R71" s="12">
        <f t="shared" si="34"/>
        <v>6.034634566685157E-2</v>
      </c>
      <c r="S71" s="12">
        <f t="shared" si="34"/>
        <v>5.0367528383508983E-2</v>
      </c>
      <c r="T71" s="12">
        <f t="shared" si="34"/>
        <v>4.0887651964333568E-2</v>
      </c>
      <c r="U71" s="12">
        <f t="shared" si="34"/>
        <v>3.1881769366116863E-2</v>
      </c>
      <c r="V71" s="12">
        <f t="shared" si="34"/>
        <v>2.3326180897811036E-2</v>
      </c>
      <c r="W71" s="12">
        <f t="shared" si="34"/>
        <v>1.519837185292049E-2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0.55112085</v>
      </c>
      <c r="L72" s="20">
        <f t="shared" si="35"/>
        <v>1.5817129649999999</v>
      </c>
      <c r="M72" s="20">
        <f t="shared" si="35"/>
        <v>2.4758958892500003</v>
      </c>
      <c r="N72" s="20">
        <f t="shared" si="35"/>
        <v>3.2467743322875</v>
      </c>
      <c r="O72" s="20">
        <f t="shared" si="35"/>
        <v>3.9061693431731248</v>
      </c>
      <c r="P72" s="20">
        <f t="shared" si="35"/>
        <v>4.4647453360144684</v>
      </c>
      <c r="Q72" s="20">
        <f t="shared" si="35"/>
        <v>4.9711853934637453</v>
      </c>
      <c r="R72" s="20">
        <f t="shared" si="35"/>
        <v>5.4693272765405583</v>
      </c>
      <c r="S72" s="20">
        <f t="shared" si="35"/>
        <v>5.9595858939635304</v>
      </c>
      <c r="T72" s="20">
        <f t="shared" si="35"/>
        <v>6.4423554090153541</v>
      </c>
      <c r="U72" s="20">
        <f t="shared" si="35"/>
        <v>6.9180102768145861</v>
      </c>
      <c r="V72" s="20">
        <f t="shared" si="35"/>
        <v>7.3869062297238566</v>
      </c>
      <c r="W72" s="20">
        <f t="shared" si="35"/>
        <v>7.8493812134876633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0.275560425</v>
      </c>
      <c r="L73" s="20">
        <f t="shared" si="36"/>
        <v>1.0664169074999998</v>
      </c>
      <c r="M73" s="20">
        <f t="shared" si="36"/>
        <v>2.0288044271250003</v>
      </c>
      <c r="N73" s="20">
        <f t="shared" si="36"/>
        <v>2.8613351107687501</v>
      </c>
      <c r="O73" s="20">
        <f t="shared" si="36"/>
        <v>3.5764718377303124</v>
      </c>
      <c r="P73" s="20">
        <f t="shared" si="36"/>
        <v>4.1854573395937962</v>
      </c>
      <c r="Q73" s="20">
        <f t="shared" si="36"/>
        <v>4.7179653647391069</v>
      </c>
      <c r="R73" s="20">
        <f t="shared" si="36"/>
        <v>5.2202563350021514</v>
      </c>
      <c r="S73" s="20">
        <f t="shared" si="36"/>
        <v>5.7144565852520444</v>
      </c>
      <c r="T73" s="20">
        <f t="shared" si="36"/>
        <v>6.2009706514894418</v>
      </c>
      <c r="U73" s="20">
        <f t="shared" si="36"/>
        <v>6.6801828429149701</v>
      </c>
      <c r="V73" s="20">
        <f t="shared" si="36"/>
        <v>7.1524582532692218</v>
      </c>
      <c r="W73" s="20">
        <f t="shared" si="36"/>
        <v>7.6181437216057599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31.5</v>
      </c>
      <c r="L76" s="12">
        <f t="shared" si="37"/>
        <v>63</v>
      </c>
      <c r="M76" s="12">
        <f t="shared" si="37"/>
        <v>63</v>
      </c>
      <c r="N76" s="12">
        <f t="shared" si="37"/>
        <v>63</v>
      </c>
      <c r="O76" s="12">
        <f t="shared" si="37"/>
        <v>63</v>
      </c>
      <c r="P76" s="12">
        <f t="shared" si="37"/>
        <v>63</v>
      </c>
      <c r="Q76" s="12">
        <f t="shared" si="37"/>
        <v>63</v>
      </c>
      <c r="R76" s="12">
        <f t="shared" si="37"/>
        <v>63</v>
      </c>
      <c r="S76" s="12">
        <f t="shared" si="37"/>
        <v>63</v>
      </c>
      <c r="T76" s="12">
        <f t="shared" si="37"/>
        <v>63</v>
      </c>
      <c r="U76" s="12">
        <f t="shared" si="37"/>
        <v>63</v>
      </c>
      <c r="V76" s="12">
        <f t="shared" si="37"/>
        <v>63</v>
      </c>
      <c r="W76" s="12">
        <f t="shared" si="37"/>
        <v>63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-0.39375000000000004</v>
      </c>
      <c r="L77" s="12">
        <f t="shared" si="38"/>
        <v>-1.5750000000000002</v>
      </c>
      <c r="M77" s="12">
        <f t="shared" si="38"/>
        <v>-3.1500000000000004</v>
      </c>
      <c r="N77" s="12">
        <f t="shared" si="38"/>
        <v>-4.7250000000000005</v>
      </c>
      <c r="O77" s="12">
        <f t="shared" si="38"/>
        <v>-6.3000000000000007</v>
      </c>
      <c r="P77" s="12">
        <f t="shared" si="38"/>
        <v>-7.8750000000000018</v>
      </c>
      <c r="Q77" s="12">
        <f t="shared" si="38"/>
        <v>-9.4500000000000011</v>
      </c>
      <c r="R77" s="12">
        <f t="shared" si="38"/>
        <v>-11.025</v>
      </c>
      <c r="S77" s="12">
        <f t="shared" si="38"/>
        <v>-12.6</v>
      </c>
      <c r="T77" s="12">
        <f t="shared" si="38"/>
        <v>-14.174999999999999</v>
      </c>
      <c r="U77" s="12">
        <f t="shared" si="38"/>
        <v>-15.749999999999998</v>
      </c>
      <c r="V77" s="12">
        <f t="shared" si="38"/>
        <v>-17.324999999999996</v>
      </c>
      <c r="W77" s="12">
        <f t="shared" si="38"/>
        <v>-18.899999999999999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3</v>
      </c>
      <c r="J78" s="12">
        <f t="shared" si="39"/>
        <v>17.5</v>
      </c>
      <c r="K78" s="12">
        <f t="shared" si="39"/>
        <v>14.5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-0.275560425</v>
      </c>
      <c r="L79" s="12">
        <f t="shared" si="40"/>
        <v>-1.0664169074999998</v>
      </c>
      <c r="M79" s="12">
        <f t="shared" si="40"/>
        <v>-2.0288044271250003</v>
      </c>
      <c r="N79" s="12">
        <f t="shared" si="40"/>
        <v>-2.8613351107687501</v>
      </c>
      <c r="O79" s="12">
        <f t="shared" si="40"/>
        <v>-3.5764718377303124</v>
      </c>
      <c r="P79" s="12">
        <f t="shared" si="40"/>
        <v>-4.1854573395937962</v>
      </c>
      <c r="Q79" s="12">
        <f t="shared" si="40"/>
        <v>-4.7179653647391069</v>
      </c>
      <c r="R79" s="12">
        <f t="shared" si="40"/>
        <v>-5.2202563350021514</v>
      </c>
      <c r="S79" s="12">
        <f t="shared" si="40"/>
        <v>-5.7144565852520444</v>
      </c>
      <c r="T79" s="12">
        <f t="shared" si="40"/>
        <v>-6.2009706514894418</v>
      </c>
      <c r="U79" s="12">
        <f t="shared" si="40"/>
        <v>-6.6801828429149701</v>
      </c>
      <c r="V79" s="12">
        <f t="shared" si="40"/>
        <v>-7.1524582532692218</v>
      </c>
      <c r="W79" s="12">
        <f t="shared" si="40"/>
        <v>-7.6181437216057599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3</v>
      </c>
      <c r="J80" s="20">
        <f>SUM(J76:J79)</f>
        <v>17.5</v>
      </c>
      <c r="K80" s="20">
        <f t="shared" ref="K80:W80" si="41">SUM(K76:K79)</f>
        <v>45.330689575000001</v>
      </c>
      <c r="L80" s="20">
        <f t="shared" si="41"/>
        <v>60.358583092499998</v>
      </c>
      <c r="M80" s="20">
        <f t="shared" si="41"/>
        <v>57.821195572874998</v>
      </c>
      <c r="N80" s="20">
        <f t="shared" si="41"/>
        <v>55.413664889231249</v>
      </c>
      <c r="O80" s="20">
        <f t="shared" si="41"/>
        <v>53.123528162269693</v>
      </c>
      <c r="P80" s="20">
        <f t="shared" si="41"/>
        <v>50.939542660406204</v>
      </c>
      <c r="Q80" s="20">
        <f t="shared" si="41"/>
        <v>48.832034635260889</v>
      </c>
      <c r="R80" s="20">
        <f t="shared" si="41"/>
        <v>46.754743664997847</v>
      </c>
      <c r="S80" s="20">
        <f t="shared" si="41"/>
        <v>44.685543414747954</v>
      </c>
      <c r="T80" s="20">
        <f t="shared" si="41"/>
        <v>42.624029348510561</v>
      </c>
      <c r="U80" s="20">
        <f t="shared" si="41"/>
        <v>40.569817157085026</v>
      </c>
      <c r="V80" s="20">
        <f t="shared" si="41"/>
        <v>38.522541746730781</v>
      </c>
      <c r="W80" s="20">
        <f t="shared" si="41"/>
        <v>36.48185627839424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0.78750000000000009</v>
      </c>
      <c r="L83" s="12">
        <f t="shared" si="42"/>
        <v>1.5750000000000002</v>
      </c>
      <c r="M83" s="12">
        <f t="shared" si="42"/>
        <v>1.5750000000000002</v>
      </c>
      <c r="N83" s="12">
        <f t="shared" si="42"/>
        <v>1.5750000000000002</v>
      </c>
      <c r="O83" s="12">
        <f t="shared" si="42"/>
        <v>1.5750000000000002</v>
      </c>
      <c r="P83" s="12">
        <f t="shared" si="42"/>
        <v>1.5750000000000002</v>
      </c>
      <c r="Q83" s="12">
        <f t="shared" si="42"/>
        <v>1.5750000000000002</v>
      </c>
      <c r="R83" s="12">
        <f t="shared" si="42"/>
        <v>1.5750000000000002</v>
      </c>
      <c r="S83" s="12">
        <f t="shared" si="42"/>
        <v>1.5750000000000002</v>
      </c>
      <c r="T83" s="12">
        <f t="shared" si="42"/>
        <v>1.5750000000000002</v>
      </c>
      <c r="U83" s="12">
        <f t="shared" si="42"/>
        <v>1.5750000000000002</v>
      </c>
      <c r="V83" s="12">
        <f t="shared" si="42"/>
        <v>1.5750000000000002</v>
      </c>
      <c r="W83" s="12">
        <f t="shared" si="42"/>
        <v>1.5750000000000002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0.09</v>
      </c>
      <c r="J84" s="12">
        <f t="shared" si="44"/>
        <v>0.52500000000000002</v>
      </c>
      <c r="K84" s="12">
        <f t="shared" si="44"/>
        <v>1.35992068725</v>
      </c>
      <c r="L84" s="12">
        <f t="shared" si="44"/>
        <v>1.8107574927749999</v>
      </c>
      <c r="M84" s="12">
        <f t="shared" si="44"/>
        <v>1.7346358671862498</v>
      </c>
      <c r="N84" s="12">
        <f t="shared" si="44"/>
        <v>1.6624099466769373</v>
      </c>
      <c r="O84" s="12">
        <f t="shared" si="44"/>
        <v>1.5937058448680907</v>
      </c>
      <c r="P84" s="12">
        <f t="shared" si="44"/>
        <v>1.5281862798121861</v>
      </c>
      <c r="Q84" s="12">
        <f t="shared" si="44"/>
        <v>1.4649610390578267</v>
      </c>
      <c r="R84" s="12">
        <f t="shared" si="44"/>
        <v>1.4026423099499354</v>
      </c>
      <c r="S84" s="12">
        <f t="shared" si="44"/>
        <v>1.3405663024424386</v>
      </c>
      <c r="T84" s="12">
        <f t="shared" si="44"/>
        <v>1.2787208804553167</v>
      </c>
      <c r="U84" s="12">
        <f t="shared" si="44"/>
        <v>1.2170945147125507</v>
      </c>
      <c r="V84" s="12">
        <f t="shared" si="44"/>
        <v>1.1556762524019233</v>
      </c>
      <c r="W84" s="12">
        <f t="shared" si="44"/>
        <v>1.094455688351827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0.16500000000000001</v>
      </c>
      <c r="J85" s="12">
        <f t="shared" si="45"/>
        <v>0.96250000000000002</v>
      </c>
      <c r="K85" s="12">
        <f t="shared" si="45"/>
        <v>2.4931879266250001</v>
      </c>
      <c r="L85" s="12">
        <f t="shared" si="45"/>
        <v>3.3197220700874999</v>
      </c>
      <c r="M85" s="12">
        <f t="shared" si="45"/>
        <v>3.1801657565081247</v>
      </c>
      <c r="N85" s="12">
        <f t="shared" si="45"/>
        <v>3.0477515689077186</v>
      </c>
      <c r="O85" s="12">
        <f t="shared" si="45"/>
        <v>2.9217940489248333</v>
      </c>
      <c r="P85" s="12">
        <f t="shared" si="45"/>
        <v>2.8016748463223413</v>
      </c>
      <c r="Q85" s="12">
        <f t="shared" si="45"/>
        <v>2.6857619049393491</v>
      </c>
      <c r="R85" s="12">
        <f t="shared" si="45"/>
        <v>2.5715109015748814</v>
      </c>
      <c r="S85" s="12">
        <f t="shared" si="45"/>
        <v>2.4577048878111376</v>
      </c>
      <c r="T85" s="12">
        <f t="shared" si="45"/>
        <v>2.3443216141680807</v>
      </c>
      <c r="U85" s="12">
        <f t="shared" si="45"/>
        <v>2.2313399436396764</v>
      </c>
      <c r="V85" s="12">
        <f t="shared" si="45"/>
        <v>2.118739796070193</v>
      </c>
      <c r="W85" s="12">
        <f t="shared" si="45"/>
        <v>2.0065020953116832</v>
      </c>
    </row>
    <row r="86" spans="1:24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4.3860759493670881E-2</v>
      </c>
      <c r="J86" s="12">
        <f t="shared" ref="J86:W86" si="46">IF($F24="Y",J85*J25/(1-J25),J85*J25/(1-J25)+(J51+J59)*J25)</f>
        <v>0.25585443037974681</v>
      </c>
      <c r="K86" s="12">
        <f t="shared" si="46"/>
        <v>0.66274615771044298</v>
      </c>
      <c r="L86" s="12">
        <f t="shared" si="46"/>
        <v>0.88245776546629739</v>
      </c>
      <c r="M86" s="12">
        <f t="shared" si="46"/>
        <v>0.84536051755279262</v>
      </c>
      <c r="N86" s="12">
        <f t="shared" si="46"/>
        <v>0.81016180945648208</v>
      </c>
      <c r="O86" s="12">
        <f t="shared" si="46"/>
        <v>0.77667943072685441</v>
      </c>
      <c r="P86" s="12">
        <f t="shared" si="46"/>
        <v>0.74474900978188818</v>
      </c>
      <c r="Q86" s="12">
        <f t="shared" si="46"/>
        <v>0.71393670890792826</v>
      </c>
      <c r="R86" s="12">
        <f t="shared" si="46"/>
        <v>0.68356618902623434</v>
      </c>
      <c r="S86" s="12">
        <f t="shared" si="46"/>
        <v>0.65331395751941623</v>
      </c>
      <c r="T86" s="12">
        <f t="shared" si="46"/>
        <v>0.6231740999687303</v>
      </c>
      <c r="U86" s="12">
        <f t="shared" si="46"/>
        <v>0.59314099767636963</v>
      </c>
      <c r="V86" s="12">
        <f t="shared" si="46"/>
        <v>0.56320931287941833</v>
      </c>
      <c r="W86" s="12">
        <f t="shared" si="46"/>
        <v>0.53337397470310566</v>
      </c>
    </row>
    <row r="87" spans="1:24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2.0253719986003192E-2</v>
      </c>
      <c r="J87" s="12">
        <f t="shared" ref="J87:W87" si="47">IF($F28="Y",(J85+J86)*J29/(1-J29),(J85+J86)*J29/(1-J29)+(J51+J65)*J29)</f>
        <v>0.11814669991835194</v>
      </c>
      <c r="K87" s="12">
        <f t="shared" si="47"/>
        <v>0.30603836447482796</v>
      </c>
      <c r="L87" s="12">
        <f t="shared" si="47"/>
        <v>0.40749528023580045</v>
      </c>
      <c r="M87" s="12">
        <f t="shared" si="47"/>
        <v>0.39036476812964577</v>
      </c>
      <c r="N87" s="12">
        <f t="shared" si="47"/>
        <v>0.37411095068823541</v>
      </c>
      <c r="O87" s="12">
        <f t="shared" si="47"/>
        <v>0.35864968802238839</v>
      </c>
      <c r="P87" s="12">
        <f t="shared" si="47"/>
        <v>0.34390507775297707</v>
      </c>
      <c r="Q87" s="12">
        <f t="shared" si="47"/>
        <v>0.32967678528312783</v>
      </c>
      <c r="R87" s="12">
        <f t="shared" si="47"/>
        <v>0.31565249540274098</v>
      </c>
      <c r="S87" s="12">
        <f t="shared" si="47"/>
        <v>0.30168282791489792</v>
      </c>
      <c r="T87" s="12">
        <f t="shared" si="47"/>
        <v>0.28776505169997163</v>
      </c>
      <c r="U87" s="12">
        <f t="shared" si="47"/>
        <v>0.27389657219431601</v>
      </c>
      <c r="V87" s="12">
        <f t="shared" si="47"/>
        <v>0.26007492456246784</v>
      </c>
      <c r="W87" s="12">
        <f t="shared" si="47"/>
        <v>0.24629776721073648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1.26</v>
      </c>
      <c r="M88" s="12">
        <f t="shared" si="48"/>
        <v>1.2852000000000001</v>
      </c>
      <c r="N88" s="12">
        <f t="shared" si="48"/>
        <v>1.3109040000000001</v>
      </c>
      <c r="O88" s="12">
        <f t="shared" si="48"/>
        <v>1.3371220800000001</v>
      </c>
      <c r="P88" s="12">
        <f t="shared" si="48"/>
        <v>1.3638645216</v>
      </c>
      <c r="Q88" s="12">
        <f t="shared" si="48"/>
        <v>1.391141812032</v>
      </c>
      <c r="R88" s="12">
        <f t="shared" si="48"/>
        <v>1.4189646482726401</v>
      </c>
      <c r="S88" s="12">
        <f t="shared" si="48"/>
        <v>1.4473439412380928</v>
      </c>
      <c r="T88" s="12">
        <f t="shared" si="48"/>
        <v>1.4762908200628548</v>
      </c>
      <c r="U88" s="12">
        <f t="shared" si="48"/>
        <v>1.5058166364641119</v>
      </c>
      <c r="V88" s="12">
        <f t="shared" si="48"/>
        <v>1.5359329691933941</v>
      </c>
      <c r="W88" s="12">
        <f t="shared" si="48"/>
        <v>1.566651628577262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0.31911447947967403</v>
      </c>
      <c r="J89" s="20">
        <f t="shared" ref="J89:W89" si="49">SUM(J83:J88)</f>
        <v>1.8615011302980988</v>
      </c>
      <c r="K89" s="20">
        <f t="shared" si="49"/>
        <v>5.6093931360602722</v>
      </c>
      <c r="L89" s="20">
        <f t="shared" si="49"/>
        <v>9.2554326085645986</v>
      </c>
      <c r="M89" s="20">
        <f t="shared" si="49"/>
        <v>9.0107269093768139</v>
      </c>
      <c r="N89" s="20">
        <f t="shared" si="49"/>
        <v>8.780338275729374</v>
      </c>
      <c r="O89" s="20">
        <f t="shared" si="49"/>
        <v>8.5629510925421677</v>
      </c>
      <c r="P89" s="20">
        <f t="shared" si="49"/>
        <v>8.3573797352693919</v>
      </c>
      <c r="Q89" s="20">
        <f t="shared" si="49"/>
        <v>8.1604782502202333</v>
      </c>
      <c r="R89" s="20">
        <f t="shared" si="49"/>
        <v>7.9673365442264323</v>
      </c>
      <c r="S89" s="20">
        <f t="shared" si="49"/>
        <v>7.7756119169259836</v>
      </c>
      <c r="T89" s="20">
        <f t="shared" si="49"/>
        <v>7.5852724663549544</v>
      </c>
      <c r="U89" s="20">
        <f t="shared" si="49"/>
        <v>7.3962886646870247</v>
      </c>
      <c r="V89" s="20">
        <f t="shared" si="49"/>
        <v>7.2086332551073964</v>
      </c>
      <c r="W89" s="20">
        <f t="shared" si="49"/>
        <v>7.022281154154614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zoomScale="80" zoomScaleNormal="80" workbookViewId="0">
      <selection activeCell="K8" sqref="K8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161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Summary!H3</f>
        <v>2018</v>
      </c>
      <c r="I3" s="5">
        <f>Summary!I3</f>
        <v>2019</v>
      </c>
      <c r="J3" s="5">
        <f>Summary!J3</f>
        <v>2020</v>
      </c>
      <c r="K3" s="5">
        <f>Summary!K3</f>
        <v>2021</v>
      </c>
      <c r="L3" s="5">
        <f>Summary!L3</f>
        <v>2022</v>
      </c>
      <c r="M3" s="5">
        <f>Summary!M3</f>
        <v>2023</v>
      </c>
      <c r="N3" s="5">
        <f>Summary!N3</f>
        <v>2024</v>
      </c>
      <c r="O3" s="5">
        <f>Summary!O3</f>
        <v>2025</v>
      </c>
      <c r="P3" s="5">
        <f>Summary!P3</f>
        <v>2026</v>
      </c>
      <c r="Q3" s="5">
        <f>Summary!Q3</f>
        <v>2027</v>
      </c>
      <c r="R3" s="5">
        <f>Summary!R3</f>
        <v>2028</v>
      </c>
      <c r="S3" s="5">
        <f>Summary!S3</f>
        <v>2029</v>
      </c>
      <c r="T3" s="5">
        <f>Summary!T3</f>
        <v>2030</v>
      </c>
      <c r="U3" s="5">
        <f>Summary!U3</f>
        <v>2031</v>
      </c>
      <c r="V3" s="5">
        <f>Summary!V3</f>
        <v>2032</v>
      </c>
      <c r="W3" s="5">
        <f>Summary!W3</f>
        <v>2033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47">
        <v>0</v>
      </c>
      <c r="J8" s="47">
        <v>0</v>
      </c>
      <c r="K8" s="47">
        <v>63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52" t="s">
        <v>160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63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AFUDC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-63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63</v>
      </c>
      <c r="M43" s="12">
        <f t="shared" si="15"/>
        <v>63</v>
      </c>
      <c r="N43" s="12">
        <f t="shared" si="15"/>
        <v>63</v>
      </c>
      <c r="O43" s="12">
        <f t="shared" si="15"/>
        <v>63</v>
      </c>
      <c r="P43" s="12">
        <f t="shared" si="15"/>
        <v>63</v>
      </c>
      <c r="Q43" s="12">
        <f t="shared" si="15"/>
        <v>63</v>
      </c>
      <c r="R43" s="12">
        <f t="shared" si="15"/>
        <v>63</v>
      </c>
      <c r="S43" s="12">
        <f t="shared" si="15"/>
        <v>63</v>
      </c>
      <c r="T43" s="12">
        <f t="shared" si="15"/>
        <v>63</v>
      </c>
      <c r="U43" s="12">
        <f t="shared" si="15"/>
        <v>63</v>
      </c>
      <c r="V43" s="12">
        <f t="shared" si="15"/>
        <v>63</v>
      </c>
      <c r="W43" s="12">
        <f t="shared" si="15"/>
        <v>63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63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63</v>
      </c>
      <c r="L46" s="20">
        <f t="shared" si="18"/>
        <v>63</v>
      </c>
      <c r="M46" s="20">
        <f t="shared" si="18"/>
        <v>63</v>
      </c>
      <c r="N46" s="20">
        <f t="shared" si="18"/>
        <v>63</v>
      </c>
      <c r="O46" s="20">
        <f t="shared" si="18"/>
        <v>63</v>
      </c>
      <c r="P46" s="20">
        <f t="shared" si="18"/>
        <v>63</v>
      </c>
      <c r="Q46" s="20">
        <f t="shared" si="18"/>
        <v>63</v>
      </c>
      <c r="R46" s="20">
        <f t="shared" si="18"/>
        <v>63</v>
      </c>
      <c r="S46" s="20">
        <f t="shared" si="18"/>
        <v>63</v>
      </c>
      <c r="T46" s="20">
        <f t="shared" si="18"/>
        <v>63</v>
      </c>
      <c r="U46" s="20">
        <f t="shared" si="18"/>
        <v>63</v>
      </c>
      <c r="V46" s="20">
        <f t="shared" si="18"/>
        <v>63</v>
      </c>
      <c r="W46" s="20">
        <f t="shared" si="18"/>
        <v>63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31.5</v>
      </c>
      <c r="L47" s="20">
        <f t="shared" si="19"/>
        <v>63</v>
      </c>
      <c r="M47" s="20">
        <f t="shared" si="19"/>
        <v>63</v>
      </c>
      <c r="N47" s="20">
        <f t="shared" si="19"/>
        <v>63</v>
      </c>
      <c r="O47" s="20">
        <f t="shared" si="19"/>
        <v>63</v>
      </c>
      <c r="P47" s="20">
        <f t="shared" si="19"/>
        <v>63</v>
      </c>
      <c r="Q47" s="20">
        <f t="shared" si="19"/>
        <v>63</v>
      </c>
      <c r="R47" s="20">
        <f t="shared" si="19"/>
        <v>63</v>
      </c>
      <c r="S47" s="20">
        <f t="shared" si="19"/>
        <v>63</v>
      </c>
      <c r="T47" s="20">
        <f t="shared" si="19"/>
        <v>63</v>
      </c>
      <c r="U47" s="20">
        <f t="shared" si="19"/>
        <v>63</v>
      </c>
      <c r="V47" s="20">
        <f t="shared" si="19"/>
        <v>63</v>
      </c>
      <c r="W47" s="20">
        <f t="shared" si="19"/>
        <v>63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0.78750000000000009</v>
      </c>
      <c r="M50" s="12">
        <f t="shared" si="20"/>
        <v>2.3625000000000003</v>
      </c>
      <c r="N50" s="12">
        <f t="shared" si="20"/>
        <v>3.9375000000000004</v>
      </c>
      <c r="O50" s="12">
        <f t="shared" si="20"/>
        <v>5.5125000000000011</v>
      </c>
      <c r="P50" s="12">
        <f t="shared" si="20"/>
        <v>7.0875000000000012</v>
      </c>
      <c r="Q50" s="12">
        <f t="shared" si="20"/>
        <v>8.6625000000000014</v>
      </c>
      <c r="R50" s="12">
        <f t="shared" si="20"/>
        <v>10.237500000000001</v>
      </c>
      <c r="S50" s="12">
        <f t="shared" si="20"/>
        <v>11.8125</v>
      </c>
      <c r="T50" s="12">
        <f t="shared" si="20"/>
        <v>13.387499999999999</v>
      </c>
      <c r="U50" s="12">
        <f t="shared" si="20"/>
        <v>14.962499999999999</v>
      </c>
      <c r="V50" s="12">
        <f t="shared" si="20"/>
        <v>16.537499999999998</v>
      </c>
      <c r="W50" s="12">
        <f t="shared" si="20"/>
        <v>18.112499999999997</v>
      </c>
    </row>
    <row r="51" spans="1:23" s="8" customFormat="1" x14ac:dyDescent="0.2">
      <c r="A51" s="10">
        <f>A50+1</f>
        <v>31</v>
      </c>
      <c r="D51" s="13" t="s">
        <v>71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0.78750000000000009</v>
      </c>
      <c r="L51" s="12">
        <f t="shared" si="21"/>
        <v>1.5750000000000002</v>
      </c>
      <c r="M51" s="12">
        <f t="shared" si="21"/>
        <v>1.5750000000000002</v>
      </c>
      <c r="N51" s="12">
        <f t="shared" si="21"/>
        <v>1.5750000000000002</v>
      </c>
      <c r="O51" s="12">
        <f t="shared" si="21"/>
        <v>1.5750000000000002</v>
      </c>
      <c r="P51" s="12">
        <f t="shared" si="21"/>
        <v>1.5750000000000002</v>
      </c>
      <c r="Q51" s="12">
        <f t="shared" si="21"/>
        <v>1.5750000000000002</v>
      </c>
      <c r="R51" s="12">
        <f t="shared" si="21"/>
        <v>1.5750000000000002</v>
      </c>
      <c r="S51" s="12">
        <f t="shared" si="21"/>
        <v>1.5750000000000002</v>
      </c>
      <c r="T51" s="12">
        <f t="shared" si="21"/>
        <v>1.5750000000000002</v>
      </c>
      <c r="U51" s="12">
        <f t="shared" si="21"/>
        <v>1.5750000000000002</v>
      </c>
      <c r="V51" s="12">
        <f t="shared" si="21"/>
        <v>1.5750000000000002</v>
      </c>
      <c r="W51" s="12">
        <f t="shared" si="21"/>
        <v>1.5750000000000002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0.78750000000000009</v>
      </c>
      <c r="L53" s="20">
        <f t="shared" si="23"/>
        <v>2.3625000000000003</v>
      </c>
      <c r="M53" s="20">
        <f t="shared" si="23"/>
        <v>3.9375000000000004</v>
      </c>
      <c r="N53" s="20">
        <f t="shared" si="23"/>
        <v>5.5125000000000011</v>
      </c>
      <c r="O53" s="20">
        <f t="shared" si="23"/>
        <v>7.0875000000000012</v>
      </c>
      <c r="P53" s="20">
        <f t="shared" si="23"/>
        <v>8.6625000000000014</v>
      </c>
      <c r="Q53" s="20">
        <f t="shared" si="23"/>
        <v>10.237500000000001</v>
      </c>
      <c r="R53" s="20">
        <f t="shared" si="23"/>
        <v>11.8125</v>
      </c>
      <c r="S53" s="20">
        <f t="shared" si="23"/>
        <v>13.387499999999999</v>
      </c>
      <c r="T53" s="20">
        <f t="shared" si="23"/>
        <v>14.962499999999999</v>
      </c>
      <c r="U53" s="20">
        <f t="shared" si="23"/>
        <v>16.537499999999998</v>
      </c>
      <c r="V53" s="20">
        <f t="shared" si="23"/>
        <v>18.112499999999997</v>
      </c>
      <c r="W53" s="20">
        <f t="shared" si="23"/>
        <v>19.687499999999996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0.39375000000000004</v>
      </c>
      <c r="L54" s="20">
        <f t="shared" si="24"/>
        <v>1.5750000000000002</v>
      </c>
      <c r="M54" s="20">
        <f t="shared" si="24"/>
        <v>3.1500000000000004</v>
      </c>
      <c r="N54" s="20">
        <f t="shared" si="24"/>
        <v>4.7250000000000005</v>
      </c>
      <c r="O54" s="20">
        <f t="shared" si="24"/>
        <v>6.3000000000000007</v>
      </c>
      <c r="P54" s="20">
        <f t="shared" si="24"/>
        <v>7.8750000000000018</v>
      </c>
      <c r="Q54" s="20">
        <f t="shared" si="24"/>
        <v>9.4500000000000011</v>
      </c>
      <c r="R54" s="20">
        <f t="shared" si="24"/>
        <v>11.025</v>
      </c>
      <c r="S54" s="20">
        <f t="shared" si="24"/>
        <v>12.6</v>
      </c>
      <c r="T54" s="20">
        <f t="shared" si="24"/>
        <v>14.174999999999999</v>
      </c>
      <c r="U54" s="20">
        <f t="shared" si="24"/>
        <v>15.749999999999998</v>
      </c>
      <c r="V54" s="20">
        <f t="shared" si="24"/>
        <v>17.324999999999996</v>
      </c>
      <c r="W54" s="20">
        <f t="shared" si="24"/>
        <v>18.899999999999999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59.85</v>
      </c>
      <c r="M57" s="12">
        <f t="shared" si="25"/>
        <v>53.865000000000002</v>
      </c>
      <c r="N57" s="12">
        <f t="shared" si="25"/>
        <v>48.478500000000004</v>
      </c>
      <c r="O57" s="12">
        <f t="shared" si="25"/>
        <v>43.630650000000003</v>
      </c>
      <c r="P57" s="12">
        <f t="shared" si="25"/>
        <v>39.267585000000004</v>
      </c>
      <c r="Q57" s="12">
        <f t="shared" si="25"/>
        <v>35.340826500000006</v>
      </c>
      <c r="R57" s="12">
        <f t="shared" si="25"/>
        <v>31.620739500000006</v>
      </c>
      <c r="S57" s="12">
        <f t="shared" si="25"/>
        <v>27.900652500000007</v>
      </c>
      <c r="T57" s="12">
        <f t="shared" si="25"/>
        <v>24.180565500000007</v>
      </c>
      <c r="U57" s="12">
        <f t="shared" si="25"/>
        <v>20.460478500000008</v>
      </c>
      <c r="V57" s="12">
        <f t="shared" si="25"/>
        <v>16.740391500000008</v>
      </c>
      <c r="W57" s="12">
        <f t="shared" si="25"/>
        <v>13.020304500000009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63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-3.1500000000000004</v>
      </c>
      <c r="L59" s="12">
        <f>-I23*L58-J23*K58-K23*J58-L23*I58</f>
        <v>-5.9850000000000003</v>
      </c>
      <c r="M59" s="12">
        <f>-I23*M58-J23*L58-K23*K58-L23*J58-M23*I58</f>
        <v>-5.3865000000000007</v>
      </c>
      <c r="N59" s="12">
        <f>-I23*N58-J23*M58-K23*L58-L23*K58-M23*J58-N23*I58</f>
        <v>-4.8478500000000002</v>
      </c>
      <c r="O59" s="12">
        <f>-I23*O58-J23*N58-K23*M58-L23*L58-M23*K58-N23*J58-O23*I58</f>
        <v>-4.3630649999999997</v>
      </c>
      <c r="P59" s="12">
        <f>-I23*P58-J23*O58-K23*N58-L23*M58-M23*L58-N23*K58-O23*J58-P23*I58</f>
        <v>-3.9267584999999996</v>
      </c>
      <c r="Q59" s="12">
        <f>-I23*Q58-J23*P58-K23*O58-L23*N58-M23*M58-N23*L58-O23*K58-P23*J58-Q23*I58</f>
        <v>-3.7200869999999999</v>
      </c>
      <c r="R59" s="12">
        <f>-I23*R58-J23*Q58-K23*P58-L23*O58-M23*N58-N23*M58-O23*L58-P23*K58-Q23*J58-R23*I58</f>
        <v>-3.720086999999999</v>
      </c>
      <c r="S59" s="12">
        <f>-I23*S58-J23*R58-K23*Q58-L23*P58-M23*O58-N23*N58-O23*M58-P23*L58-Q23*K58-R23*J58-S23*I58</f>
        <v>-3.7200869999999999</v>
      </c>
      <c r="T59" s="12">
        <f>-I23*T58-J23*S58-K23*R58-L23*Q58-M23*P58-N23*O58-O23*N58-P23*M58-Q23*L58-R23*K58-S23*J58-T23*I58</f>
        <v>-3.7200869999999995</v>
      </c>
      <c r="U59" s="12">
        <f>-I23*U58-J23*T58-K23*S58-L23*R58-M23*Q58-N23*P58-O23*O58-P23*N58-Q23*M58-R23*L58-S23*K58-T23*J58-U23*I58</f>
        <v>-3.7200869999999995</v>
      </c>
      <c r="V59" s="12">
        <f>-I23*V58-J23*U58-K23*T58-L23*S58-M23*R58-N23*Q58-O23*P58-P23*O58-Q23*N58-R23*M58-S23*L58-T23*K58-U23*J58-V23*I58</f>
        <v>-3.720086999999999</v>
      </c>
      <c r="W59" s="12">
        <f>-I23*W58-J23*V58-K23*U58-L23*T58-M23*S58-N23*R58-O23*Q58-P23*P58-Q23*O58-R23*N58-S23*M58-T23*L58-U23*K58-V23*J58-W23*I58</f>
        <v>-3.7200869999999981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59.85</v>
      </c>
      <c r="L60" s="20">
        <f t="shared" si="27"/>
        <v>53.865000000000002</v>
      </c>
      <c r="M60" s="20">
        <f t="shared" si="27"/>
        <v>48.478500000000004</v>
      </c>
      <c r="N60" s="20">
        <f t="shared" si="27"/>
        <v>43.630650000000003</v>
      </c>
      <c r="O60" s="20">
        <f t="shared" si="27"/>
        <v>39.267585000000004</v>
      </c>
      <c r="P60" s="20">
        <f t="shared" si="27"/>
        <v>35.340826500000006</v>
      </c>
      <c r="Q60" s="20">
        <f t="shared" si="27"/>
        <v>31.620739500000006</v>
      </c>
      <c r="R60" s="20">
        <f t="shared" si="27"/>
        <v>27.900652500000007</v>
      </c>
      <c r="S60" s="20">
        <f t="shared" si="27"/>
        <v>24.180565500000007</v>
      </c>
      <c r="T60" s="20">
        <f t="shared" si="27"/>
        <v>20.460478500000008</v>
      </c>
      <c r="U60" s="20">
        <f t="shared" si="27"/>
        <v>16.740391500000008</v>
      </c>
      <c r="V60" s="20">
        <f t="shared" si="27"/>
        <v>13.020304500000009</v>
      </c>
      <c r="W60" s="20">
        <f t="shared" si="27"/>
        <v>9.3002175000000111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61.424999999999997</v>
      </c>
      <c r="M63" s="12">
        <f t="shared" si="28"/>
        <v>58.353749999999998</v>
      </c>
      <c r="N63" s="12">
        <f t="shared" si="28"/>
        <v>55.436062499999998</v>
      </c>
      <c r="O63" s="12">
        <f t="shared" si="28"/>
        <v>52.664259375</v>
      </c>
      <c r="P63" s="12">
        <f t="shared" si="28"/>
        <v>50.031046406249999</v>
      </c>
      <c r="Q63" s="12">
        <f t="shared" si="28"/>
        <v>47.5294940859375</v>
      </c>
      <c r="R63" s="12">
        <f t="shared" si="28"/>
        <v>45.153019381640625</v>
      </c>
      <c r="S63" s="12">
        <f t="shared" si="28"/>
        <v>42.895368412558597</v>
      </c>
      <c r="T63" s="12">
        <f t="shared" si="28"/>
        <v>40.75059999193067</v>
      </c>
      <c r="U63" s="12">
        <f t="shared" si="28"/>
        <v>38.713069992334134</v>
      </c>
      <c r="V63" s="12">
        <f t="shared" si="28"/>
        <v>36.777416492717428</v>
      </c>
      <c r="W63" s="12">
        <f t="shared" si="28"/>
        <v>34.938545668081559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63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-1.5750000000000002</v>
      </c>
      <c r="L65" s="12">
        <f t="shared" si="30"/>
        <v>-3.07125</v>
      </c>
      <c r="M65" s="12">
        <f t="shared" si="30"/>
        <v>-2.9176875</v>
      </c>
      <c r="N65" s="12">
        <f t="shared" si="30"/>
        <v>-2.7718031249999999</v>
      </c>
      <c r="O65" s="12">
        <f t="shared" si="30"/>
        <v>-2.6332129687500001</v>
      </c>
      <c r="P65" s="12">
        <f t="shared" si="30"/>
        <v>-2.5015523203125003</v>
      </c>
      <c r="Q65" s="12">
        <f t="shared" si="30"/>
        <v>-2.376474704296875</v>
      </c>
      <c r="R65" s="12">
        <f t="shared" si="30"/>
        <v>-2.2576509690820314</v>
      </c>
      <c r="S65" s="12">
        <f t="shared" si="30"/>
        <v>-2.1447684206279298</v>
      </c>
      <c r="T65" s="12">
        <f t="shared" si="30"/>
        <v>-2.0375299995965337</v>
      </c>
      <c r="U65" s="12">
        <f t="shared" si="30"/>
        <v>-1.9356534996167067</v>
      </c>
      <c r="V65" s="12">
        <f t="shared" si="30"/>
        <v>-1.8388708246358716</v>
      </c>
      <c r="W65" s="12">
        <f t="shared" si="30"/>
        <v>-1.7469272834040781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61.424999999999997</v>
      </c>
      <c r="L66" s="20">
        <f t="shared" si="31"/>
        <v>58.353749999999998</v>
      </c>
      <c r="M66" s="20">
        <f t="shared" si="31"/>
        <v>55.436062499999998</v>
      </c>
      <c r="N66" s="20">
        <f t="shared" si="31"/>
        <v>52.664259375</v>
      </c>
      <c r="O66" s="20">
        <f t="shared" si="31"/>
        <v>50.031046406249999</v>
      </c>
      <c r="P66" s="20">
        <f t="shared" si="31"/>
        <v>47.5294940859375</v>
      </c>
      <c r="Q66" s="20">
        <f t="shared" si="31"/>
        <v>45.153019381640625</v>
      </c>
      <c r="R66" s="20">
        <f t="shared" si="31"/>
        <v>42.895368412558597</v>
      </c>
      <c r="S66" s="20">
        <f t="shared" si="31"/>
        <v>40.75059999193067</v>
      </c>
      <c r="T66" s="20">
        <f t="shared" si="31"/>
        <v>38.713069992334134</v>
      </c>
      <c r="U66" s="20">
        <f t="shared" si="31"/>
        <v>36.777416492717428</v>
      </c>
      <c r="V66" s="20">
        <f t="shared" si="31"/>
        <v>34.938545668081559</v>
      </c>
      <c r="W66" s="20">
        <f t="shared" si="31"/>
        <v>33.191618384677483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0.55112085</v>
      </c>
      <c r="M69" s="12">
        <f t="shared" si="32"/>
        <v>1.5817129649999999</v>
      </c>
      <c r="N69" s="12">
        <f t="shared" si="32"/>
        <v>2.4758958892500003</v>
      </c>
      <c r="O69" s="12">
        <f t="shared" si="32"/>
        <v>3.2467743322875</v>
      </c>
      <c r="P69" s="12">
        <f t="shared" si="32"/>
        <v>3.9061693431731248</v>
      </c>
      <c r="Q69" s="12">
        <f t="shared" si="32"/>
        <v>4.4647453360144684</v>
      </c>
      <c r="R69" s="12">
        <f t="shared" si="32"/>
        <v>4.9711853934637453</v>
      </c>
      <c r="S69" s="12">
        <f t="shared" si="32"/>
        <v>5.4693272765405583</v>
      </c>
      <c r="T69" s="12">
        <f t="shared" si="32"/>
        <v>5.9595858939635304</v>
      </c>
      <c r="U69" s="12">
        <f t="shared" si="32"/>
        <v>6.4423554090153541</v>
      </c>
      <c r="V69" s="12">
        <f t="shared" si="32"/>
        <v>6.9180102768145861</v>
      </c>
      <c r="W69" s="12">
        <f t="shared" si="32"/>
        <v>7.3869062297238566</v>
      </c>
    </row>
    <row r="70" spans="1:23" s="8" customFormat="1" x14ac:dyDescent="0.2">
      <c r="A70" s="10">
        <f>A69+1</f>
        <v>44</v>
      </c>
      <c r="D70" s="13" t="s">
        <v>76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0.48150585000000001</v>
      </c>
      <c r="L70" s="12">
        <f t="shared" si="33"/>
        <v>0.89832361499999991</v>
      </c>
      <c r="M70" s="12">
        <f t="shared" si="33"/>
        <v>0.77548934925000013</v>
      </c>
      <c r="N70" s="12">
        <f t="shared" si="33"/>
        <v>0.66508104678750002</v>
      </c>
      <c r="O70" s="12">
        <f t="shared" si="33"/>
        <v>0.56584898444812481</v>
      </c>
      <c r="P70" s="12">
        <f t="shared" si="33"/>
        <v>0.47666876772571859</v>
      </c>
      <c r="Q70" s="12">
        <f t="shared" si="33"/>
        <v>0.43558969358943278</v>
      </c>
      <c r="R70" s="12">
        <f t="shared" si="33"/>
        <v>0.43779553740996091</v>
      </c>
      <c r="S70" s="12">
        <f t="shared" si="33"/>
        <v>0.43989108903946306</v>
      </c>
      <c r="T70" s="12">
        <f t="shared" si="33"/>
        <v>0.44188186308748972</v>
      </c>
      <c r="U70" s="12">
        <f t="shared" si="33"/>
        <v>0.4437730984331153</v>
      </c>
      <c r="V70" s="12">
        <f t="shared" si="33"/>
        <v>0.44556977201145948</v>
      </c>
      <c r="W70" s="12">
        <f t="shared" si="33"/>
        <v>0.4472766119108863</v>
      </c>
    </row>
    <row r="71" spans="1:23" s="8" customFormat="1" x14ac:dyDescent="0.2">
      <c r="A71" s="10">
        <f>A70+1</f>
        <v>45</v>
      </c>
      <c r="D71" s="13" t="s">
        <v>77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6.961500000000001E-2</v>
      </c>
      <c r="L71" s="12">
        <f t="shared" si="34"/>
        <v>0.13226849999999998</v>
      </c>
      <c r="M71" s="12">
        <f t="shared" si="34"/>
        <v>0.118693575</v>
      </c>
      <c r="N71" s="12">
        <f t="shared" si="34"/>
        <v>0.10579739624999998</v>
      </c>
      <c r="O71" s="12">
        <f t="shared" si="34"/>
        <v>9.3546026437499999E-2</v>
      </c>
      <c r="P71" s="12">
        <f t="shared" si="34"/>
        <v>8.190722511562501E-2</v>
      </c>
      <c r="Q71" s="12">
        <f t="shared" si="34"/>
        <v>7.0850363859843737E-2</v>
      </c>
      <c r="R71" s="12">
        <f t="shared" si="34"/>
        <v>6.034634566685157E-2</v>
      </c>
      <c r="S71" s="12">
        <f t="shared" si="34"/>
        <v>5.0367528383508983E-2</v>
      </c>
      <c r="T71" s="12">
        <f t="shared" si="34"/>
        <v>4.0887651964333568E-2</v>
      </c>
      <c r="U71" s="12">
        <f t="shared" si="34"/>
        <v>3.1881769366116863E-2</v>
      </c>
      <c r="V71" s="12">
        <f t="shared" si="34"/>
        <v>2.3326180897811036E-2</v>
      </c>
      <c r="W71" s="12">
        <f t="shared" si="34"/>
        <v>1.519837185292049E-2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0.55112085</v>
      </c>
      <c r="L72" s="20">
        <f t="shared" si="35"/>
        <v>1.5817129649999999</v>
      </c>
      <c r="M72" s="20">
        <f t="shared" si="35"/>
        <v>2.4758958892500003</v>
      </c>
      <c r="N72" s="20">
        <f t="shared" si="35"/>
        <v>3.2467743322875</v>
      </c>
      <c r="O72" s="20">
        <f t="shared" si="35"/>
        <v>3.9061693431731248</v>
      </c>
      <c r="P72" s="20">
        <f t="shared" si="35"/>
        <v>4.4647453360144684</v>
      </c>
      <c r="Q72" s="20">
        <f t="shared" si="35"/>
        <v>4.9711853934637453</v>
      </c>
      <c r="R72" s="20">
        <f t="shared" si="35"/>
        <v>5.4693272765405583</v>
      </c>
      <c r="S72" s="20">
        <f t="shared" si="35"/>
        <v>5.9595858939635304</v>
      </c>
      <c r="T72" s="20">
        <f t="shared" si="35"/>
        <v>6.4423554090153541</v>
      </c>
      <c r="U72" s="20">
        <f t="shared" si="35"/>
        <v>6.9180102768145861</v>
      </c>
      <c r="V72" s="20">
        <f t="shared" si="35"/>
        <v>7.3869062297238566</v>
      </c>
      <c r="W72" s="20">
        <f t="shared" si="35"/>
        <v>7.8493812134876633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0.275560425</v>
      </c>
      <c r="L73" s="20">
        <f t="shared" si="36"/>
        <v>1.0664169074999998</v>
      </c>
      <c r="M73" s="20">
        <f t="shared" si="36"/>
        <v>2.0288044271250003</v>
      </c>
      <c r="N73" s="20">
        <f t="shared" si="36"/>
        <v>2.8613351107687501</v>
      </c>
      <c r="O73" s="20">
        <f t="shared" si="36"/>
        <v>3.5764718377303124</v>
      </c>
      <c r="P73" s="20">
        <f t="shared" si="36"/>
        <v>4.1854573395937962</v>
      </c>
      <c r="Q73" s="20">
        <f t="shared" si="36"/>
        <v>4.7179653647391069</v>
      </c>
      <c r="R73" s="20">
        <f t="shared" si="36"/>
        <v>5.2202563350021514</v>
      </c>
      <c r="S73" s="20">
        <f t="shared" si="36"/>
        <v>5.7144565852520444</v>
      </c>
      <c r="T73" s="20">
        <f t="shared" si="36"/>
        <v>6.2009706514894418</v>
      </c>
      <c r="U73" s="20">
        <f t="shared" si="36"/>
        <v>6.6801828429149701</v>
      </c>
      <c r="V73" s="20">
        <f t="shared" si="36"/>
        <v>7.1524582532692218</v>
      </c>
      <c r="W73" s="20">
        <f t="shared" si="36"/>
        <v>7.6181437216057599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31.5</v>
      </c>
      <c r="L76" s="12">
        <f t="shared" si="37"/>
        <v>63</v>
      </c>
      <c r="M76" s="12">
        <f t="shared" si="37"/>
        <v>63</v>
      </c>
      <c r="N76" s="12">
        <f t="shared" si="37"/>
        <v>63</v>
      </c>
      <c r="O76" s="12">
        <f t="shared" si="37"/>
        <v>63</v>
      </c>
      <c r="P76" s="12">
        <f t="shared" si="37"/>
        <v>63</v>
      </c>
      <c r="Q76" s="12">
        <f t="shared" si="37"/>
        <v>63</v>
      </c>
      <c r="R76" s="12">
        <f t="shared" si="37"/>
        <v>63</v>
      </c>
      <c r="S76" s="12">
        <f t="shared" si="37"/>
        <v>63</v>
      </c>
      <c r="T76" s="12">
        <f t="shared" si="37"/>
        <v>63</v>
      </c>
      <c r="U76" s="12">
        <f t="shared" si="37"/>
        <v>63</v>
      </c>
      <c r="V76" s="12">
        <f t="shared" si="37"/>
        <v>63</v>
      </c>
      <c r="W76" s="12">
        <f t="shared" si="37"/>
        <v>63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-0.39375000000000004</v>
      </c>
      <c r="L77" s="12">
        <f t="shared" si="38"/>
        <v>-1.5750000000000002</v>
      </c>
      <c r="M77" s="12">
        <f t="shared" si="38"/>
        <v>-3.1500000000000004</v>
      </c>
      <c r="N77" s="12">
        <f t="shared" si="38"/>
        <v>-4.7250000000000005</v>
      </c>
      <c r="O77" s="12">
        <f t="shared" si="38"/>
        <v>-6.3000000000000007</v>
      </c>
      <c r="P77" s="12">
        <f t="shared" si="38"/>
        <v>-7.8750000000000018</v>
      </c>
      <c r="Q77" s="12">
        <f t="shared" si="38"/>
        <v>-9.4500000000000011</v>
      </c>
      <c r="R77" s="12">
        <f t="shared" si="38"/>
        <v>-11.025</v>
      </c>
      <c r="S77" s="12">
        <f t="shared" si="38"/>
        <v>-12.6</v>
      </c>
      <c r="T77" s="12">
        <f t="shared" si="38"/>
        <v>-14.174999999999999</v>
      </c>
      <c r="U77" s="12">
        <f t="shared" si="38"/>
        <v>-15.749999999999998</v>
      </c>
      <c r="V77" s="12">
        <f t="shared" si="38"/>
        <v>-17.324999999999996</v>
      </c>
      <c r="W77" s="12">
        <f t="shared" si="38"/>
        <v>-18.899999999999999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-0.275560425</v>
      </c>
      <c r="L79" s="12">
        <f t="shared" si="40"/>
        <v>-1.0664169074999998</v>
      </c>
      <c r="M79" s="12">
        <f t="shared" si="40"/>
        <v>-2.0288044271250003</v>
      </c>
      <c r="N79" s="12">
        <f t="shared" si="40"/>
        <v>-2.8613351107687501</v>
      </c>
      <c r="O79" s="12">
        <f t="shared" si="40"/>
        <v>-3.5764718377303124</v>
      </c>
      <c r="P79" s="12">
        <f t="shared" si="40"/>
        <v>-4.1854573395937962</v>
      </c>
      <c r="Q79" s="12">
        <f t="shared" si="40"/>
        <v>-4.7179653647391069</v>
      </c>
      <c r="R79" s="12">
        <f t="shared" si="40"/>
        <v>-5.2202563350021514</v>
      </c>
      <c r="S79" s="12">
        <f t="shared" si="40"/>
        <v>-5.7144565852520444</v>
      </c>
      <c r="T79" s="12">
        <f t="shared" si="40"/>
        <v>-6.2009706514894418</v>
      </c>
      <c r="U79" s="12">
        <f t="shared" si="40"/>
        <v>-6.6801828429149701</v>
      </c>
      <c r="V79" s="12">
        <f t="shared" si="40"/>
        <v>-7.1524582532692218</v>
      </c>
      <c r="W79" s="12">
        <f t="shared" si="40"/>
        <v>-7.6181437216057599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30.830689575000001</v>
      </c>
      <c r="L80" s="20">
        <f t="shared" si="41"/>
        <v>60.358583092499998</v>
      </c>
      <c r="M80" s="20">
        <f t="shared" si="41"/>
        <v>57.821195572874998</v>
      </c>
      <c r="N80" s="20">
        <f t="shared" si="41"/>
        <v>55.413664889231249</v>
      </c>
      <c r="O80" s="20">
        <f t="shared" si="41"/>
        <v>53.123528162269693</v>
      </c>
      <c r="P80" s="20">
        <f t="shared" si="41"/>
        <v>50.939542660406204</v>
      </c>
      <c r="Q80" s="20">
        <f t="shared" si="41"/>
        <v>48.832034635260889</v>
      </c>
      <c r="R80" s="20">
        <f t="shared" si="41"/>
        <v>46.754743664997847</v>
      </c>
      <c r="S80" s="20">
        <f t="shared" si="41"/>
        <v>44.685543414747954</v>
      </c>
      <c r="T80" s="20">
        <f t="shared" si="41"/>
        <v>42.624029348510561</v>
      </c>
      <c r="U80" s="20">
        <f t="shared" si="41"/>
        <v>40.569817157085026</v>
      </c>
      <c r="V80" s="20">
        <f t="shared" si="41"/>
        <v>38.522541746730781</v>
      </c>
      <c r="W80" s="20">
        <f t="shared" si="41"/>
        <v>36.48185627839424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0.78750000000000009</v>
      </c>
      <c r="L83" s="12">
        <f t="shared" si="42"/>
        <v>1.5750000000000002</v>
      </c>
      <c r="M83" s="12">
        <f t="shared" si="42"/>
        <v>1.5750000000000002</v>
      </c>
      <c r="N83" s="12">
        <f t="shared" si="42"/>
        <v>1.5750000000000002</v>
      </c>
      <c r="O83" s="12">
        <f t="shared" si="42"/>
        <v>1.5750000000000002</v>
      </c>
      <c r="P83" s="12">
        <f t="shared" si="42"/>
        <v>1.5750000000000002</v>
      </c>
      <c r="Q83" s="12">
        <f t="shared" si="42"/>
        <v>1.5750000000000002</v>
      </c>
      <c r="R83" s="12">
        <f t="shared" si="42"/>
        <v>1.5750000000000002</v>
      </c>
      <c r="S83" s="12">
        <f t="shared" si="42"/>
        <v>1.5750000000000002</v>
      </c>
      <c r="T83" s="12">
        <f t="shared" si="42"/>
        <v>1.5750000000000002</v>
      </c>
      <c r="U83" s="12">
        <f t="shared" si="42"/>
        <v>1.5750000000000002</v>
      </c>
      <c r="V83" s="12">
        <f t="shared" si="42"/>
        <v>1.5750000000000002</v>
      </c>
      <c r="W83" s="12">
        <f t="shared" si="42"/>
        <v>1.5750000000000002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0.92492068724999998</v>
      </c>
      <c r="L84" s="12">
        <f t="shared" si="44"/>
        <v>1.8107574927749999</v>
      </c>
      <c r="M84" s="12">
        <f t="shared" si="44"/>
        <v>1.7346358671862498</v>
      </c>
      <c r="N84" s="12">
        <f t="shared" si="44"/>
        <v>1.6624099466769373</v>
      </c>
      <c r="O84" s="12">
        <f t="shared" si="44"/>
        <v>1.5937058448680907</v>
      </c>
      <c r="P84" s="12">
        <f t="shared" si="44"/>
        <v>1.5281862798121861</v>
      </c>
      <c r="Q84" s="12">
        <f t="shared" si="44"/>
        <v>1.4649610390578267</v>
      </c>
      <c r="R84" s="12">
        <f t="shared" si="44"/>
        <v>1.4026423099499354</v>
      </c>
      <c r="S84" s="12">
        <f t="shared" si="44"/>
        <v>1.3405663024424386</v>
      </c>
      <c r="T84" s="12">
        <f t="shared" si="44"/>
        <v>1.2787208804553167</v>
      </c>
      <c r="U84" s="12">
        <f t="shared" si="44"/>
        <v>1.2170945147125507</v>
      </c>
      <c r="V84" s="12">
        <f t="shared" si="44"/>
        <v>1.1556762524019233</v>
      </c>
      <c r="W84" s="12">
        <f t="shared" si="44"/>
        <v>1.094455688351827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1.695687926625</v>
      </c>
      <c r="L85" s="12">
        <f t="shared" si="45"/>
        <v>3.3197220700874999</v>
      </c>
      <c r="M85" s="12">
        <f t="shared" si="45"/>
        <v>3.1801657565081247</v>
      </c>
      <c r="N85" s="12">
        <f t="shared" si="45"/>
        <v>3.0477515689077186</v>
      </c>
      <c r="O85" s="12">
        <f t="shared" si="45"/>
        <v>2.9217940489248333</v>
      </c>
      <c r="P85" s="12">
        <f t="shared" si="45"/>
        <v>2.8016748463223413</v>
      </c>
      <c r="Q85" s="12">
        <f t="shared" si="45"/>
        <v>2.6857619049393491</v>
      </c>
      <c r="R85" s="12">
        <f t="shared" si="45"/>
        <v>2.5715109015748814</v>
      </c>
      <c r="S85" s="12">
        <f t="shared" si="45"/>
        <v>2.4577048878111376</v>
      </c>
      <c r="T85" s="12">
        <f t="shared" si="45"/>
        <v>2.3443216141680807</v>
      </c>
      <c r="U85" s="12">
        <f t="shared" si="45"/>
        <v>2.2313399436396764</v>
      </c>
      <c r="V85" s="12">
        <f t="shared" si="45"/>
        <v>2.118739796070193</v>
      </c>
      <c r="W85" s="12">
        <f t="shared" si="45"/>
        <v>2.0065020953116832</v>
      </c>
    </row>
    <row r="86" spans="1:24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0.45075248682436708</v>
      </c>
      <c r="L86" s="12">
        <f t="shared" si="46"/>
        <v>0.88245776546629739</v>
      </c>
      <c r="M86" s="12">
        <f t="shared" si="46"/>
        <v>0.84536051755279262</v>
      </c>
      <c r="N86" s="12">
        <f t="shared" si="46"/>
        <v>0.81016180945648208</v>
      </c>
      <c r="O86" s="12">
        <f t="shared" si="46"/>
        <v>0.77667943072685441</v>
      </c>
      <c r="P86" s="12">
        <f t="shared" si="46"/>
        <v>0.74474900978188818</v>
      </c>
      <c r="Q86" s="12">
        <f t="shared" si="46"/>
        <v>0.71393670890792826</v>
      </c>
      <c r="R86" s="12">
        <f t="shared" si="46"/>
        <v>0.68356618902623434</v>
      </c>
      <c r="S86" s="12">
        <f t="shared" si="46"/>
        <v>0.65331395751941623</v>
      </c>
      <c r="T86" s="12">
        <f t="shared" si="46"/>
        <v>0.6231740999687303</v>
      </c>
      <c r="U86" s="12">
        <f t="shared" si="46"/>
        <v>0.59314099767636963</v>
      </c>
      <c r="V86" s="12">
        <f t="shared" si="46"/>
        <v>0.56320931287941833</v>
      </c>
      <c r="W86" s="12">
        <f t="shared" si="46"/>
        <v>0.53337397470310566</v>
      </c>
    </row>
    <row r="87" spans="1:24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0.20814538454247927</v>
      </c>
      <c r="L87" s="12">
        <f t="shared" si="47"/>
        <v>0.40749528023580045</v>
      </c>
      <c r="M87" s="12">
        <f t="shared" si="47"/>
        <v>0.39036476812964577</v>
      </c>
      <c r="N87" s="12">
        <f t="shared" si="47"/>
        <v>0.37411095068823541</v>
      </c>
      <c r="O87" s="12">
        <f t="shared" si="47"/>
        <v>0.35864968802238839</v>
      </c>
      <c r="P87" s="12">
        <f t="shared" si="47"/>
        <v>0.34390507775297707</v>
      </c>
      <c r="Q87" s="12">
        <f t="shared" si="47"/>
        <v>0.32967678528312783</v>
      </c>
      <c r="R87" s="12">
        <f t="shared" si="47"/>
        <v>0.31565249540274098</v>
      </c>
      <c r="S87" s="12">
        <f t="shared" si="47"/>
        <v>0.30168282791489792</v>
      </c>
      <c r="T87" s="12">
        <f t="shared" si="47"/>
        <v>0.28776505169997163</v>
      </c>
      <c r="U87" s="12">
        <f t="shared" si="47"/>
        <v>0.27389657219431601</v>
      </c>
      <c r="V87" s="12">
        <f t="shared" si="47"/>
        <v>0.26007492456246784</v>
      </c>
      <c r="W87" s="12">
        <f t="shared" si="47"/>
        <v>0.24629776721073648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1.26</v>
      </c>
      <c r="M88" s="12">
        <f t="shared" si="48"/>
        <v>1.2852000000000001</v>
      </c>
      <c r="N88" s="12">
        <f t="shared" si="48"/>
        <v>1.3109040000000001</v>
      </c>
      <c r="O88" s="12">
        <f t="shared" si="48"/>
        <v>1.3371220800000001</v>
      </c>
      <c r="P88" s="12">
        <f t="shared" si="48"/>
        <v>1.3638645216</v>
      </c>
      <c r="Q88" s="12">
        <f t="shared" si="48"/>
        <v>1.391141812032</v>
      </c>
      <c r="R88" s="12">
        <f t="shared" si="48"/>
        <v>1.4189646482726401</v>
      </c>
      <c r="S88" s="12">
        <f t="shared" si="48"/>
        <v>1.4473439412380928</v>
      </c>
      <c r="T88" s="12">
        <f t="shared" si="48"/>
        <v>1.4762908200628548</v>
      </c>
      <c r="U88" s="12">
        <f t="shared" si="48"/>
        <v>1.5058166364641119</v>
      </c>
      <c r="V88" s="12">
        <f t="shared" si="48"/>
        <v>1.5359329691933941</v>
      </c>
      <c r="W88" s="12">
        <f t="shared" si="48"/>
        <v>1.566651628577262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4.0670064852418468</v>
      </c>
      <c r="L89" s="20">
        <f t="shared" si="49"/>
        <v>9.2554326085645986</v>
      </c>
      <c r="M89" s="20">
        <f t="shared" si="49"/>
        <v>9.0107269093768139</v>
      </c>
      <c r="N89" s="20">
        <f t="shared" si="49"/>
        <v>8.780338275729374</v>
      </c>
      <c r="O89" s="20">
        <f t="shared" si="49"/>
        <v>8.5629510925421677</v>
      </c>
      <c r="P89" s="20">
        <f t="shared" si="49"/>
        <v>8.3573797352693919</v>
      </c>
      <c r="Q89" s="20">
        <f t="shared" si="49"/>
        <v>8.1604782502202333</v>
      </c>
      <c r="R89" s="20">
        <f t="shared" si="49"/>
        <v>7.9673365442264323</v>
      </c>
      <c r="S89" s="20">
        <f t="shared" si="49"/>
        <v>7.7756119169259836</v>
      </c>
      <c r="T89" s="20">
        <f t="shared" si="49"/>
        <v>7.5852724663549544</v>
      </c>
      <c r="U89" s="20">
        <f t="shared" si="49"/>
        <v>7.3962886646870247</v>
      </c>
      <c r="V89" s="20">
        <f t="shared" si="49"/>
        <v>7.2086332551073964</v>
      </c>
      <c r="W89" s="20">
        <f t="shared" si="49"/>
        <v>7.022281154154614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topLeftCell="A64" zoomScale="80" zoomScaleNormal="80" workbookViewId="0">
      <selection activeCell="AA24" sqref="AA24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162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2018</v>
      </c>
      <c r="I3" s="5">
        <f>Existing!I3</f>
        <v>2019</v>
      </c>
      <c r="J3" s="5">
        <f>Existing!J3</f>
        <v>2020</v>
      </c>
      <c r="K3" s="5">
        <f>Existing!K3</f>
        <v>2021</v>
      </c>
      <c r="L3" s="5">
        <f>Existing!L3</f>
        <v>2022</v>
      </c>
      <c r="M3" s="5">
        <f>Existing!M3</f>
        <v>2023</v>
      </c>
      <c r="N3" s="5">
        <f>Existing!N3</f>
        <v>2024</v>
      </c>
      <c r="O3" s="5">
        <f>Existing!O3</f>
        <v>2025</v>
      </c>
      <c r="P3" s="5">
        <f>Existing!P3</f>
        <v>2026</v>
      </c>
      <c r="Q3" s="5">
        <f>Existing!Q3</f>
        <v>2027</v>
      </c>
      <c r="R3" s="5">
        <f>Existing!R3</f>
        <v>2028</v>
      </c>
      <c r="S3" s="5">
        <f>Existing!S3</f>
        <v>2029</v>
      </c>
      <c r="T3" s="5">
        <f>Existing!T3</f>
        <v>2030</v>
      </c>
      <c r="U3" s="5">
        <f>Existing!U3</f>
        <v>2031</v>
      </c>
      <c r="V3" s="5">
        <f>Existing!V3</f>
        <v>2032</v>
      </c>
      <c r="W3" s="5">
        <f>Existing!W3</f>
        <v>2033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>
        <v>10</v>
      </c>
      <c r="J8" s="14">
        <v>22</v>
      </c>
      <c r="K8" s="14">
        <v>25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10</v>
      </c>
      <c r="K35" s="12">
        <f t="shared" ref="K35:W35" si="9">J39</f>
        <v>32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10</v>
      </c>
      <c r="J36" s="12">
        <f t="shared" si="10"/>
        <v>22</v>
      </c>
      <c r="K36" s="12">
        <f t="shared" si="10"/>
        <v>25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-57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10</v>
      </c>
      <c r="J39" s="20">
        <f>SUM(J35:J38)</f>
        <v>32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5</v>
      </c>
      <c r="J40" s="20">
        <f>(J35+J39)/2</f>
        <v>21</v>
      </c>
      <c r="K40" s="20">
        <f t="shared" ref="K40:W40" si="14">(K35+K39)/2</f>
        <v>16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57</v>
      </c>
      <c r="M43" s="12">
        <f t="shared" si="15"/>
        <v>57</v>
      </c>
      <c r="N43" s="12">
        <f t="shared" si="15"/>
        <v>57</v>
      </c>
      <c r="O43" s="12">
        <f t="shared" si="15"/>
        <v>57</v>
      </c>
      <c r="P43" s="12">
        <f t="shared" si="15"/>
        <v>57</v>
      </c>
      <c r="Q43" s="12">
        <f t="shared" si="15"/>
        <v>57</v>
      </c>
      <c r="R43" s="12">
        <f t="shared" si="15"/>
        <v>57</v>
      </c>
      <c r="S43" s="12">
        <f t="shared" si="15"/>
        <v>57</v>
      </c>
      <c r="T43" s="12">
        <f t="shared" si="15"/>
        <v>57</v>
      </c>
      <c r="U43" s="12">
        <f t="shared" si="15"/>
        <v>57</v>
      </c>
      <c r="V43" s="12">
        <f t="shared" si="15"/>
        <v>57</v>
      </c>
      <c r="W43" s="12">
        <f t="shared" si="15"/>
        <v>57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57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57</v>
      </c>
      <c r="L46" s="20">
        <f t="shared" si="18"/>
        <v>57</v>
      </c>
      <c r="M46" s="20">
        <f t="shared" si="18"/>
        <v>57</v>
      </c>
      <c r="N46" s="20">
        <f t="shared" si="18"/>
        <v>57</v>
      </c>
      <c r="O46" s="20">
        <f t="shared" si="18"/>
        <v>57</v>
      </c>
      <c r="P46" s="20">
        <f t="shared" si="18"/>
        <v>57</v>
      </c>
      <c r="Q46" s="20">
        <f t="shared" si="18"/>
        <v>57</v>
      </c>
      <c r="R46" s="20">
        <f t="shared" si="18"/>
        <v>57</v>
      </c>
      <c r="S46" s="20">
        <f t="shared" si="18"/>
        <v>57</v>
      </c>
      <c r="T46" s="20">
        <f t="shared" si="18"/>
        <v>57</v>
      </c>
      <c r="U46" s="20">
        <f t="shared" si="18"/>
        <v>57</v>
      </c>
      <c r="V46" s="20">
        <f t="shared" si="18"/>
        <v>57</v>
      </c>
      <c r="W46" s="20">
        <f t="shared" si="18"/>
        <v>57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28.5</v>
      </c>
      <c r="L47" s="20">
        <f t="shared" si="19"/>
        <v>57</v>
      </c>
      <c r="M47" s="20">
        <f t="shared" si="19"/>
        <v>57</v>
      </c>
      <c r="N47" s="20">
        <f t="shared" si="19"/>
        <v>57</v>
      </c>
      <c r="O47" s="20">
        <f t="shared" si="19"/>
        <v>57</v>
      </c>
      <c r="P47" s="20">
        <f t="shared" si="19"/>
        <v>57</v>
      </c>
      <c r="Q47" s="20">
        <f t="shared" si="19"/>
        <v>57</v>
      </c>
      <c r="R47" s="20">
        <f t="shared" si="19"/>
        <v>57</v>
      </c>
      <c r="S47" s="20">
        <f t="shared" si="19"/>
        <v>57</v>
      </c>
      <c r="T47" s="20">
        <f t="shared" si="19"/>
        <v>57</v>
      </c>
      <c r="U47" s="20">
        <f t="shared" si="19"/>
        <v>57</v>
      </c>
      <c r="V47" s="20">
        <f t="shared" si="19"/>
        <v>57</v>
      </c>
      <c r="W47" s="20">
        <f t="shared" si="19"/>
        <v>57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0.71250000000000002</v>
      </c>
      <c r="M50" s="12">
        <f t="shared" si="20"/>
        <v>2.1375000000000002</v>
      </c>
      <c r="N50" s="12">
        <f t="shared" si="20"/>
        <v>3.5625</v>
      </c>
      <c r="O50" s="12">
        <f t="shared" si="20"/>
        <v>4.9874999999999998</v>
      </c>
      <c r="P50" s="12">
        <f t="shared" si="20"/>
        <v>6.4124999999999996</v>
      </c>
      <c r="Q50" s="12">
        <f t="shared" si="20"/>
        <v>7.8374999999999995</v>
      </c>
      <c r="R50" s="12">
        <f t="shared" si="20"/>
        <v>9.2624999999999993</v>
      </c>
      <c r="S50" s="12">
        <f t="shared" si="20"/>
        <v>10.6875</v>
      </c>
      <c r="T50" s="12">
        <f t="shared" si="20"/>
        <v>12.112500000000001</v>
      </c>
      <c r="U50" s="12">
        <f t="shared" si="20"/>
        <v>13.537500000000001</v>
      </c>
      <c r="V50" s="12">
        <f t="shared" si="20"/>
        <v>14.962500000000002</v>
      </c>
      <c r="W50" s="12">
        <f t="shared" si="20"/>
        <v>16.387500000000003</v>
      </c>
    </row>
    <row r="51" spans="1:23" s="8" customFormat="1" x14ac:dyDescent="0.2">
      <c r="A51" s="10">
        <f>A50+1</f>
        <v>31</v>
      </c>
      <c r="D51" s="13" t="s">
        <v>71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0.71250000000000002</v>
      </c>
      <c r="L51" s="12">
        <f t="shared" si="21"/>
        <v>1.425</v>
      </c>
      <c r="M51" s="12">
        <f t="shared" si="21"/>
        <v>1.425</v>
      </c>
      <c r="N51" s="12">
        <f t="shared" si="21"/>
        <v>1.425</v>
      </c>
      <c r="O51" s="12">
        <f t="shared" si="21"/>
        <v>1.425</v>
      </c>
      <c r="P51" s="12">
        <f t="shared" si="21"/>
        <v>1.425</v>
      </c>
      <c r="Q51" s="12">
        <f t="shared" si="21"/>
        <v>1.425</v>
      </c>
      <c r="R51" s="12">
        <f t="shared" si="21"/>
        <v>1.425</v>
      </c>
      <c r="S51" s="12">
        <f t="shared" si="21"/>
        <v>1.425</v>
      </c>
      <c r="T51" s="12">
        <f t="shared" si="21"/>
        <v>1.425</v>
      </c>
      <c r="U51" s="12">
        <f t="shared" si="21"/>
        <v>1.425</v>
      </c>
      <c r="V51" s="12">
        <f t="shared" si="21"/>
        <v>1.425</v>
      </c>
      <c r="W51" s="12">
        <f t="shared" si="21"/>
        <v>1.425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0.71250000000000002</v>
      </c>
      <c r="L53" s="20">
        <f t="shared" si="23"/>
        <v>2.1375000000000002</v>
      </c>
      <c r="M53" s="20">
        <f t="shared" si="23"/>
        <v>3.5625</v>
      </c>
      <c r="N53" s="20">
        <f t="shared" si="23"/>
        <v>4.9874999999999998</v>
      </c>
      <c r="O53" s="20">
        <f t="shared" si="23"/>
        <v>6.4124999999999996</v>
      </c>
      <c r="P53" s="20">
        <f t="shared" si="23"/>
        <v>7.8374999999999995</v>
      </c>
      <c r="Q53" s="20">
        <f t="shared" si="23"/>
        <v>9.2624999999999993</v>
      </c>
      <c r="R53" s="20">
        <f t="shared" si="23"/>
        <v>10.6875</v>
      </c>
      <c r="S53" s="20">
        <f t="shared" si="23"/>
        <v>12.112500000000001</v>
      </c>
      <c r="T53" s="20">
        <f t="shared" si="23"/>
        <v>13.537500000000001</v>
      </c>
      <c r="U53" s="20">
        <f t="shared" si="23"/>
        <v>14.962500000000002</v>
      </c>
      <c r="V53" s="20">
        <f t="shared" si="23"/>
        <v>16.387500000000003</v>
      </c>
      <c r="W53" s="20">
        <f t="shared" si="23"/>
        <v>17.812500000000004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0.35625000000000001</v>
      </c>
      <c r="L54" s="20">
        <f t="shared" si="24"/>
        <v>1.425</v>
      </c>
      <c r="M54" s="20">
        <f t="shared" si="24"/>
        <v>2.85</v>
      </c>
      <c r="N54" s="20">
        <f t="shared" si="24"/>
        <v>4.2750000000000004</v>
      </c>
      <c r="O54" s="20">
        <f t="shared" si="24"/>
        <v>5.6999999999999993</v>
      </c>
      <c r="P54" s="20">
        <f t="shared" si="24"/>
        <v>7.125</v>
      </c>
      <c r="Q54" s="20">
        <f t="shared" si="24"/>
        <v>8.5499999999999989</v>
      </c>
      <c r="R54" s="20">
        <f t="shared" si="24"/>
        <v>9.9749999999999996</v>
      </c>
      <c r="S54" s="20">
        <f t="shared" si="24"/>
        <v>11.4</v>
      </c>
      <c r="T54" s="20">
        <f t="shared" si="24"/>
        <v>12.825000000000001</v>
      </c>
      <c r="U54" s="20">
        <f t="shared" si="24"/>
        <v>14.250000000000002</v>
      </c>
      <c r="V54" s="20">
        <f t="shared" si="24"/>
        <v>15.675000000000002</v>
      </c>
      <c r="W54" s="20">
        <f t="shared" si="24"/>
        <v>17.100000000000001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54.15</v>
      </c>
      <c r="M57" s="12">
        <f t="shared" si="25"/>
        <v>48.734999999999999</v>
      </c>
      <c r="N57" s="12">
        <f t="shared" si="25"/>
        <v>43.861499999999999</v>
      </c>
      <c r="O57" s="12">
        <f t="shared" si="25"/>
        <v>39.475349999999999</v>
      </c>
      <c r="P57" s="12">
        <f t="shared" si="25"/>
        <v>35.527814999999997</v>
      </c>
      <c r="Q57" s="12">
        <f t="shared" si="25"/>
        <v>31.975033499999999</v>
      </c>
      <c r="R57" s="12">
        <f t="shared" si="25"/>
        <v>28.609240499999999</v>
      </c>
      <c r="S57" s="12">
        <f t="shared" si="25"/>
        <v>25.243447499999998</v>
      </c>
      <c r="T57" s="12">
        <f t="shared" si="25"/>
        <v>21.877654499999998</v>
      </c>
      <c r="U57" s="12">
        <f t="shared" si="25"/>
        <v>18.511861499999998</v>
      </c>
      <c r="V57" s="12">
        <f t="shared" si="25"/>
        <v>15.146068499999998</v>
      </c>
      <c r="W57" s="12">
        <f t="shared" si="25"/>
        <v>11.780275499999998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57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-2.85</v>
      </c>
      <c r="L59" s="12">
        <f>-I23*L58-J23*K58-K23*J58-L23*I58</f>
        <v>-5.415</v>
      </c>
      <c r="M59" s="12">
        <f>-I23*M58-J23*L58-K23*K58-L23*J58-M23*I58</f>
        <v>-4.8734999999999999</v>
      </c>
      <c r="N59" s="12">
        <f>-I23*N58-J23*M58-K23*L58-L23*K58-M23*J58-N23*I58</f>
        <v>-4.3861500000000007</v>
      </c>
      <c r="O59" s="12">
        <f>-I23*O58-J23*N58-K23*M58-L23*L58-M23*K58-N23*J58-O23*I58</f>
        <v>-3.9475349999999998</v>
      </c>
      <c r="P59" s="12">
        <f>-I23*P58-J23*O58-K23*N58-L23*M58-M23*L58-N23*K58-O23*J58-P23*I58</f>
        <v>-3.5527814999999996</v>
      </c>
      <c r="Q59" s="12">
        <f>-I23*Q58-J23*P58-K23*O58-L23*N58-M23*M58-N23*L58-O23*K58-P23*J58-Q23*I58</f>
        <v>-3.365793</v>
      </c>
      <c r="R59" s="12">
        <f>-I23*R58-J23*Q58-K23*P58-L23*O58-M23*N58-N23*M58-O23*L58-P23*K58-Q23*J58-R23*I58</f>
        <v>-3.3657929999999991</v>
      </c>
      <c r="S59" s="12">
        <f>-I23*S58-J23*R58-K23*Q58-L23*P58-M23*O58-N23*N58-O23*M58-P23*L58-Q23*K58-R23*J58-S23*I58</f>
        <v>-3.365793</v>
      </c>
      <c r="T59" s="12">
        <f>-I23*T58-J23*S58-K23*R58-L23*Q58-M23*P58-N23*O58-O23*N58-P23*M58-Q23*L58-R23*K58-S23*J58-T23*I58</f>
        <v>-3.3657929999999996</v>
      </c>
      <c r="U59" s="12">
        <f>-I23*U58-J23*T58-K23*S58-L23*R58-M23*Q58-N23*P58-O23*O58-P23*N58-Q23*M58-R23*L58-S23*K58-T23*J58-U23*I58</f>
        <v>-3.3657929999999996</v>
      </c>
      <c r="V59" s="12">
        <f>-I23*V58-J23*U58-K23*T58-L23*S58-M23*R58-N23*Q58-O23*P58-P23*O58-Q23*N58-R23*M58-S23*L58-T23*K58-U23*J58-V23*I58</f>
        <v>-3.3657929999999991</v>
      </c>
      <c r="W59" s="12">
        <f>-I23*W58-J23*V58-K23*U58-L23*T58-M23*S58-N23*R58-O23*Q58-P23*P58-Q23*O58-R23*N58-S23*M58-T23*L58-U23*K58-V23*J58-W23*I58</f>
        <v>-3.3657929999999983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54.15</v>
      </c>
      <c r="L60" s="20">
        <f t="shared" si="27"/>
        <v>48.734999999999999</v>
      </c>
      <c r="M60" s="20">
        <f t="shared" si="27"/>
        <v>43.861499999999999</v>
      </c>
      <c r="N60" s="20">
        <f t="shared" si="27"/>
        <v>39.475349999999999</v>
      </c>
      <c r="O60" s="20">
        <f t="shared" si="27"/>
        <v>35.527814999999997</v>
      </c>
      <c r="P60" s="20">
        <f t="shared" si="27"/>
        <v>31.975033499999999</v>
      </c>
      <c r="Q60" s="20">
        <f t="shared" si="27"/>
        <v>28.609240499999999</v>
      </c>
      <c r="R60" s="20">
        <f t="shared" si="27"/>
        <v>25.243447499999998</v>
      </c>
      <c r="S60" s="20">
        <f t="shared" si="27"/>
        <v>21.877654499999998</v>
      </c>
      <c r="T60" s="20">
        <f t="shared" si="27"/>
        <v>18.511861499999998</v>
      </c>
      <c r="U60" s="20">
        <f t="shared" si="27"/>
        <v>15.146068499999998</v>
      </c>
      <c r="V60" s="20">
        <f t="shared" si="27"/>
        <v>11.780275499999998</v>
      </c>
      <c r="W60" s="20">
        <f t="shared" si="27"/>
        <v>8.4144825000000001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55.575000000000003</v>
      </c>
      <c r="M63" s="12">
        <f t="shared" si="28"/>
        <v>52.796250000000001</v>
      </c>
      <c r="N63" s="12">
        <f t="shared" si="28"/>
        <v>50.156437500000003</v>
      </c>
      <c r="O63" s="12">
        <f t="shared" si="28"/>
        <v>47.648615625000005</v>
      </c>
      <c r="P63" s="12">
        <f t="shared" si="28"/>
        <v>45.266184843750004</v>
      </c>
      <c r="Q63" s="12">
        <f t="shared" si="28"/>
        <v>43.002875601562501</v>
      </c>
      <c r="R63" s="12">
        <f t="shared" si="28"/>
        <v>40.852731821484376</v>
      </c>
      <c r="S63" s="12">
        <f t="shared" si="28"/>
        <v>38.810095230410155</v>
      </c>
      <c r="T63" s="12">
        <f t="shared" si="28"/>
        <v>36.869590468889648</v>
      </c>
      <c r="U63" s="12">
        <f t="shared" si="28"/>
        <v>35.026110945445168</v>
      </c>
      <c r="V63" s="12">
        <f t="shared" si="28"/>
        <v>33.274805398172909</v>
      </c>
      <c r="W63" s="12">
        <f t="shared" si="28"/>
        <v>31.611065128264265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57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-1.425</v>
      </c>
      <c r="L65" s="12">
        <f t="shared" si="30"/>
        <v>-2.7787500000000005</v>
      </c>
      <c r="M65" s="12">
        <f t="shared" si="30"/>
        <v>-2.6398125000000001</v>
      </c>
      <c r="N65" s="12">
        <f t="shared" si="30"/>
        <v>-2.5078218750000003</v>
      </c>
      <c r="O65" s="12">
        <f t="shared" si="30"/>
        <v>-2.3824307812500005</v>
      </c>
      <c r="P65" s="12">
        <f t="shared" si="30"/>
        <v>-2.2633092421875003</v>
      </c>
      <c r="Q65" s="12">
        <f t="shared" si="30"/>
        <v>-2.1501437800781251</v>
      </c>
      <c r="R65" s="12">
        <f t="shared" si="30"/>
        <v>-2.0426365910742188</v>
      </c>
      <c r="S65" s="12">
        <f t="shared" si="30"/>
        <v>-1.9405047615205078</v>
      </c>
      <c r="T65" s="12">
        <f t="shared" si="30"/>
        <v>-1.8434795234444825</v>
      </c>
      <c r="U65" s="12">
        <f t="shared" si="30"/>
        <v>-1.7513055472722585</v>
      </c>
      <c r="V65" s="12">
        <f t="shared" si="30"/>
        <v>-1.6637402699086454</v>
      </c>
      <c r="W65" s="12">
        <f t="shared" si="30"/>
        <v>-1.5805532564132134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55.575000000000003</v>
      </c>
      <c r="L66" s="20">
        <f t="shared" si="31"/>
        <v>52.796250000000001</v>
      </c>
      <c r="M66" s="20">
        <f t="shared" si="31"/>
        <v>50.156437500000003</v>
      </c>
      <c r="N66" s="20">
        <f t="shared" si="31"/>
        <v>47.648615625000005</v>
      </c>
      <c r="O66" s="20">
        <f t="shared" si="31"/>
        <v>45.266184843750004</v>
      </c>
      <c r="P66" s="20">
        <f t="shared" si="31"/>
        <v>43.002875601562501</v>
      </c>
      <c r="Q66" s="20">
        <f t="shared" si="31"/>
        <v>40.852731821484376</v>
      </c>
      <c r="R66" s="20">
        <f t="shared" si="31"/>
        <v>38.810095230410155</v>
      </c>
      <c r="S66" s="20">
        <f t="shared" si="31"/>
        <v>36.869590468889648</v>
      </c>
      <c r="T66" s="20">
        <f t="shared" si="31"/>
        <v>35.026110945445168</v>
      </c>
      <c r="U66" s="20">
        <f t="shared" si="31"/>
        <v>33.274805398172909</v>
      </c>
      <c r="V66" s="20">
        <f t="shared" si="31"/>
        <v>31.611065128264265</v>
      </c>
      <c r="W66" s="20">
        <f t="shared" si="31"/>
        <v>30.030511871851051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0.49863315000000008</v>
      </c>
      <c r="M69" s="12">
        <f t="shared" si="32"/>
        <v>1.4310736350000002</v>
      </c>
      <c r="N69" s="12">
        <f t="shared" si="32"/>
        <v>2.2400962807500004</v>
      </c>
      <c r="O69" s="12">
        <f t="shared" si="32"/>
        <v>2.9375577292125006</v>
      </c>
      <c r="P69" s="12">
        <f t="shared" si="32"/>
        <v>3.5341532152518753</v>
      </c>
      <c r="Q69" s="12">
        <f t="shared" si="32"/>
        <v>4.0395314944892817</v>
      </c>
      <c r="R69" s="12">
        <f t="shared" si="32"/>
        <v>4.4977391655148171</v>
      </c>
      <c r="S69" s="12">
        <f t="shared" si="32"/>
        <v>4.9484389644890756</v>
      </c>
      <c r="T69" s="12">
        <f t="shared" si="32"/>
        <v>5.392006285014622</v>
      </c>
      <c r="U69" s="12">
        <f t="shared" si="32"/>
        <v>5.8287977510138909</v>
      </c>
      <c r="V69" s="12">
        <f t="shared" si="32"/>
        <v>6.2591521552131955</v>
      </c>
      <c r="W69" s="12">
        <f t="shared" si="32"/>
        <v>6.6833913507025358</v>
      </c>
    </row>
    <row r="70" spans="1:23" s="8" customFormat="1" x14ac:dyDescent="0.2">
      <c r="A70" s="10">
        <f>A69+1</f>
        <v>44</v>
      </c>
      <c r="D70" s="13" t="s">
        <v>76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0.43564815000000007</v>
      </c>
      <c r="L70" s="12">
        <f t="shared" si="33"/>
        <v>0.81276898500000005</v>
      </c>
      <c r="M70" s="12">
        <f t="shared" si="33"/>
        <v>0.70163322075000001</v>
      </c>
      <c r="N70" s="12">
        <f t="shared" si="33"/>
        <v>0.60173999471250017</v>
      </c>
      <c r="O70" s="12">
        <f t="shared" si="33"/>
        <v>0.51195860497687484</v>
      </c>
      <c r="P70" s="12">
        <f t="shared" si="33"/>
        <v>0.43127174222803105</v>
      </c>
      <c r="Q70" s="12">
        <f t="shared" si="33"/>
        <v>0.39410496086662966</v>
      </c>
      <c r="R70" s="12">
        <f t="shared" si="33"/>
        <v>0.39610072432329796</v>
      </c>
      <c r="S70" s="12">
        <f t="shared" si="33"/>
        <v>0.3979966996071333</v>
      </c>
      <c r="T70" s="12">
        <f t="shared" si="33"/>
        <v>0.39979787612677653</v>
      </c>
      <c r="U70" s="12">
        <f t="shared" si="33"/>
        <v>0.4015089938204377</v>
      </c>
      <c r="V70" s="12">
        <f t="shared" si="33"/>
        <v>0.40313455562941575</v>
      </c>
      <c r="W70" s="12">
        <f t="shared" si="33"/>
        <v>0.40467883934794474</v>
      </c>
    </row>
    <row r="71" spans="1:23" s="8" customFormat="1" x14ac:dyDescent="0.2">
      <c r="A71" s="10">
        <f>A70+1</f>
        <v>45</v>
      </c>
      <c r="D71" s="13" t="s">
        <v>77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6.2985000000000013E-2</v>
      </c>
      <c r="L71" s="12">
        <f t="shared" si="34"/>
        <v>0.11967150000000004</v>
      </c>
      <c r="M71" s="12">
        <f t="shared" si="34"/>
        <v>0.10738942500000001</v>
      </c>
      <c r="N71" s="12">
        <f t="shared" si="34"/>
        <v>9.5721453750000032E-2</v>
      </c>
      <c r="O71" s="12">
        <f t="shared" si="34"/>
        <v>8.4636881062500044E-2</v>
      </c>
      <c r="P71" s="12">
        <f t="shared" si="34"/>
        <v>7.4106537009375029E-2</v>
      </c>
      <c r="Q71" s="12">
        <f t="shared" si="34"/>
        <v>6.4102710158906256E-2</v>
      </c>
      <c r="R71" s="12">
        <f t="shared" si="34"/>
        <v>5.4599074650960942E-2</v>
      </c>
      <c r="S71" s="12">
        <f t="shared" si="34"/>
        <v>4.5570620918412887E-2</v>
      </c>
      <c r="T71" s="12">
        <f t="shared" si="34"/>
        <v>3.6993589872492252E-2</v>
      </c>
      <c r="U71" s="12">
        <f t="shared" si="34"/>
        <v>2.8845410378867651E-2</v>
      </c>
      <c r="V71" s="12">
        <f t="shared" si="34"/>
        <v>2.1104639859924255E-2</v>
      </c>
      <c r="W71" s="12">
        <f t="shared" si="34"/>
        <v>1.3750907866928064E-2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0.49863315000000008</v>
      </c>
      <c r="L72" s="20">
        <f t="shared" si="35"/>
        <v>1.4310736350000002</v>
      </c>
      <c r="M72" s="20">
        <f t="shared" si="35"/>
        <v>2.2400962807500004</v>
      </c>
      <c r="N72" s="20">
        <f t="shared" si="35"/>
        <v>2.9375577292125006</v>
      </c>
      <c r="O72" s="20">
        <f t="shared" si="35"/>
        <v>3.5341532152518753</v>
      </c>
      <c r="P72" s="20">
        <f t="shared" si="35"/>
        <v>4.0395314944892817</v>
      </c>
      <c r="Q72" s="20">
        <f t="shared" si="35"/>
        <v>4.4977391655148171</v>
      </c>
      <c r="R72" s="20">
        <f t="shared" si="35"/>
        <v>4.9484389644890756</v>
      </c>
      <c r="S72" s="20">
        <f t="shared" si="35"/>
        <v>5.392006285014622</v>
      </c>
      <c r="T72" s="20">
        <f t="shared" si="35"/>
        <v>5.8287977510138909</v>
      </c>
      <c r="U72" s="20">
        <f t="shared" si="35"/>
        <v>6.2591521552131955</v>
      </c>
      <c r="V72" s="20">
        <f t="shared" si="35"/>
        <v>6.6833913507025358</v>
      </c>
      <c r="W72" s="20">
        <f t="shared" si="35"/>
        <v>7.1018210979174086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0.24931657500000004</v>
      </c>
      <c r="L73" s="20">
        <f t="shared" si="36"/>
        <v>0.96485339250000013</v>
      </c>
      <c r="M73" s="20">
        <f t="shared" si="36"/>
        <v>1.8355849578750003</v>
      </c>
      <c r="N73" s="20">
        <f t="shared" si="36"/>
        <v>2.5888270049812503</v>
      </c>
      <c r="O73" s="20">
        <f t="shared" si="36"/>
        <v>3.2358554722321879</v>
      </c>
      <c r="P73" s="20">
        <f t="shared" si="36"/>
        <v>3.7868423548705783</v>
      </c>
      <c r="Q73" s="20">
        <f t="shared" si="36"/>
        <v>4.2686353300020494</v>
      </c>
      <c r="R73" s="20">
        <f t="shared" si="36"/>
        <v>4.7230890650019468</v>
      </c>
      <c r="S73" s="20">
        <f t="shared" si="36"/>
        <v>5.1702226247518492</v>
      </c>
      <c r="T73" s="20">
        <f t="shared" si="36"/>
        <v>5.6104020180142564</v>
      </c>
      <c r="U73" s="20">
        <f t="shared" si="36"/>
        <v>6.0439749531135432</v>
      </c>
      <c r="V73" s="20">
        <f t="shared" si="36"/>
        <v>6.4712717529578656</v>
      </c>
      <c r="W73" s="20">
        <f t="shared" si="36"/>
        <v>6.8926062243099722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28.5</v>
      </c>
      <c r="L76" s="12">
        <f t="shared" si="37"/>
        <v>57</v>
      </c>
      <c r="M76" s="12">
        <f t="shared" si="37"/>
        <v>57</v>
      </c>
      <c r="N76" s="12">
        <f t="shared" si="37"/>
        <v>57</v>
      </c>
      <c r="O76" s="12">
        <f t="shared" si="37"/>
        <v>57</v>
      </c>
      <c r="P76" s="12">
        <f t="shared" si="37"/>
        <v>57</v>
      </c>
      <c r="Q76" s="12">
        <f t="shared" si="37"/>
        <v>57</v>
      </c>
      <c r="R76" s="12">
        <f t="shared" si="37"/>
        <v>57</v>
      </c>
      <c r="S76" s="12">
        <f t="shared" si="37"/>
        <v>57</v>
      </c>
      <c r="T76" s="12">
        <f t="shared" si="37"/>
        <v>57</v>
      </c>
      <c r="U76" s="12">
        <f t="shared" si="37"/>
        <v>57</v>
      </c>
      <c r="V76" s="12">
        <f t="shared" si="37"/>
        <v>57</v>
      </c>
      <c r="W76" s="12">
        <f t="shared" si="37"/>
        <v>57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-0.35625000000000001</v>
      </c>
      <c r="L77" s="12">
        <f t="shared" si="38"/>
        <v>-1.425</v>
      </c>
      <c r="M77" s="12">
        <f t="shared" si="38"/>
        <v>-2.85</v>
      </c>
      <c r="N77" s="12">
        <f t="shared" si="38"/>
        <v>-4.2750000000000004</v>
      </c>
      <c r="O77" s="12">
        <f t="shared" si="38"/>
        <v>-5.6999999999999993</v>
      </c>
      <c r="P77" s="12">
        <f t="shared" si="38"/>
        <v>-7.125</v>
      </c>
      <c r="Q77" s="12">
        <f t="shared" si="38"/>
        <v>-8.5499999999999989</v>
      </c>
      <c r="R77" s="12">
        <f t="shared" si="38"/>
        <v>-9.9749999999999996</v>
      </c>
      <c r="S77" s="12">
        <f t="shared" si="38"/>
        <v>-11.4</v>
      </c>
      <c r="T77" s="12">
        <f t="shared" si="38"/>
        <v>-12.825000000000001</v>
      </c>
      <c r="U77" s="12">
        <f t="shared" si="38"/>
        <v>-14.250000000000002</v>
      </c>
      <c r="V77" s="12">
        <f t="shared" si="38"/>
        <v>-15.675000000000002</v>
      </c>
      <c r="W77" s="12">
        <f t="shared" si="38"/>
        <v>-17.100000000000001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5</v>
      </c>
      <c r="J78" s="12">
        <f t="shared" si="39"/>
        <v>21</v>
      </c>
      <c r="K78" s="12">
        <f t="shared" si="39"/>
        <v>16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-0.24931657500000004</v>
      </c>
      <c r="L79" s="12">
        <f t="shared" si="40"/>
        <v>-0.96485339250000013</v>
      </c>
      <c r="M79" s="12">
        <f t="shared" si="40"/>
        <v>-1.8355849578750003</v>
      </c>
      <c r="N79" s="12">
        <f t="shared" si="40"/>
        <v>-2.5888270049812503</v>
      </c>
      <c r="O79" s="12">
        <f t="shared" si="40"/>
        <v>-3.2358554722321879</v>
      </c>
      <c r="P79" s="12">
        <f t="shared" si="40"/>
        <v>-3.7868423548705783</v>
      </c>
      <c r="Q79" s="12">
        <f t="shared" si="40"/>
        <v>-4.2686353300020494</v>
      </c>
      <c r="R79" s="12">
        <f t="shared" si="40"/>
        <v>-4.7230890650019468</v>
      </c>
      <c r="S79" s="12">
        <f t="shared" si="40"/>
        <v>-5.1702226247518492</v>
      </c>
      <c r="T79" s="12">
        <f t="shared" si="40"/>
        <v>-5.6104020180142564</v>
      </c>
      <c r="U79" s="12">
        <f t="shared" si="40"/>
        <v>-6.0439749531135432</v>
      </c>
      <c r="V79" s="12">
        <f t="shared" si="40"/>
        <v>-6.4712717529578656</v>
      </c>
      <c r="W79" s="12">
        <f t="shared" si="40"/>
        <v>-6.8926062243099722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5</v>
      </c>
      <c r="J80" s="20">
        <f>SUM(J76:J79)</f>
        <v>21</v>
      </c>
      <c r="K80" s="20">
        <f t="shared" ref="K80:W80" si="41">SUM(K76:K79)</f>
        <v>43.894433424999995</v>
      </c>
      <c r="L80" s="20">
        <f t="shared" si="41"/>
        <v>54.610146607500006</v>
      </c>
      <c r="M80" s="20">
        <f t="shared" si="41"/>
        <v>52.314415042124999</v>
      </c>
      <c r="N80" s="20">
        <f t="shared" si="41"/>
        <v>50.136172995018754</v>
      </c>
      <c r="O80" s="20">
        <f t="shared" si="41"/>
        <v>48.064144527767809</v>
      </c>
      <c r="P80" s="20">
        <f t="shared" si="41"/>
        <v>46.088157645129421</v>
      </c>
      <c r="Q80" s="20">
        <f t="shared" si="41"/>
        <v>44.181364669997954</v>
      </c>
      <c r="R80" s="20">
        <f t="shared" si="41"/>
        <v>42.301910934998048</v>
      </c>
      <c r="S80" s="20">
        <f t="shared" si="41"/>
        <v>40.42977737524815</v>
      </c>
      <c r="T80" s="20">
        <f t="shared" si="41"/>
        <v>38.564597981985742</v>
      </c>
      <c r="U80" s="20">
        <f t="shared" si="41"/>
        <v>36.70602504688646</v>
      </c>
      <c r="V80" s="20">
        <f t="shared" si="41"/>
        <v>34.853728247042127</v>
      </c>
      <c r="W80" s="20">
        <f t="shared" si="41"/>
        <v>33.007393775690026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0.71250000000000002</v>
      </c>
      <c r="L83" s="12">
        <f t="shared" si="42"/>
        <v>1.425</v>
      </c>
      <c r="M83" s="12">
        <f t="shared" si="42"/>
        <v>1.425</v>
      </c>
      <c r="N83" s="12">
        <f t="shared" si="42"/>
        <v>1.425</v>
      </c>
      <c r="O83" s="12">
        <f t="shared" si="42"/>
        <v>1.425</v>
      </c>
      <c r="P83" s="12">
        <f t="shared" si="42"/>
        <v>1.425</v>
      </c>
      <c r="Q83" s="12">
        <f t="shared" si="42"/>
        <v>1.425</v>
      </c>
      <c r="R83" s="12">
        <f t="shared" si="42"/>
        <v>1.425</v>
      </c>
      <c r="S83" s="12">
        <f t="shared" si="42"/>
        <v>1.425</v>
      </c>
      <c r="T83" s="12">
        <f t="shared" si="42"/>
        <v>1.425</v>
      </c>
      <c r="U83" s="12">
        <f t="shared" si="42"/>
        <v>1.425</v>
      </c>
      <c r="V83" s="12">
        <f t="shared" si="42"/>
        <v>1.425</v>
      </c>
      <c r="W83" s="12">
        <f t="shared" si="42"/>
        <v>1.425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0.15</v>
      </c>
      <c r="J84" s="12">
        <f t="shared" si="44"/>
        <v>0.63</v>
      </c>
      <c r="K84" s="12">
        <f t="shared" si="44"/>
        <v>1.3168330027499999</v>
      </c>
      <c r="L84" s="12">
        <f t="shared" si="44"/>
        <v>1.6383043982250001</v>
      </c>
      <c r="M84" s="12">
        <f t="shared" si="44"/>
        <v>1.5694324512637499</v>
      </c>
      <c r="N84" s="12">
        <f t="shared" si="44"/>
        <v>1.5040851898505625</v>
      </c>
      <c r="O84" s="12">
        <f t="shared" si="44"/>
        <v>1.4419243358330343</v>
      </c>
      <c r="P84" s="12">
        <f t="shared" si="44"/>
        <v>1.3826447293538826</v>
      </c>
      <c r="Q84" s="12">
        <f t="shared" si="44"/>
        <v>1.3254409400999385</v>
      </c>
      <c r="R84" s="12">
        <f t="shared" si="44"/>
        <v>1.2690573280499413</v>
      </c>
      <c r="S84" s="12">
        <f t="shared" si="44"/>
        <v>1.2128933212574444</v>
      </c>
      <c r="T84" s="12">
        <f t="shared" si="44"/>
        <v>1.1569379394595722</v>
      </c>
      <c r="U84" s="12">
        <f t="shared" si="44"/>
        <v>1.1011807514065937</v>
      </c>
      <c r="V84" s="12">
        <f t="shared" si="44"/>
        <v>1.0456118474112639</v>
      </c>
      <c r="W84" s="12">
        <f t="shared" si="44"/>
        <v>0.9902218132707008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0.27500000000000002</v>
      </c>
      <c r="J85" s="12">
        <f t="shared" si="45"/>
        <v>1.155</v>
      </c>
      <c r="K85" s="12">
        <f t="shared" si="45"/>
        <v>2.4141938383749997</v>
      </c>
      <c r="L85" s="12">
        <f t="shared" si="45"/>
        <v>3.0035580634125005</v>
      </c>
      <c r="M85" s="12">
        <f t="shared" si="45"/>
        <v>2.8772928273168747</v>
      </c>
      <c r="N85" s="12">
        <f t="shared" si="45"/>
        <v>2.7574895147260317</v>
      </c>
      <c r="O85" s="12">
        <f t="shared" si="45"/>
        <v>2.6435279490272294</v>
      </c>
      <c r="P85" s="12">
        <f t="shared" si="45"/>
        <v>2.534848670482118</v>
      </c>
      <c r="Q85" s="12">
        <f t="shared" si="45"/>
        <v>2.4299750568498877</v>
      </c>
      <c r="R85" s="12">
        <f t="shared" si="45"/>
        <v>2.3266051014248927</v>
      </c>
      <c r="S85" s="12">
        <f t="shared" si="45"/>
        <v>2.2236377556386482</v>
      </c>
      <c r="T85" s="12">
        <f t="shared" si="45"/>
        <v>2.1210528890092157</v>
      </c>
      <c r="U85" s="12">
        <f t="shared" si="45"/>
        <v>2.0188313775787554</v>
      </c>
      <c r="V85" s="12">
        <f t="shared" si="45"/>
        <v>1.916955053587317</v>
      </c>
      <c r="W85" s="12">
        <f t="shared" si="45"/>
        <v>1.8154066576629515</v>
      </c>
    </row>
    <row r="86" spans="1:24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7.3101265822784811E-2</v>
      </c>
      <c r="J86" s="12">
        <f t="shared" ref="J86:W86" si="46">IF($F24="Y",J85*J25/(1-J25),J85*J25/(1-J25)+(J51+J59)*J25)</f>
        <v>0.3070253164556962</v>
      </c>
      <c r="K86" s="12">
        <f t="shared" si="46"/>
        <v>0.64174772918829093</v>
      </c>
      <c r="L86" s="12">
        <f t="shared" si="46"/>
        <v>0.79841416875522164</v>
      </c>
      <c r="M86" s="12">
        <f t="shared" si="46"/>
        <v>0.76484999207157434</v>
      </c>
      <c r="N86" s="12">
        <f t="shared" si="46"/>
        <v>0.73300354188919814</v>
      </c>
      <c r="O86" s="12">
        <f t="shared" si="46"/>
        <v>0.70270996113382045</v>
      </c>
      <c r="P86" s="12">
        <f t="shared" si="46"/>
        <v>0.67382053265980346</v>
      </c>
      <c r="Q86" s="12">
        <f t="shared" si="46"/>
        <v>0.64594273663098278</v>
      </c>
      <c r="R86" s="12">
        <f t="shared" si="46"/>
        <v>0.6184646472142119</v>
      </c>
      <c r="S86" s="12">
        <f t="shared" si="46"/>
        <v>0.59109358061280515</v>
      </c>
      <c r="T86" s="12">
        <f t="shared" si="46"/>
        <v>0.56382418568599402</v>
      </c>
      <c r="U86" s="12">
        <f t="shared" si="46"/>
        <v>0.53665137885004888</v>
      </c>
      <c r="V86" s="12">
        <f t="shared" si="46"/>
        <v>0.50957033070042601</v>
      </c>
      <c r="W86" s="12">
        <f t="shared" si="46"/>
        <v>0.48257645330280985</v>
      </c>
    </row>
    <row r="87" spans="1:24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3.3756199976671987E-2</v>
      </c>
      <c r="J87" s="12">
        <f t="shared" ref="J87:W87" si="47">IF($F28="Y",(J85+J86)*J29/(1-J29),(J85+J86)*J29/(1-J29)+(J51+J65)*J29)</f>
        <v>0.14177603990202234</v>
      </c>
      <c r="K87" s="12">
        <f t="shared" si="47"/>
        <v>0.29634185451140288</v>
      </c>
      <c r="L87" s="12">
        <f t="shared" si="47"/>
        <v>0.36868620592762907</v>
      </c>
      <c r="M87" s="12">
        <f t="shared" si="47"/>
        <v>0.35318717116491771</v>
      </c>
      <c r="N87" s="12">
        <f t="shared" si="47"/>
        <v>0.33848133633697497</v>
      </c>
      <c r="O87" s="12">
        <f t="shared" si="47"/>
        <v>0.32449257487739891</v>
      </c>
      <c r="P87" s="12">
        <f t="shared" si="47"/>
        <v>0.31115221320507447</v>
      </c>
      <c r="Q87" s="12">
        <f t="shared" si="47"/>
        <v>0.29827899620854426</v>
      </c>
      <c r="R87" s="12">
        <f t="shared" si="47"/>
        <v>0.28559035298343233</v>
      </c>
      <c r="S87" s="12">
        <f t="shared" si="47"/>
        <v>0.27295113001824101</v>
      </c>
      <c r="T87" s="12">
        <f t="shared" si="47"/>
        <v>0.2603588562999743</v>
      </c>
      <c r="U87" s="12">
        <f t="shared" si="47"/>
        <v>0.24781118436628602</v>
      </c>
      <c r="V87" s="12">
        <f t="shared" si="47"/>
        <v>0.23530588412794701</v>
      </c>
      <c r="W87" s="12">
        <f t="shared" si="47"/>
        <v>0.22284083700019014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1.1400000000000001</v>
      </c>
      <c r="M88" s="12">
        <f t="shared" si="48"/>
        <v>1.1628000000000001</v>
      </c>
      <c r="N88" s="12">
        <f t="shared" si="48"/>
        <v>1.186056</v>
      </c>
      <c r="O88" s="12">
        <f t="shared" si="48"/>
        <v>1.20977712</v>
      </c>
      <c r="P88" s="12">
        <f t="shared" si="48"/>
        <v>1.2339726624</v>
      </c>
      <c r="Q88" s="12">
        <f t="shared" si="48"/>
        <v>1.2586521156479999</v>
      </c>
      <c r="R88" s="12">
        <f t="shared" si="48"/>
        <v>1.2838251579609599</v>
      </c>
      <c r="S88" s="12">
        <f t="shared" si="48"/>
        <v>1.3095016611201791</v>
      </c>
      <c r="T88" s="12">
        <f t="shared" si="48"/>
        <v>1.3356916943425827</v>
      </c>
      <c r="U88" s="12">
        <f t="shared" si="48"/>
        <v>1.3624055282294345</v>
      </c>
      <c r="V88" s="12">
        <f t="shared" si="48"/>
        <v>1.3896536387940233</v>
      </c>
      <c r="W88" s="12">
        <f t="shared" si="48"/>
        <v>1.4174467115699037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0.53185746579945681</v>
      </c>
      <c r="J89" s="20">
        <f t="shared" ref="J89:W89" si="49">SUM(J83:J88)</f>
        <v>2.2338013563577186</v>
      </c>
      <c r="K89" s="20">
        <f t="shared" si="49"/>
        <v>5.3816164248246929</v>
      </c>
      <c r="L89" s="20">
        <f t="shared" si="49"/>
        <v>8.3739628363203504</v>
      </c>
      <c r="M89" s="20">
        <f t="shared" si="49"/>
        <v>8.1525624418171176</v>
      </c>
      <c r="N89" s="20">
        <f t="shared" si="49"/>
        <v>7.9441155828027679</v>
      </c>
      <c r="O89" s="20">
        <f t="shared" si="49"/>
        <v>7.7474319408714836</v>
      </c>
      <c r="P89" s="20">
        <f t="shared" si="49"/>
        <v>7.5614388081008794</v>
      </c>
      <c r="Q89" s="20">
        <f t="shared" si="49"/>
        <v>7.3832898454373526</v>
      </c>
      <c r="R89" s="20">
        <f t="shared" si="49"/>
        <v>7.2085425876334392</v>
      </c>
      <c r="S89" s="20">
        <f t="shared" si="49"/>
        <v>7.0350774486473169</v>
      </c>
      <c r="T89" s="20">
        <f t="shared" si="49"/>
        <v>6.8628655647973389</v>
      </c>
      <c r="U89" s="20">
        <f t="shared" si="49"/>
        <v>6.691880220431119</v>
      </c>
      <c r="V89" s="20">
        <f t="shared" si="49"/>
        <v>6.5220967546209767</v>
      </c>
      <c r="W89" s="20">
        <f t="shared" si="49"/>
        <v>6.3534924728065558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="80" zoomScaleNormal="80" workbookViewId="0">
      <selection activeCell="AB22" sqref="AB22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110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70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80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84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81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82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85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83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71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78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78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79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79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75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76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77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72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73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311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2019-06-07T18:25:26+00:00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Osborne, Kristina</DisplayName>
        <AccountId>70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Osborne, Kristina</DisplayName>
        <AccountId>70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</TermName>
          <TermId xmlns="http://schemas.microsoft.com/office/infopath/2007/PartnerControls">285a5f2c-fbc6-40b5-af08-c23b5949dd29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2018-2019 Transmission Access Charge Forecast Model with New Capital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2018-2019 transmission access charge forecast model|894ae0c4-ad95-4d6b-a662-c4acac93190d</ParentISOGroups>
    <Orig_x0020_Post_x0020_Date xmlns="5bcbeff6-7c02-4b0f-b125-f1b3d566cc14">2019-05-14T20:14:51+00:00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c94ba7dc-6f84-4fc7-900f-54134cbf413d</CrawlableUniqueI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C93F52-C198-46B9-B2E7-F6CAEDA44E2D}"/>
</file>

<file path=customXml/itemProps2.xml><?xml version="1.0" encoding="utf-8"?>
<ds:datastoreItem xmlns:ds="http://schemas.openxmlformats.org/officeDocument/2006/customXml" ds:itemID="{86CEAE3B-6F52-454D-B4C5-88F4A2B75593}"/>
</file>

<file path=customXml/itemProps3.xml><?xml version="1.0" encoding="utf-8"?>
<ds:datastoreItem xmlns:ds="http://schemas.openxmlformats.org/officeDocument/2006/customXml" ds:itemID="{20642951-2C79-4C58-9EF3-EB3733868C26}">
  <ds:schemaRefs>
    <ds:schemaRef ds:uri="http://purl.org/dc/terms/"/>
    <ds:schemaRef ds:uri="2e64aaae-efe8-4b36-9ab4-486f04499e0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dcc7e218-8b47-4273-ba28-07719656e1ad"/>
    <ds:schemaRef ds:uri="e6671a59-50a7-4167-890c-836f7535b73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86633D0-D153-4A9C-9D0E-4A92968571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28</vt:i4>
      </vt:variant>
    </vt:vector>
  </HeadingPairs>
  <TitlesOfParts>
    <vt:vector size="42" baseType="lpstr">
      <vt:lpstr>Summary</vt:lpstr>
      <vt:lpstr>Existing</vt:lpstr>
      <vt:lpstr>Reliability</vt:lpstr>
      <vt:lpstr>2018-19 Policy and Econ</vt:lpstr>
      <vt:lpstr>WOD</vt:lpstr>
      <vt:lpstr>ClrdoRvr</vt:lpstr>
      <vt:lpstr>Red Bluff 2AA Bank</vt:lpstr>
      <vt:lpstr>Calcite</vt:lpstr>
      <vt:lpstr>New Project 10</vt:lpstr>
      <vt:lpstr>New Project 11</vt:lpstr>
      <vt:lpstr>New Project 12</vt:lpstr>
      <vt:lpstr>Tehachapi</vt:lpstr>
      <vt:lpstr>CW-Lugo</vt:lpstr>
      <vt:lpstr>South CC</vt:lpstr>
      <vt:lpstr>'2018-19 Policy and Econ'!Print_Area</vt:lpstr>
      <vt:lpstr>Calcite!Print_Area</vt:lpstr>
      <vt:lpstr>ClrdoRvr!Print_Area</vt:lpstr>
      <vt:lpstr>'CW-Lugo'!Print_Area</vt:lpstr>
      <vt:lpstr>Existing!Print_Area</vt:lpstr>
      <vt:lpstr>'New Project 10'!Print_Area</vt:lpstr>
      <vt:lpstr>'New Project 11'!Print_Area</vt:lpstr>
      <vt:lpstr>'New Project 12'!Print_Area</vt:lpstr>
      <vt:lpstr>'Red Bluff 2AA Bank'!Print_Area</vt:lpstr>
      <vt:lpstr>Reliability!Print_Area</vt:lpstr>
      <vt:lpstr>'South CC'!Print_Area</vt:lpstr>
      <vt:lpstr>Summary!Print_Area</vt:lpstr>
      <vt:lpstr>Tehachapi!Print_Area</vt:lpstr>
      <vt:lpstr>WOD!Print_Area</vt:lpstr>
      <vt:lpstr>'2018-19 Policy and Econ'!Print_Titles</vt:lpstr>
      <vt:lpstr>Calcite!Print_Titles</vt:lpstr>
      <vt:lpstr>ClrdoRvr!Print_Titles</vt:lpstr>
      <vt:lpstr>'CW-Lugo'!Print_Titles</vt:lpstr>
      <vt:lpstr>Existing!Print_Titles</vt:lpstr>
      <vt:lpstr>'New Project 10'!Print_Titles</vt:lpstr>
      <vt:lpstr>'New Project 11'!Print_Titles</vt:lpstr>
      <vt:lpstr>'New Project 12'!Print_Titles</vt:lpstr>
      <vt:lpstr>'Red Bluff 2AA Bank'!Print_Titles</vt:lpstr>
      <vt:lpstr>Reliability!Print_Titles</vt:lpstr>
      <vt:lpstr>'South CC'!Print_Titles</vt:lpstr>
      <vt:lpstr>Summary!Print_Titles</vt:lpstr>
      <vt:lpstr>Tehachapi!Print_Titles</vt:lpstr>
      <vt:lpstr>WOD!Print_Titles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2018-2019 Transmission Access Charge Forecast Model with New Capital</dc:title>
  <dc:creator>Wayne Taylor</dc:creator>
  <cp:lastModifiedBy>Bishara, James</cp:lastModifiedBy>
  <cp:lastPrinted>2016-01-31T22:04:48Z</cp:lastPrinted>
  <dcterms:created xsi:type="dcterms:W3CDTF">2012-06-11T17:14:09Z</dcterms:created>
  <dcterms:modified xsi:type="dcterms:W3CDTF">2019-06-07T17:24:07Z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Group">
    <vt:lpwstr/>
  </property>
  <property fmtid="{D5CDD505-2E9C-101B-9397-08002B2CF9AE}" pid="4" name="ISOArchive">
    <vt:lpwstr>1;#Not Archived|d4ac4999-fa66-470b-a400-7ab6671d1fab</vt:lpwstr>
  </property>
  <property fmtid="{D5CDD505-2E9C-101B-9397-08002B2CF9AE}" pid="5" name="ISOKeywords">
    <vt:lpwstr/>
  </property>
  <property fmtid="{D5CDD505-2E9C-101B-9397-08002B2CF9AE}" pid="6" name="ISOTopic">
    <vt:lpwstr>311;#Planning|285a5f2c-fbc6-40b5-af08-c23b5949dd29</vt:lpwstr>
  </property>
  <property fmtid="{D5CDD505-2E9C-101B-9397-08002B2CF9AE}" pid="7" name="_dlc_DocIdItemGuid">
    <vt:lpwstr>adf123fa-df8a-4802-ae2a-35de63c937a7</vt:lpwstr>
  </property>
  <property fmtid="{D5CDD505-2E9C-101B-9397-08002B2CF9AE}" pid="8" name="AutoClassRecordSeries">
    <vt:lpwstr>41;#Administrative:ADM01-215 - Planning Records|445b443c-bc08-4acf-a53a-2e311e7629f1</vt:lpwstr>
  </property>
  <property fmtid="{D5CDD505-2E9C-101B-9397-08002B2CF9AE}" pid="9" name="AutoClassDocumentType">
    <vt:lpwstr/>
  </property>
  <property fmtid="{D5CDD505-2E9C-101B-9397-08002B2CF9AE}" pid="10" name="AutoClassTopic">
    <vt:lpwstr>17;#Tariff|cc4c938c-feeb-4c7a-a862-f9df7d868b49;#86;#Project|b10aa64f-48ee-4573-a7bc-f018fb4d66f0</vt:lpwstr>
  </property>
  <property fmtid="{D5CDD505-2E9C-101B-9397-08002B2CF9AE}" pid="11" name="RLPreviousUrl">
    <vt:lpwstr>/sites/MID/ID/RTN/Records/TPP/TPP 2017 - 2018/High Voltage TAC Projections/2018 Stakeholder Call Materials/2017-2018TransmissionAccessChargeForecastModelwithNewCapital-Updated.xlsx</vt:lpwstr>
  </property>
  <property fmtid="{D5CDD505-2E9C-101B-9397-08002B2CF9AE}" pid="12" name="{A44787D4-0540-4523-9961-78E4036D8C6D}">
    <vt:lpwstr>{35DA9C05-E3B2-4234-A3AD-7705334F3792}</vt:lpwstr>
  </property>
  <property fmtid="{D5CDD505-2E9C-101B-9397-08002B2CF9AE}" pid="13" name="Order">
    <vt:r8>6178500</vt:r8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TemplateUrl">
    <vt:lpwstr/>
  </property>
</Properties>
</file>