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records.oa.caiso.com/sites/MID/ID/RTN/Records/TPP/TPP_2019-2020/HighVoltageTAC/Updated Model/"/>
    </mc:Choice>
  </mc:AlternateContent>
  <bookViews>
    <workbookView xWindow="0" yWindow="0" windowWidth="28800" windowHeight="12300" tabRatio="723" activeTab="2"/>
  </bookViews>
  <sheets>
    <sheet name="Summary" sheetId="5" r:id="rId1"/>
    <sheet name="Existing" sheetId="21" r:id="rId2"/>
    <sheet name="Reliability" sheetId="2" r:id="rId3"/>
    <sheet name="2019-20 Policy and Econ" sheetId="13" r:id="rId4"/>
    <sheet name="WOD" sheetId="15" r:id="rId5"/>
    <sheet name="ClrdoRvr" sheetId="9" r:id="rId6"/>
    <sheet name="Red Bluff 2AA Bank" sheetId="10" r:id="rId7"/>
    <sheet name="Calcite" sheetId="18" r:id="rId8"/>
    <sheet name="New Project 10" sheetId="11" r:id="rId9"/>
    <sheet name="New Project 11" sheetId="12" r:id="rId10"/>
    <sheet name="New Project 12" sheetId="20" r:id="rId11"/>
    <sheet name="Tehachapi" sheetId="17" r:id="rId12"/>
    <sheet name="CW-Lugo" sheetId="14" r:id="rId13"/>
    <sheet name="South CC" sheetId="19" r:id="rId14"/>
  </sheets>
  <definedNames>
    <definedName name="_xlnm._FilterDatabase" localSheetId="0" hidden="1">Summary!$I$1:$W$79</definedName>
    <definedName name="CIQWBGuid" hidden="1">"0c0e6f01-36d0-4b48-9c14-a99f9f3d7915"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'2019-20 Policy and Econ'!$I$1:$R$89</definedName>
    <definedName name="_xlnm.Print_Area" localSheetId="7">Calcite!$I$1:$R$89</definedName>
    <definedName name="_xlnm.Print_Area" localSheetId="5">ClrdoRvr!$I$1:$R$89</definedName>
    <definedName name="_xlnm.Print_Area" localSheetId="12">'CW-Lugo'!$I$1:$R$89</definedName>
    <definedName name="_xlnm.Print_Area" localSheetId="1">Existing!$I$1:$R$186</definedName>
    <definedName name="_xlnm.Print_Area" localSheetId="8">'New Project 10'!$I$1:$R$89</definedName>
    <definedName name="_xlnm.Print_Area" localSheetId="9">'New Project 11'!$I$1:$R$89</definedName>
    <definedName name="_xlnm.Print_Area" localSheetId="10">'New Project 12'!$I$1:$R$89</definedName>
    <definedName name="_xlnm.Print_Area" localSheetId="6">'Red Bluff 2AA Bank'!$I$1:$R$89</definedName>
    <definedName name="_xlnm.Print_Area" localSheetId="2">Reliability!$I$1:$R$89</definedName>
    <definedName name="_xlnm.Print_Area" localSheetId="13">'South CC'!$I$1:$R$89</definedName>
    <definedName name="_xlnm.Print_Area" localSheetId="0">Summary!$I$1:$R$79</definedName>
    <definedName name="_xlnm.Print_Area" localSheetId="11">Tehachapi!$I$1:$R$89</definedName>
    <definedName name="_xlnm.Print_Area" localSheetId="4">WOD!$I$1:$R$89</definedName>
    <definedName name="_xlnm.Print_Titles" localSheetId="3">'2019-20 Policy and Econ'!$A:$G,'2019-20 Policy and Econ'!$1:$5</definedName>
    <definedName name="_xlnm.Print_Titles" localSheetId="7">Calcite!$A:$G,Calcite!$1:$5</definedName>
    <definedName name="_xlnm.Print_Titles" localSheetId="5">ClrdoRvr!$A:$G,ClrdoRvr!$1:$5</definedName>
    <definedName name="_xlnm.Print_Titles" localSheetId="12">'CW-Lugo'!$A:$G,'CW-Lugo'!$1:$5</definedName>
    <definedName name="_xlnm.Print_Titles" localSheetId="1">Existing!$A:$G,Existing!$1:$5</definedName>
    <definedName name="_xlnm.Print_Titles" localSheetId="8">'New Project 10'!$A:$G,'New Project 10'!$1:$5</definedName>
    <definedName name="_xlnm.Print_Titles" localSheetId="9">'New Project 11'!$A:$G,'New Project 11'!$1:$5</definedName>
    <definedName name="_xlnm.Print_Titles" localSheetId="10">'New Project 12'!$A:$G,'New Project 12'!$1:$5</definedName>
    <definedName name="_xlnm.Print_Titles" localSheetId="6">'Red Bluff 2AA Bank'!$A:$G,'Red Bluff 2AA Bank'!$1:$5</definedName>
    <definedName name="_xlnm.Print_Titles" localSheetId="2">Reliability!$A:$G,Reliability!$1:$5</definedName>
    <definedName name="_xlnm.Print_Titles" localSheetId="13">'South CC'!$A:$G,'South CC'!$1:$5</definedName>
    <definedName name="_xlnm.Print_Titles" localSheetId="0">Summary!$A:$G,Summary!$1:$5</definedName>
    <definedName name="_xlnm.Print_Titles" localSheetId="11">Tehachapi!$A:$G,Tehachapi!$1:$5</definedName>
    <definedName name="_xlnm.Print_Titles" localSheetId="4">WOD!$A:$G,WOD!$1:$5</definedName>
  </definedNames>
  <calcPr calcId="162913"/>
</workbook>
</file>

<file path=xl/calcChain.xml><?xml version="1.0" encoding="utf-8"?>
<calcChain xmlns="http://schemas.openxmlformats.org/spreadsheetml/2006/main">
  <c r="I178" i="21" l="1"/>
  <c r="H13" i="2"/>
  <c r="I175" i="21" l="1"/>
  <c r="I170" i="21"/>
  <c r="I126" i="21" l="1"/>
  <c r="F126" i="21"/>
  <c r="F139" i="21" l="1"/>
  <c r="F124" i="21" l="1"/>
  <c r="F123" i="21"/>
  <c r="I123" i="21" s="1"/>
  <c r="F122" i="21"/>
  <c r="I122" i="21" s="1"/>
  <c r="F119" i="21"/>
  <c r="I119" i="21" s="1"/>
  <c r="F120" i="21"/>
  <c r="I120" i="21" s="1"/>
  <c r="I124" i="21"/>
  <c r="F142" i="21" l="1"/>
  <c r="F140" i="21"/>
  <c r="F144" i="21" s="1"/>
  <c r="F143" i="21" l="1"/>
  <c r="F165" i="21"/>
  <c r="F155" i="21"/>
  <c r="F145" i="21"/>
  <c r="F134" i="21"/>
  <c r="I134" i="21" s="1"/>
  <c r="F133" i="21"/>
  <c r="I133" i="21" s="1"/>
  <c r="F132" i="21"/>
  <c r="I132" i="21" s="1"/>
  <c r="F130" i="21"/>
  <c r="I130" i="21" s="1"/>
  <c r="F129" i="21"/>
  <c r="I129" i="21" s="1"/>
  <c r="H3" i="18" l="1"/>
  <c r="D9" i="5"/>
  <c r="D12" i="5"/>
  <c r="H3" i="10"/>
  <c r="H3" i="9"/>
  <c r="H3" i="15"/>
  <c r="H3" i="13"/>
  <c r="H3" i="2"/>
  <c r="I3" i="5" l="1"/>
  <c r="J3" i="5" l="1"/>
  <c r="I3" i="10"/>
  <c r="K3" i="5" l="1"/>
  <c r="J3" i="10"/>
  <c r="D37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W15" i="20"/>
  <c r="W18" i="20" s="1"/>
  <c r="V15" i="20"/>
  <c r="U15" i="20"/>
  <c r="U18" i="20" s="1"/>
  <c r="T15" i="20"/>
  <c r="S15" i="20"/>
  <c r="R15" i="20"/>
  <c r="R18" i="20" s="1"/>
  <c r="Q15" i="20"/>
  <c r="Q18" i="20" s="1"/>
  <c r="P15" i="20"/>
  <c r="O15" i="20"/>
  <c r="O18" i="20" s="1"/>
  <c r="N15" i="20"/>
  <c r="N18" i="20" s="1"/>
  <c r="M15" i="20"/>
  <c r="L15" i="20"/>
  <c r="L18" i="20" s="1"/>
  <c r="K15" i="20"/>
  <c r="J15" i="20"/>
  <c r="I15" i="20"/>
  <c r="I18" i="20" s="1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A10" i="20"/>
  <c r="A11" i="20" s="1"/>
  <c r="A13" i="20" s="1"/>
  <c r="A15" i="20" s="1"/>
  <c r="A16" i="20" s="1"/>
  <c r="A18" i="20" s="1"/>
  <c r="A19" i="20" s="1"/>
  <c r="A21" i="20" s="1"/>
  <c r="A23" i="20" s="1"/>
  <c r="A24" i="20" s="1"/>
  <c r="A25" i="20" s="1"/>
  <c r="A27" i="20" s="1"/>
  <c r="A28" i="20" s="1"/>
  <c r="A29" i="20" s="1"/>
  <c r="A31" i="20" s="1"/>
  <c r="A32" i="20" s="1"/>
  <c r="A35" i="20" s="1"/>
  <c r="A36" i="20" s="1"/>
  <c r="A37" i="20" s="1"/>
  <c r="A38" i="20" s="1"/>
  <c r="A39" i="20" s="1"/>
  <c r="A40" i="20" s="1"/>
  <c r="A43" i="20" s="1"/>
  <c r="A44" i="20" s="1"/>
  <c r="A45" i="20" s="1"/>
  <c r="A46" i="20" s="1"/>
  <c r="A47" i="20" s="1"/>
  <c r="A50" i="20" s="1"/>
  <c r="A51" i="20" s="1"/>
  <c r="A52" i="20" s="1"/>
  <c r="A53" i="20" s="1"/>
  <c r="A54" i="20" s="1"/>
  <c r="A57" i="20" s="1"/>
  <c r="A58" i="20" s="1"/>
  <c r="A59" i="20" s="1"/>
  <c r="A60" i="20" s="1"/>
  <c r="A63" i="20" s="1"/>
  <c r="A64" i="20" s="1"/>
  <c r="A65" i="20" s="1"/>
  <c r="A66" i="20" s="1"/>
  <c r="A69" i="20" s="1"/>
  <c r="A70" i="20" s="1"/>
  <c r="A71" i="20" s="1"/>
  <c r="A72" i="20" s="1"/>
  <c r="A73" i="20" s="1"/>
  <c r="A76" i="20" s="1"/>
  <c r="A77" i="20" s="1"/>
  <c r="A78" i="20" s="1"/>
  <c r="A79" i="20" s="1"/>
  <c r="A80" i="20" s="1"/>
  <c r="A83" i="20" s="1"/>
  <c r="A84" i="20" s="1"/>
  <c r="A85" i="20" s="1"/>
  <c r="A86" i="20" s="1"/>
  <c r="A87" i="20" s="1"/>
  <c r="A88" i="20" s="1"/>
  <c r="A89" i="20" s="1"/>
  <c r="A8" i="20"/>
  <c r="J4" i="20"/>
  <c r="K4" i="20" s="1"/>
  <c r="L4" i="20" s="1"/>
  <c r="M4" i="20" s="1"/>
  <c r="J3" i="20"/>
  <c r="K3" i="20" s="1"/>
  <c r="L3" i="20" s="1"/>
  <c r="D37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W15" i="12"/>
  <c r="V15" i="12"/>
  <c r="V18" i="12" s="1"/>
  <c r="U15" i="12"/>
  <c r="T15" i="12"/>
  <c r="S15" i="12"/>
  <c r="S18" i="12" s="1"/>
  <c r="R15" i="12"/>
  <c r="R18" i="12" s="1"/>
  <c r="Q15" i="12"/>
  <c r="P15" i="12"/>
  <c r="P18" i="12" s="1"/>
  <c r="O15" i="12"/>
  <c r="O18" i="12" s="1"/>
  <c r="N15" i="12"/>
  <c r="M15" i="12"/>
  <c r="M18" i="12" s="1"/>
  <c r="L15" i="12"/>
  <c r="K15" i="12"/>
  <c r="J15" i="12"/>
  <c r="J18" i="12" s="1"/>
  <c r="I15" i="12"/>
  <c r="I18" i="12" s="1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A8" i="12"/>
  <c r="A10" i="12" s="1"/>
  <c r="A11" i="12" s="1"/>
  <c r="A13" i="12" s="1"/>
  <c r="A15" i="12" s="1"/>
  <c r="A16" i="12" s="1"/>
  <c r="A18" i="12" s="1"/>
  <c r="A19" i="12" s="1"/>
  <c r="A21" i="12" s="1"/>
  <c r="A23" i="12" s="1"/>
  <c r="A24" i="12" s="1"/>
  <c r="A25" i="12" s="1"/>
  <c r="A27" i="12" s="1"/>
  <c r="A28" i="12" s="1"/>
  <c r="A29" i="12" s="1"/>
  <c r="A31" i="12" s="1"/>
  <c r="A32" i="12" s="1"/>
  <c r="A35" i="12" s="1"/>
  <c r="A36" i="12" s="1"/>
  <c r="A37" i="12" s="1"/>
  <c r="A38" i="12" s="1"/>
  <c r="A39" i="12" s="1"/>
  <c r="A40" i="12" s="1"/>
  <c r="A43" i="12" s="1"/>
  <c r="A44" i="12" s="1"/>
  <c r="A45" i="12" s="1"/>
  <c r="A46" i="12" s="1"/>
  <c r="A47" i="12" s="1"/>
  <c r="A50" i="12" s="1"/>
  <c r="A51" i="12" s="1"/>
  <c r="A52" i="12" s="1"/>
  <c r="A53" i="12" s="1"/>
  <c r="A54" i="12" s="1"/>
  <c r="A57" i="12" s="1"/>
  <c r="A58" i="12" s="1"/>
  <c r="A59" i="12" s="1"/>
  <c r="A60" i="12" s="1"/>
  <c r="A63" i="12" s="1"/>
  <c r="A64" i="12" s="1"/>
  <c r="A65" i="12" s="1"/>
  <c r="A66" i="12" s="1"/>
  <c r="A69" i="12" s="1"/>
  <c r="A70" i="12" s="1"/>
  <c r="A71" i="12" s="1"/>
  <c r="A72" i="12" s="1"/>
  <c r="A73" i="12" s="1"/>
  <c r="A76" i="12" s="1"/>
  <c r="A77" i="12" s="1"/>
  <c r="A78" i="12" s="1"/>
  <c r="A79" i="12" s="1"/>
  <c r="A80" i="12" s="1"/>
  <c r="A83" i="12" s="1"/>
  <c r="A84" i="12" s="1"/>
  <c r="A85" i="12" s="1"/>
  <c r="A86" i="12" s="1"/>
  <c r="A87" i="12" s="1"/>
  <c r="A88" i="12" s="1"/>
  <c r="A89" i="12" s="1"/>
  <c r="J4" i="12"/>
  <c r="J23" i="12" s="1"/>
  <c r="J3" i="12"/>
  <c r="D37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R18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W15" i="11"/>
  <c r="W18" i="11" s="1"/>
  <c r="V15" i="11"/>
  <c r="V18" i="11" s="1"/>
  <c r="U15" i="11"/>
  <c r="T15" i="11"/>
  <c r="S15" i="11"/>
  <c r="S18" i="11" s="1"/>
  <c r="R15" i="11"/>
  <c r="Q15" i="11"/>
  <c r="P15" i="11"/>
  <c r="O15" i="11"/>
  <c r="O18" i="11" s="1"/>
  <c r="N15" i="11"/>
  <c r="M15" i="11"/>
  <c r="M18" i="11" s="1"/>
  <c r="L15" i="11"/>
  <c r="K15" i="11"/>
  <c r="J15" i="11"/>
  <c r="J18" i="11" s="1"/>
  <c r="I15" i="11"/>
  <c r="I18" i="11" s="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A8" i="11"/>
  <c r="A10" i="11" s="1"/>
  <c r="A11" i="11" s="1"/>
  <c r="A13" i="11" s="1"/>
  <c r="A15" i="11" s="1"/>
  <c r="A16" i="11" s="1"/>
  <c r="A18" i="11" s="1"/>
  <c r="A19" i="11" s="1"/>
  <c r="A21" i="11" s="1"/>
  <c r="A23" i="11" s="1"/>
  <c r="A24" i="11" s="1"/>
  <c r="A25" i="11" s="1"/>
  <c r="A27" i="11" s="1"/>
  <c r="A28" i="11" s="1"/>
  <c r="A29" i="11" s="1"/>
  <c r="A31" i="11" s="1"/>
  <c r="A32" i="11" s="1"/>
  <c r="A35" i="11" s="1"/>
  <c r="A36" i="11" s="1"/>
  <c r="A37" i="11" s="1"/>
  <c r="A38" i="11" s="1"/>
  <c r="A39" i="11" s="1"/>
  <c r="A40" i="11" s="1"/>
  <c r="A43" i="11" s="1"/>
  <c r="A44" i="11" s="1"/>
  <c r="A45" i="11" s="1"/>
  <c r="A46" i="11" s="1"/>
  <c r="A47" i="11" s="1"/>
  <c r="A50" i="11" s="1"/>
  <c r="A51" i="11" s="1"/>
  <c r="A52" i="11" s="1"/>
  <c r="A53" i="11" s="1"/>
  <c r="A54" i="11" s="1"/>
  <c r="A57" i="11" s="1"/>
  <c r="A58" i="11" s="1"/>
  <c r="A59" i="11" s="1"/>
  <c r="A60" i="11" s="1"/>
  <c r="A63" i="11" s="1"/>
  <c r="A64" i="11" s="1"/>
  <c r="A65" i="11" s="1"/>
  <c r="A66" i="11" s="1"/>
  <c r="A69" i="11" s="1"/>
  <c r="A70" i="11" s="1"/>
  <c r="A71" i="11" s="1"/>
  <c r="A72" i="11" s="1"/>
  <c r="A73" i="11" s="1"/>
  <c r="A76" i="11" s="1"/>
  <c r="A77" i="11" s="1"/>
  <c r="A78" i="11" s="1"/>
  <c r="A79" i="11" s="1"/>
  <c r="A80" i="11" s="1"/>
  <c r="A83" i="11" s="1"/>
  <c r="A84" i="11" s="1"/>
  <c r="A85" i="11" s="1"/>
  <c r="A86" i="11" s="1"/>
  <c r="A87" i="11" s="1"/>
  <c r="A88" i="11" s="1"/>
  <c r="A89" i="11" s="1"/>
  <c r="J4" i="11"/>
  <c r="J23" i="11" s="1"/>
  <c r="J3" i="11"/>
  <c r="D37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J18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W15" i="18"/>
  <c r="W18" i="18" s="1"/>
  <c r="V15" i="18"/>
  <c r="U15" i="18"/>
  <c r="U18" i="18" s="1"/>
  <c r="T15" i="18"/>
  <c r="T18" i="18" s="1"/>
  <c r="S15" i="18"/>
  <c r="S18" i="18" s="1"/>
  <c r="R15" i="18"/>
  <c r="Q15" i="18"/>
  <c r="Q18" i="18" s="1"/>
  <c r="P15" i="18"/>
  <c r="P18" i="18" s="1"/>
  <c r="O15" i="18"/>
  <c r="O18" i="18" s="1"/>
  <c r="N15" i="18"/>
  <c r="N18" i="18" s="1"/>
  <c r="M15" i="18"/>
  <c r="L15" i="18"/>
  <c r="L18" i="18" s="1"/>
  <c r="K15" i="18"/>
  <c r="J15" i="18"/>
  <c r="I15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A8" i="18"/>
  <c r="A10" i="18" s="1"/>
  <c r="A11" i="18" s="1"/>
  <c r="A13" i="18" s="1"/>
  <c r="A15" i="18" s="1"/>
  <c r="A16" i="18" s="1"/>
  <c r="A18" i="18" s="1"/>
  <c r="A19" i="18" s="1"/>
  <c r="A21" i="18" s="1"/>
  <c r="A23" i="18" s="1"/>
  <c r="A24" i="18" s="1"/>
  <c r="A25" i="18" s="1"/>
  <c r="A27" i="18" s="1"/>
  <c r="A28" i="18" s="1"/>
  <c r="A29" i="18" s="1"/>
  <c r="A31" i="18" s="1"/>
  <c r="A32" i="18" s="1"/>
  <c r="A35" i="18" s="1"/>
  <c r="A36" i="18" s="1"/>
  <c r="A37" i="18" s="1"/>
  <c r="A38" i="18" s="1"/>
  <c r="A39" i="18" s="1"/>
  <c r="A40" i="18" s="1"/>
  <c r="A43" i="18" s="1"/>
  <c r="A44" i="18" s="1"/>
  <c r="A45" i="18" s="1"/>
  <c r="A46" i="18" s="1"/>
  <c r="A47" i="18" s="1"/>
  <c r="A50" i="18" s="1"/>
  <c r="A51" i="18" s="1"/>
  <c r="A52" i="18" s="1"/>
  <c r="A53" i="18" s="1"/>
  <c r="A54" i="18" s="1"/>
  <c r="A57" i="18" s="1"/>
  <c r="A58" i="18" s="1"/>
  <c r="A59" i="18" s="1"/>
  <c r="A60" i="18" s="1"/>
  <c r="A63" i="18" s="1"/>
  <c r="A64" i="18" s="1"/>
  <c r="A65" i="18" s="1"/>
  <c r="A66" i="18" s="1"/>
  <c r="A69" i="18" s="1"/>
  <c r="A70" i="18" s="1"/>
  <c r="A71" i="18" s="1"/>
  <c r="A72" i="18" s="1"/>
  <c r="A73" i="18" s="1"/>
  <c r="A76" i="18" s="1"/>
  <c r="A77" i="18" s="1"/>
  <c r="A78" i="18" s="1"/>
  <c r="A79" i="18" s="1"/>
  <c r="A80" i="18" s="1"/>
  <c r="A83" i="18" s="1"/>
  <c r="A84" i="18" s="1"/>
  <c r="A85" i="18" s="1"/>
  <c r="A86" i="18" s="1"/>
  <c r="A87" i="18" s="1"/>
  <c r="A88" i="18" s="1"/>
  <c r="A89" i="18" s="1"/>
  <c r="J4" i="18"/>
  <c r="J23" i="18" s="1"/>
  <c r="D37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W15" i="10"/>
  <c r="W18" i="10" s="1"/>
  <c r="V15" i="10"/>
  <c r="U15" i="10"/>
  <c r="U18" i="10" s="1"/>
  <c r="T15" i="10"/>
  <c r="T18" i="10" s="1"/>
  <c r="S15" i="10"/>
  <c r="R15" i="10"/>
  <c r="Q15" i="10"/>
  <c r="Q18" i="10" s="1"/>
  <c r="P15" i="10"/>
  <c r="P18" i="10" s="1"/>
  <c r="O15" i="10"/>
  <c r="N15" i="10"/>
  <c r="N18" i="10" s="1"/>
  <c r="M15" i="10"/>
  <c r="L15" i="10"/>
  <c r="L18" i="10" s="1"/>
  <c r="K15" i="10"/>
  <c r="K18" i="10" s="1"/>
  <c r="J15" i="10"/>
  <c r="I15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A8" i="10"/>
  <c r="A10" i="10" s="1"/>
  <c r="A11" i="10" s="1"/>
  <c r="A13" i="10" s="1"/>
  <c r="A15" i="10" s="1"/>
  <c r="A16" i="10" s="1"/>
  <c r="A18" i="10" s="1"/>
  <c r="A19" i="10" s="1"/>
  <c r="A21" i="10" s="1"/>
  <c r="A23" i="10" s="1"/>
  <c r="A24" i="10" s="1"/>
  <c r="A25" i="10" s="1"/>
  <c r="A27" i="10" s="1"/>
  <c r="A28" i="10" s="1"/>
  <c r="A29" i="10" s="1"/>
  <c r="A31" i="10" s="1"/>
  <c r="A32" i="10" s="1"/>
  <c r="A35" i="10" s="1"/>
  <c r="A36" i="10" s="1"/>
  <c r="A37" i="10" s="1"/>
  <c r="A38" i="10" s="1"/>
  <c r="A39" i="10" s="1"/>
  <c r="A40" i="10" s="1"/>
  <c r="A43" i="10" s="1"/>
  <c r="A44" i="10" s="1"/>
  <c r="A45" i="10" s="1"/>
  <c r="A46" i="10" s="1"/>
  <c r="A47" i="10" s="1"/>
  <c r="A50" i="10" s="1"/>
  <c r="A51" i="10" s="1"/>
  <c r="A52" i="10" s="1"/>
  <c r="A53" i="10" s="1"/>
  <c r="A54" i="10" s="1"/>
  <c r="A57" i="10" s="1"/>
  <c r="A58" i="10" s="1"/>
  <c r="A59" i="10" s="1"/>
  <c r="A60" i="10" s="1"/>
  <c r="A63" i="10" s="1"/>
  <c r="A64" i="10" s="1"/>
  <c r="A65" i="10" s="1"/>
  <c r="A66" i="10" s="1"/>
  <c r="A69" i="10" s="1"/>
  <c r="A70" i="10" s="1"/>
  <c r="A71" i="10" s="1"/>
  <c r="A72" i="10" s="1"/>
  <c r="A73" i="10" s="1"/>
  <c r="A76" i="10" s="1"/>
  <c r="A77" i="10" s="1"/>
  <c r="A78" i="10" s="1"/>
  <c r="A79" i="10" s="1"/>
  <c r="A80" i="10" s="1"/>
  <c r="A83" i="10" s="1"/>
  <c r="A84" i="10" s="1"/>
  <c r="A85" i="10" s="1"/>
  <c r="A86" i="10" s="1"/>
  <c r="A87" i="10" s="1"/>
  <c r="A88" i="10" s="1"/>
  <c r="A89" i="10" s="1"/>
  <c r="J4" i="10"/>
  <c r="D37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W19" i="13"/>
  <c r="V19" i="13"/>
  <c r="V21" i="13" s="1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W15" i="13"/>
  <c r="V15" i="13"/>
  <c r="V18" i="13" s="1"/>
  <c r="U15" i="13"/>
  <c r="T15" i="13"/>
  <c r="T18" i="13" s="1"/>
  <c r="S15" i="13"/>
  <c r="S18" i="13" s="1"/>
  <c r="R15" i="13"/>
  <c r="R18" i="13" s="1"/>
  <c r="Q15" i="13"/>
  <c r="P15" i="13"/>
  <c r="P18" i="13" s="1"/>
  <c r="O15" i="13"/>
  <c r="O18" i="13" s="1"/>
  <c r="N15" i="13"/>
  <c r="M15" i="13"/>
  <c r="M18" i="13" s="1"/>
  <c r="L15" i="13"/>
  <c r="L18" i="13" s="1"/>
  <c r="K15" i="13"/>
  <c r="J15" i="13"/>
  <c r="J18" i="13" s="1"/>
  <c r="I15" i="13"/>
  <c r="I18" i="13" s="1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A8" i="13"/>
  <c r="A10" i="13" s="1"/>
  <c r="A11" i="13" s="1"/>
  <c r="A13" i="13" s="1"/>
  <c r="A15" i="13" s="1"/>
  <c r="A16" i="13" s="1"/>
  <c r="A18" i="13" s="1"/>
  <c r="A19" i="13" s="1"/>
  <c r="A21" i="13" s="1"/>
  <c r="A23" i="13" s="1"/>
  <c r="A24" i="13" s="1"/>
  <c r="A25" i="13" s="1"/>
  <c r="A27" i="13" s="1"/>
  <c r="A28" i="13" s="1"/>
  <c r="A29" i="13" s="1"/>
  <c r="A31" i="13" s="1"/>
  <c r="A32" i="13" s="1"/>
  <c r="A35" i="13" s="1"/>
  <c r="A36" i="13" s="1"/>
  <c r="A37" i="13" s="1"/>
  <c r="A38" i="13" s="1"/>
  <c r="A39" i="13" s="1"/>
  <c r="A40" i="13" s="1"/>
  <c r="A43" i="13" s="1"/>
  <c r="A44" i="13" s="1"/>
  <c r="A45" i="13" s="1"/>
  <c r="A46" i="13" s="1"/>
  <c r="A47" i="13" s="1"/>
  <c r="A50" i="13" s="1"/>
  <c r="A51" i="13" s="1"/>
  <c r="A52" i="13" s="1"/>
  <c r="A53" i="13" s="1"/>
  <c r="A54" i="13" s="1"/>
  <c r="A57" i="13" s="1"/>
  <c r="A58" i="13" s="1"/>
  <c r="A59" i="13" s="1"/>
  <c r="A60" i="13" s="1"/>
  <c r="A63" i="13" s="1"/>
  <c r="A64" i="13" s="1"/>
  <c r="A65" i="13" s="1"/>
  <c r="A66" i="13" s="1"/>
  <c r="A69" i="13" s="1"/>
  <c r="A70" i="13" s="1"/>
  <c r="A71" i="13" s="1"/>
  <c r="A72" i="13" s="1"/>
  <c r="A73" i="13" s="1"/>
  <c r="A76" i="13" s="1"/>
  <c r="A77" i="13" s="1"/>
  <c r="A78" i="13" s="1"/>
  <c r="A79" i="13" s="1"/>
  <c r="A80" i="13" s="1"/>
  <c r="A83" i="13" s="1"/>
  <c r="A84" i="13" s="1"/>
  <c r="A85" i="13" s="1"/>
  <c r="A86" i="13" s="1"/>
  <c r="A87" i="13" s="1"/>
  <c r="A88" i="13" s="1"/>
  <c r="A89" i="13" s="1"/>
  <c r="J4" i="13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U18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W15" i="9"/>
  <c r="W18" i="9" s="1"/>
  <c r="V15" i="9"/>
  <c r="V18" i="9" s="1"/>
  <c r="V21" i="9" s="1"/>
  <c r="U15" i="9"/>
  <c r="T15" i="9"/>
  <c r="T18" i="9" s="1"/>
  <c r="S15" i="9"/>
  <c r="R15" i="9"/>
  <c r="Q15" i="9"/>
  <c r="Q18" i="9" s="1"/>
  <c r="P15" i="9"/>
  <c r="P18" i="9" s="1"/>
  <c r="O15" i="9"/>
  <c r="N15" i="9"/>
  <c r="M15" i="9"/>
  <c r="M18" i="9" s="1"/>
  <c r="L15" i="9"/>
  <c r="K15" i="9"/>
  <c r="J15" i="9"/>
  <c r="I15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A8" i="9"/>
  <c r="A10" i="9" s="1"/>
  <c r="A11" i="9" s="1"/>
  <c r="A13" i="9" s="1"/>
  <c r="A15" i="9" s="1"/>
  <c r="A16" i="9" s="1"/>
  <c r="A18" i="9" s="1"/>
  <c r="A19" i="9" s="1"/>
  <c r="A21" i="9" s="1"/>
  <c r="A23" i="9" s="1"/>
  <c r="A24" i="9" s="1"/>
  <c r="A25" i="9" s="1"/>
  <c r="A27" i="9" s="1"/>
  <c r="A28" i="9" s="1"/>
  <c r="A29" i="9" s="1"/>
  <c r="A31" i="9" s="1"/>
  <c r="A32" i="9" s="1"/>
  <c r="A35" i="9" s="1"/>
  <c r="A36" i="9" s="1"/>
  <c r="A37" i="9" s="1"/>
  <c r="A38" i="9" s="1"/>
  <c r="A39" i="9" s="1"/>
  <c r="A40" i="9" s="1"/>
  <c r="A43" i="9" s="1"/>
  <c r="A44" i="9" s="1"/>
  <c r="A45" i="9" s="1"/>
  <c r="A46" i="9" s="1"/>
  <c r="A47" i="9" s="1"/>
  <c r="A50" i="9" s="1"/>
  <c r="A51" i="9" s="1"/>
  <c r="A52" i="9" s="1"/>
  <c r="A53" i="9" s="1"/>
  <c r="A54" i="9" s="1"/>
  <c r="A57" i="9" s="1"/>
  <c r="A58" i="9" s="1"/>
  <c r="A59" i="9" s="1"/>
  <c r="A60" i="9" s="1"/>
  <c r="A63" i="9" s="1"/>
  <c r="A64" i="9" s="1"/>
  <c r="A65" i="9" s="1"/>
  <c r="A66" i="9" s="1"/>
  <c r="A69" i="9" s="1"/>
  <c r="A70" i="9" s="1"/>
  <c r="A71" i="9" s="1"/>
  <c r="A72" i="9" s="1"/>
  <c r="A73" i="9" s="1"/>
  <c r="A76" i="9" s="1"/>
  <c r="A77" i="9" s="1"/>
  <c r="A78" i="9" s="1"/>
  <c r="A79" i="9" s="1"/>
  <c r="A80" i="9" s="1"/>
  <c r="A83" i="9" s="1"/>
  <c r="A84" i="9" s="1"/>
  <c r="A85" i="9" s="1"/>
  <c r="A86" i="9" s="1"/>
  <c r="A87" i="9" s="1"/>
  <c r="A88" i="9" s="1"/>
  <c r="A89" i="9" s="1"/>
  <c r="K4" i="9"/>
  <c r="J4" i="9"/>
  <c r="J23" i="9" s="1"/>
  <c r="H64" i="14"/>
  <c r="I38" i="14"/>
  <c r="I64" i="14" s="1"/>
  <c r="H38" i="14"/>
  <c r="D37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W15" i="14"/>
  <c r="V15" i="14"/>
  <c r="V18" i="14" s="1"/>
  <c r="U15" i="14"/>
  <c r="T15" i="14"/>
  <c r="S15" i="14"/>
  <c r="S18" i="14" s="1"/>
  <c r="R15" i="14"/>
  <c r="R18" i="14" s="1"/>
  <c r="Q15" i="14"/>
  <c r="P15" i="14"/>
  <c r="P18" i="14" s="1"/>
  <c r="O15" i="14"/>
  <c r="O18" i="14" s="1"/>
  <c r="N15" i="14"/>
  <c r="M15" i="14"/>
  <c r="M18" i="14" s="1"/>
  <c r="L15" i="14"/>
  <c r="L18" i="14" s="1"/>
  <c r="K15" i="14"/>
  <c r="K18" i="14" s="1"/>
  <c r="J15" i="14"/>
  <c r="J18" i="14" s="1"/>
  <c r="I15" i="14"/>
  <c r="I18" i="14" s="1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A8" i="14"/>
  <c r="A10" i="14" s="1"/>
  <c r="A11" i="14" s="1"/>
  <c r="A13" i="14" s="1"/>
  <c r="A15" i="14" s="1"/>
  <c r="A16" i="14" s="1"/>
  <c r="A18" i="14" s="1"/>
  <c r="A19" i="14" s="1"/>
  <c r="A21" i="14" s="1"/>
  <c r="A23" i="14" s="1"/>
  <c r="A24" i="14" s="1"/>
  <c r="A25" i="14" s="1"/>
  <c r="A27" i="14" s="1"/>
  <c r="A28" i="14" s="1"/>
  <c r="A29" i="14" s="1"/>
  <c r="A31" i="14" s="1"/>
  <c r="A32" i="14" s="1"/>
  <c r="A35" i="14" s="1"/>
  <c r="A36" i="14" s="1"/>
  <c r="A37" i="14" s="1"/>
  <c r="A38" i="14" s="1"/>
  <c r="A39" i="14" s="1"/>
  <c r="A40" i="14" s="1"/>
  <c r="A43" i="14" s="1"/>
  <c r="A44" i="14" s="1"/>
  <c r="A45" i="14" s="1"/>
  <c r="A46" i="14" s="1"/>
  <c r="A47" i="14" s="1"/>
  <c r="A50" i="14" s="1"/>
  <c r="A51" i="14" s="1"/>
  <c r="A52" i="14" s="1"/>
  <c r="A53" i="14" s="1"/>
  <c r="A54" i="14" s="1"/>
  <c r="A57" i="14" s="1"/>
  <c r="A58" i="14" s="1"/>
  <c r="A59" i="14" s="1"/>
  <c r="A60" i="14" s="1"/>
  <c r="A63" i="14" s="1"/>
  <c r="A64" i="14" s="1"/>
  <c r="A65" i="14" s="1"/>
  <c r="A66" i="14" s="1"/>
  <c r="A69" i="14" s="1"/>
  <c r="A70" i="14" s="1"/>
  <c r="A71" i="14" s="1"/>
  <c r="A72" i="14" s="1"/>
  <c r="A73" i="14" s="1"/>
  <c r="A76" i="14" s="1"/>
  <c r="A77" i="14" s="1"/>
  <c r="A78" i="14" s="1"/>
  <c r="A79" i="14" s="1"/>
  <c r="A80" i="14" s="1"/>
  <c r="A83" i="14" s="1"/>
  <c r="A84" i="14" s="1"/>
  <c r="A85" i="14" s="1"/>
  <c r="A86" i="14" s="1"/>
  <c r="A87" i="14" s="1"/>
  <c r="A88" i="14" s="1"/>
  <c r="A89" i="14" s="1"/>
  <c r="J4" i="14"/>
  <c r="K4" i="14" s="1"/>
  <c r="J3" i="14"/>
  <c r="H38" i="15"/>
  <c r="D37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Q18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W15" i="15"/>
  <c r="W18" i="15" s="1"/>
  <c r="V15" i="15"/>
  <c r="V18" i="15" s="1"/>
  <c r="U15" i="15"/>
  <c r="T15" i="15"/>
  <c r="T18" i="15" s="1"/>
  <c r="S15" i="15"/>
  <c r="R15" i="15"/>
  <c r="Q15" i="15"/>
  <c r="P15" i="15"/>
  <c r="P18" i="15" s="1"/>
  <c r="O15" i="15"/>
  <c r="N15" i="15"/>
  <c r="N18" i="15" s="1"/>
  <c r="M15" i="15"/>
  <c r="M18" i="15" s="1"/>
  <c r="L15" i="15"/>
  <c r="K15" i="15"/>
  <c r="K18" i="15" s="1"/>
  <c r="J15" i="15"/>
  <c r="J18" i="15" s="1"/>
  <c r="I15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A8" i="15"/>
  <c r="A10" i="15" s="1"/>
  <c r="A11" i="15" s="1"/>
  <c r="A13" i="15" s="1"/>
  <c r="A15" i="15" s="1"/>
  <c r="A16" i="15" s="1"/>
  <c r="A18" i="15" s="1"/>
  <c r="A19" i="15" s="1"/>
  <c r="A21" i="15" s="1"/>
  <c r="A23" i="15" s="1"/>
  <c r="A24" i="15" s="1"/>
  <c r="A25" i="15" s="1"/>
  <c r="A27" i="15" s="1"/>
  <c r="A28" i="15" s="1"/>
  <c r="A29" i="15" s="1"/>
  <c r="A31" i="15" s="1"/>
  <c r="A32" i="15" s="1"/>
  <c r="A35" i="15" s="1"/>
  <c r="A36" i="15" s="1"/>
  <c r="A37" i="15" s="1"/>
  <c r="A38" i="15" s="1"/>
  <c r="A39" i="15" s="1"/>
  <c r="A40" i="15" s="1"/>
  <c r="A43" i="15" s="1"/>
  <c r="A44" i="15" s="1"/>
  <c r="A45" i="15" s="1"/>
  <c r="A46" i="15" s="1"/>
  <c r="A47" i="15" s="1"/>
  <c r="A50" i="15" s="1"/>
  <c r="A51" i="15" s="1"/>
  <c r="A52" i="15" s="1"/>
  <c r="A53" i="15" s="1"/>
  <c r="A54" i="15" s="1"/>
  <c r="A57" i="15" s="1"/>
  <c r="A58" i="15" s="1"/>
  <c r="A59" i="15" s="1"/>
  <c r="A60" i="15" s="1"/>
  <c r="A63" i="15" s="1"/>
  <c r="A64" i="15" s="1"/>
  <c r="A65" i="15" s="1"/>
  <c r="A66" i="15" s="1"/>
  <c r="A69" i="15" s="1"/>
  <c r="A70" i="15" s="1"/>
  <c r="A71" i="15" s="1"/>
  <c r="A72" i="15" s="1"/>
  <c r="A73" i="15" s="1"/>
  <c r="A76" i="15" s="1"/>
  <c r="A77" i="15" s="1"/>
  <c r="A78" i="15" s="1"/>
  <c r="A79" i="15" s="1"/>
  <c r="A80" i="15" s="1"/>
  <c r="A83" i="15" s="1"/>
  <c r="A84" i="15" s="1"/>
  <c r="A85" i="15" s="1"/>
  <c r="A86" i="15" s="1"/>
  <c r="A87" i="15" s="1"/>
  <c r="A88" i="15" s="1"/>
  <c r="A89" i="15" s="1"/>
  <c r="J4" i="15"/>
  <c r="J23" i="15" s="1"/>
  <c r="D37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W18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W15" i="17"/>
  <c r="V15" i="17"/>
  <c r="V18" i="17" s="1"/>
  <c r="U15" i="17"/>
  <c r="U18" i="17" s="1"/>
  <c r="T15" i="17"/>
  <c r="T18" i="17" s="1"/>
  <c r="S15" i="17"/>
  <c r="S18" i="17" s="1"/>
  <c r="R15" i="17"/>
  <c r="R18" i="17" s="1"/>
  <c r="Q15" i="17"/>
  <c r="Q18" i="17" s="1"/>
  <c r="P15" i="17"/>
  <c r="O15" i="17"/>
  <c r="O18" i="17" s="1"/>
  <c r="N15" i="17"/>
  <c r="N18" i="17" s="1"/>
  <c r="N21" i="17" s="1"/>
  <c r="M15" i="17"/>
  <c r="M18" i="17" s="1"/>
  <c r="L15" i="17"/>
  <c r="L18" i="17" s="1"/>
  <c r="K15" i="17"/>
  <c r="K18" i="17" s="1"/>
  <c r="J15" i="17"/>
  <c r="I15" i="17"/>
  <c r="I18" i="17" s="1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A8" i="17"/>
  <c r="A10" i="17" s="1"/>
  <c r="A11" i="17" s="1"/>
  <c r="A13" i="17" s="1"/>
  <c r="A15" i="17" s="1"/>
  <c r="A16" i="17" s="1"/>
  <c r="A18" i="17" s="1"/>
  <c r="A19" i="17" s="1"/>
  <c r="A21" i="17" s="1"/>
  <c r="A23" i="17" s="1"/>
  <c r="A24" i="17" s="1"/>
  <c r="A25" i="17" s="1"/>
  <c r="A27" i="17" s="1"/>
  <c r="A28" i="17" s="1"/>
  <c r="A29" i="17" s="1"/>
  <c r="A31" i="17" s="1"/>
  <c r="A32" i="17" s="1"/>
  <c r="A35" i="17" s="1"/>
  <c r="A36" i="17" s="1"/>
  <c r="A37" i="17" s="1"/>
  <c r="A38" i="17" s="1"/>
  <c r="A39" i="17" s="1"/>
  <c r="A40" i="17" s="1"/>
  <c r="A43" i="17" s="1"/>
  <c r="A44" i="17" s="1"/>
  <c r="A45" i="17" s="1"/>
  <c r="A46" i="17" s="1"/>
  <c r="A47" i="17" s="1"/>
  <c r="A50" i="17" s="1"/>
  <c r="A51" i="17" s="1"/>
  <c r="A52" i="17" s="1"/>
  <c r="A53" i="17" s="1"/>
  <c r="A54" i="17" s="1"/>
  <c r="A57" i="17" s="1"/>
  <c r="A58" i="17" s="1"/>
  <c r="A59" i="17" s="1"/>
  <c r="A60" i="17" s="1"/>
  <c r="A63" i="17" s="1"/>
  <c r="A64" i="17" s="1"/>
  <c r="A65" i="17" s="1"/>
  <c r="A66" i="17" s="1"/>
  <c r="A69" i="17" s="1"/>
  <c r="A70" i="17" s="1"/>
  <c r="A71" i="17" s="1"/>
  <c r="A72" i="17" s="1"/>
  <c r="A73" i="17" s="1"/>
  <c r="A76" i="17" s="1"/>
  <c r="A77" i="17" s="1"/>
  <c r="A78" i="17" s="1"/>
  <c r="A79" i="17" s="1"/>
  <c r="A80" i="17" s="1"/>
  <c r="A83" i="17" s="1"/>
  <c r="A84" i="17" s="1"/>
  <c r="A85" i="17" s="1"/>
  <c r="A86" i="17" s="1"/>
  <c r="A87" i="17" s="1"/>
  <c r="A88" i="17" s="1"/>
  <c r="A89" i="17" s="1"/>
  <c r="J4" i="17"/>
  <c r="D37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W15" i="19"/>
  <c r="W18" i="19" s="1"/>
  <c r="V15" i="19"/>
  <c r="V18" i="19" s="1"/>
  <c r="U15" i="19"/>
  <c r="U18" i="19" s="1"/>
  <c r="T15" i="19"/>
  <c r="T18" i="19" s="1"/>
  <c r="S15" i="19"/>
  <c r="S18" i="19" s="1"/>
  <c r="R15" i="19"/>
  <c r="R18" i="19" s="1"/>
  <c r="Q15" i="19"/>
  <c r="Q18" i="19" s="1"/>
  <c r="P15" i="19"/>
  <c r="P18" i="19" s="1"/>
  <c r="O15" i="19"/>
  <c r="O18" i="19" s="1"/>
  <c r="N15" i="19"/>
  <c r="N18" i="19" s="1"/>
  <c r="M15" i="19"/>
  <c r="M18" i="19" s="1"/>
  <c r="L15" i="19"/>
  <c r="L18" i="19" s="1"/>
  <c r="K15" i="19"/>
  <c r="K18" i="19" s="1"/>
  <c r="J15" i="19"/>
  <c r="J18" i="19" s="1"/>
  <c r="I15" i="19"/>
  <c r="I18" i="19" s="1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A8" i="19"/>
  <c r="A10" i="19" s="1"/>
  <c r="A11" i="19" s="1"/>
  <c r="A13" i="19" s="1"/>
  <c r="A15" i="19" s="1"/>
  <c r="A16" i="19" s="1"/>
  <c r="A18" i="19" s="1"/>
  <c r="A19" i="19" s="1"/>
  <c r="A21" i="19" s="1"/>
  <c r="A23" i="19" s="1"/>
  <c r="A24" i="19" s="1"/>
  <c r="A25" i="19" s="1"/>
  <c r="A27" i="19" s="1"/>
  <c r="A28" i="19" s="1"/>
  <c r="A29" i="19" s="1"/>
  <c r="A31" i="19" s="1"/>
  <c r="A32" i="19" s="1"/>
  <c r="A35" i="19" s="1"/>
  <c r="A36" i="19" s="1"/>
  <c r="A37" i="19" s="1"/>
  <c r="A38" i="19" s="1"/>
  <c r="A39" i="19" s="1"/>
  <c r="A40" i="19" s="1"/>
  <c r="A43" i="19" s="1"/>
  <c r="A44" i="19" s="1"/>
  <c r="A45" i="19" s="1"/>
  <c r="A46" i="19" s="1"/>
  <c r="A47" i="19" s="1"/>
  <c r="A50" i="19" s="1"/>
  <c r="A51" i="19" s="1"/>
  <c r="A52" i="19" s="1"/>
  <c r="A53" i="19" s="1"/>
  <c r="A54" i="19" s="1"/>
  <c r="A57" i="19" s="1"/>
  <c r="A58" i="19" s="1"/>
  <c r="A59" i="19" s="1"/>
  <c r="A60" i="19" s="1"/>
  <c r="A63" i="19" s="1"/>
  <c r="A64" i="19" s="1"/>
  <c r="A65" i="19" s="1"/>
  <c r="A66" i="19" s="1"/>
  <c r="A69" i="19" s="1"/>
  <c r="A70" i="19" s="1"/>
  <c r="A71" i="19" s="1"/>
  <c r="A72" i="19" s="1"/>
  <c r="A73" i="19" s="1"/>
  <c r="A76" i="19" s="1"/>
  <c r="A77" i="19" s="1"/>
  <c r="A78" i="19" s="1"/>
  <c r="A79" i="19" s="1"/>
  <c r="A80" i="19" s="1"/>
  <c r="A83" i="19" s="1"/>
  <c r="A84" i="19" s="1"/>
  <c r="A85" i="19" s="1"/>
  <c r="A86" i="19" s="1"/>
  <c r="A87" i="19" s="1"/>
  <c r="A88" i="19" s="1"/>
  <c r="A89" i="19" s="1"/>
  <c r="J4" i="19"/>
  <c r="J23" i="19" s="1"/>
  <c r="J3" i="19"/>
  <c r="K3" i="19" s="1"/>
  <c r="L3" i="19" s="1"/>
  <c r="D37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H37" i="2" s="1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W15" i="2"/>
  <c r="W18" i="2" s="1"/>
  <c r="V15" i="2"/>
  <c r="V18" i="2" s="1"/>
  <c r="U15" i="2"/>
  <c r="U18" i="2" s="1"/>
  <c r="T15" i="2"/>
  <c r="T18" i="2" s="1"/>
  <c r="S15" i="2"/>
  <c r="S18" i="2" s="1"/>
  <c r="R15" i="2"/>
  <c r="R18" i="2" s="1"/>
  <c r="Q15" i="2"/>
  <c r="Q18" i="2" s="1"/>
  <c r="P15" i="2"/>
  <c r="P18" i="2" s="1"/>
  <c r="O15" i="2"/>
  <c r="O18" i="2" s="1"/>
  <c r="N15" i="2"/>
  <c r="N18" i="2" s="1"/>
  <c r="M15" i="2"/>
  <c r="M18" i="2" s="1"/>
  <c r="L15" i="2"/>
  <c r="L18" i="2" s="1"/>
  <c r="K15" i="2"/>
  <c r="K18" i="2" s="1"/>
  <c r="J15" i="2"/>
  <c r="J18" i="2" s="1"/>
  <c r="I15" i="2"/>
  <c r="I18" i="2" s="1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A8" i="2"/>
  <c r="A10" i="2" s="1"/>
  <c r="A11" i="2" s="1"/>
  <c r="A13" i="2" s="1"/>
  <c r="A15" i="2" s="1"/>
  <c r="A16" i="2" s="1"/>
  <c r="A18" i="2" s="1"/>
  <c r="A19" i="2" s="1"/>
  <c r="A21" i="2" s="1"/>
  <c r="A23" i="2" s="1"/>
  <c r="A24" i="2" s="1"/>
  <c r="A25" i="2" s="1"/>
  <c r="A27" i="2" s="1"/>
  <c r="A28" i="2" s="1"/>
  <c r="A29" i="2" s="1"/>
  <c r="A31" i="2" s="1"/>
  <c r="A32" i="2" s="1"/>
  <c r="A35" i="2" s="1"/>
  <c r="A36" i="2" s="1"/>
  <c r="A37" i="2" s="1"/>
  <c r="A38" i="2" s="1"/>
  <c r="A39" i="2" s="1"/>
  <c r="A40" i="2" s="1"/>
  <c r="A43" i="2" s="1"/>
  <c r="A44" i="2" s="1"/>
  <c r="A45" i="2" s="1"/>
  <c r="A46" i="2" s="1"/>
  <c r="A47" i="2" s="1"/>
  <c r="A50" i="2" s="1"/>
  <c r="A51" i="2" s="1"/>
  <c r="A52" i="2" s="1"/>
  <c r="A53" i="2" s="1"/>
  <c r="A54" i="2" s="1"/>
  <c r="A57" i="2" s="1"/>
  <c r="A58" i="2" s="1"/>
  <c r="A59" i="2" s="1"/>
  <c r="A60" i="2" s="1"/>
  <c r="A63" i="2" s="1"/>
  <c r="A64" i="2" s="1"/>
  <c r="A65" i="2" s="1"/>
  <c r="A66" i="2" s="1"/>
  <c r="A69" i="2" s="1"/>
  <c r="A70" i="2" s="1"/>
  <c r="A71" i="2" s="1"/>
  <c r="A72" i="2" s="1"/>
  <c r="A73" i="2" s="1"/>
  <c r="A76" i="2" s="1"/>
  <c r="A77" i="2" s="1"/>
  <c r="A78" i="2" s="1"/>
  <c r="A79" i="2" s="1"/>
  <c r="A80" i="2" s="1"/>
  <c r="A83" i="2" s="1"/>
  <c r="A84" i="2" s="1"/>
  <c r="A85" i="2" s="1"/>
  <c r="A86" i="2" s="1"/>
  <c r="A87" i="2" s="1"/>
  <c r="A88" i="2" s="1"/>
  <c r="A89" i="2" s="1"/>
  <c r="J4" i="2"/>
  <c r="J23" i="2" s="1"/>
  <c r="I177" i="21"/>
  <c r="I166" i="21"/>
  <c r="I163" i="21" s="1"/>
  <c r="I156" i="21"/>
  <c r="I154" i="21" s="1"/>
  <c r="I146" i="21"/>
  <c r="I144" i="21" s="1"/>
  <c r="I136" i="21"/>
  <c r="F136" i="21" s="1"/>
  <c r="F135" i="21" s="1"/>
  <c r="I135" i="21" s="1"/>
  <c r="F125" i="21"/>
  <c r="I125" i="21" s="1"/>
  <c r="D116" i="21"/>
  <c r="D115" i="21"/>
  <c r="D114" i="21"/>
  <c r="D113" i="21"/>
  <c r="D112" i="21"/>
  <c r="D111" i="21"/>
  <c r="D110" i="21"/>
  <c r="D109" i="21"/>
  <c r="D108" i="21"/>
  <c r="D107" i="21"/>
  <c r="D106" i="21"/>
  <c r="I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I82" i="21"/>
  <c r="I116" i="21" s="1"/>
  <c r="D82" i="21"/>
  <c r="I81" i="21"/>
  <c r="I115" i="21" s="1"/>
  <c r="D81" i="21"/>
  <c r="I80" i="21"/>
  <c r="D80" i="21"/>
  <c r="I79" i="21"/>
  <c r="D79" i="21"/>
  <c r="I78" i="21"/>
  <c r="D78" i="21"/>
  <c r="I77" i="21"/>
  <c r="D77" i="21"/>
  <c r="I76" i="21"/>
  <c r="I114" i="21" s="1"/>
  <c r="D76" i="21"/>
  <c r="I75" i="21"/>
  <c r="I113" i="21" s="1"/>
  <c r="D75" i="21"/>
  <c r="I74" i="21"/>
  <c r="I112" i="21" s="1"/>
  <c r="D74" i="21"/>
  <c r="I73" i="21"/>
  <c r="I111" i="21" s="1"/>
  <c r="D73" i="21"/>
  <c r="I72" i="21"/>
  <c r="I110" i="21" s="1"/>
  <c r="D72" i="21"/>
  <c r="I71" i="21"/>
  <c r="I109" i="21" s="1"/>
  <c r="D71" i="21"/>
  <c r="I70" i="21"/>
  <c r="I108" i="21" s="1"/>
  <c r="D70" i="21"/>
  <c r="I69" i="21"/>
  <c r="I107" i="21" s="1"/>
  <c r="D69" i="21"/>
  <c r="I68" i="21"/>
  <c r="I106" i="21" s="1"/>
  <c r="D68" i="21"/>
  <c r="I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I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I29" i="21"/>
  <c r="I30" i="21" s="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A8" i="21"/>
  <c r="A9" i="21" s="1"/>
  <c r="A10" i="21" s="1"/>
  <c r="A11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3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9" i="21" s="1"/>
  <c r="A120" i="21" s="1"/>
  <c r="A122" i="21" s="1"/>
  <c r="A123" i="21" s="1"/>
  <c r="A124" i="21" s="1"/>
  <c r="A125" i="21" s="1"/>
  <c r="A126" i="21" s="1"/>
  <c r="A129" i="21" s="1"/>
  <c r="A130" i="21" s="1"/>
  <c r="A132" i="21" s="1"/>
  <c r="A133" i="21" s="1"/>
  <c r="A134" i="21" s="1"/>
  <c r="A135" i="21" s="1"/>
  <c r="A136" i="21" s="1"/>
  <c r="A139" i="21" s="1"/>
  <c r="A140" i="21" s="1"/>
  <c r="A142" i="21" s="1"/>
  <c r="A143" i="21" s="1"/>
  <c r="A144" i="21" s="1"/>
  <c r="A145" i="21" s="1"/>
  <c r="A146" i="21" s="1"/>
  <c r="A149" i="21" s="1"/>
  <c r="A150" i="21" s="1"/>
  <c r="A152" i="21" s="1"/>
  <c r="A153" i="21" s="1"/>
  <c r="A154" i="21" s="1"/>
  <c r="A155" i="21" s="1"/>
  <c r="A156" i="21" s="1"/>
  <c r="A159" i="21" s="1"/>
  <c r="A160" i="21" s="1"/>
  <c r="A162" i="21" s="1"/>
  <c r="A163" i="21" s="1"/>
  <c r="A164" i="21" s="1"/>
  <c r="A165" i="21" s="1"/>
  <c r="A166" i="21" s="1"/>
  <c r="A169" i="21" s="1"/>
  <c r="A170" i="21" s="1"/>
  <c r="A172" i="21" s="1"/>
  <c r="A173" i="21" s="1"/>
  <c r="A174" i="21" s="1"/>
  <c r="A175" i="21" s="1"/>
  <c r="A176" i="21" s="1"/>
  <c r="A177" i="21" s="1"/>
  <c r="A178" i="21" s="1"/>
  <c r="A181" i="21" s="1"/>
  <c r="A182" i="21" s="1"/>
  <c r="A183" i="21" s="1"/>
  <c r="A184" i="21" s="1"/>
  <c r="A185" i="21" s="1"/>
  <c r="A186" i="21" s="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J4" i="21"/>
  <c r="K4" i="21" s="1"/>
  <c r="L4" i="21" s="1"/>
  <c r="M4" i="21" s="1"/>
  <c r="N4" i="21" s="1"/>
  <c r="O4" i="21" s="1"/>
  <c r="P4" i="21" s="1"/>
  <c r="Q4" i="21" s="1"/>
  <c r="R4" i="21" s="1"/>
  <c r="S4" i="21" s="1"/>
  <c r="T4" i="21" s="1"/>
  <c r="U4" i="21" s="1"/>
  <c r="V4" i="21" s="1"/>
  <c r="W4" i="21" s="1"/>
  <c r="I3" i="21"/>
  <c r="D78" i="5"/>
  <c r="I77" i="5"/>
  <c r="I76" i="5"/>
  <c r="I75" i="5"/>
  <c r="I74" i="5"/>
  <c r="I73" i="5"/>
  <c r="I72" i="5"/>
  <c r="D65" i="5"/>
  <c r="D61" i="5"/>
  <c r="D53" i="5"/>
  <c r="D50" i="5"/>
  <c r="D48" i="5"/>
  <c r="D44" i="5"/>
  <c r="D31" i="5"/>
  <c r="D19" i="5"/>
  <c r="D43" i="5" s="1"/>
  <c r="D18" i="5"/>
  <c r="D42" i="5" s="1"/>
  <c r="D17" i="5"/>
  <c r="D16" i="5"/>
  <c r="D74" i="5" s="1"/>
  <c r="D15" i="5"/>
  <c r="D39" i="5" s="1"/>
  <c r="D14" i="5"/>
  <c r="D13" i="5"/>
  <c r="D71" i="5" s="1"/>
  <c r="D70" i="5"/>
  <c r="D11" i="5"/>
  <c r="D10" i="5"/>
  <c r="D68" i="5" s="1"/>
  <c r="D67" i="5"/>
  <c r="D8" i="5"/>
  <c r="D49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3" i="5" s="1"/>
  <c r="A24" i="5" s="1"/>
  <c r="A26" i="5" s="1"/>
  <c r="A27" i="5" s="1"/>
  <c r="A28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J4" i="5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W21" i="17" l="1"/>
  <c r="W21" i="15"/>
  <c r="P21" i="14"/>
  <c r="J18" i="9"/>
  <c r="J21" i="9" s="1"/>
  <c r="U18" i="13"/>
  <c r="U21" i="13" s="1"/>
  <c r="W21" i="11"/>
  <c r="P21" i="12"/>
  <c r="R21" i="14"/>
  <c r="L21" i="18"/>
  <c r="S21" i="2"/>
  <c r="J23" i="14"/>
  <c r="M21" i="13"/>
  <c r="Q21" i="18"/>
  <c r="V21" i="11"/>
  <c r="I139" i="21"/>
  <c r="I143" i="21"/>
  <c r="J3" i="21"/>
  <c r="I3" i="9"/>
  <c r="I38" i="9" s="1"/>
  <c r="I44" i="9" s="1"/>
  <c r="I51" i="9" s="1"/>
  <c r="I45" i="9" s="1"/>
  <c r="I52" i="9" s="1"/>
  <c r="I3" i="18"/>
  <c r="I3" i="15"/>
  <c r="I38" i="15" s="1"/>
  <c r="I58" i="15" s="1"/>
  <c r="I3" i="13"/>
  <c r="I3" i="2"/>
  <c r="K4" i="2"/>
  <c r="R21" i="20"/>
  <c r="I164" i="21"/>
  <c r="I162" i="21"/>
  <c r="Q21" i="19"/>
  <c r="S18" i="15"/>
  <c r="S21" i="15" s="1"/>
  <c r="K21" i="10"/>
  <c r="W21" i="10"/>
  <c r="K4" i="18"/>
  <c r="K23" i="18" s="1"/>
  <c r="T21" i="18"/>
  <c r="K18" i="18"/>
  <c r="K21" i="18" s="1"/>
  <c r="H65" i="14"/>
  <c r="U18" i="14"/>
  <c r="U21" i="14" s="1"/>
  <c r="J23" i="10"/>
  <c r="K4" i="10"/>
  <c r="L4" i="10" s="1"/>
  <c r="M4" i="10" s="1"/>
  <c r="D77" i="5"/>
  <c r="J21" i="15"/>
  <c r="H58" i="14"/>
  <c r="H44" i="14"/>
  <c r="H51" i="14" s="1"/>
  <c r="H45" i="14" s="1"/>
  <c r="H52" i="14" s="1"/>
  <c r="H53" i="14" s="1"/>
  <c r="S18" i="9"/>
  <c r="S21" i="9" s="1"/>
  <c r="W21" i="9"/>
  <c r="K4" i="11"/>
  <c r="K23" i="11" s="1"/>
  <c r="J21" i="11"/>
  <c r="O21" i="20"/>
  <c r="D51" i="5"/>
  <c r="J101" i="21"/>
  <c r="J23" i="5" s="1"/>
  <c r="I159" i="21"/>
  <c r="J21" i="2"/>
  <c r="V21" i="2"/>
  <c r="N21" i="19"/>
  <c r="T21" i="17"/>
  <c r="L21" i="14"/>
  <c r="M21" i="14"/>
  <c r="M21" i="9"/>
  <c r="P18" i="11"/>
  <c r="P21" i="11" s="1"/>
  <c r="S21" i="12"/>
  <c r="P21" i="2"/>
  <c r="K21" i="19"/>
  <c r="W21" i="19"/>
  <c r="O21" i="14"/>
  <c r="Q21" i="10"/>
  <c r="L21" i="10"/>
  <c r="N21" i="18"/>
  <c r="J47" i="21"/>
  <c r="K47" i="21" s="1"/>
  <c r="L47" i="21" s="1"/>
  <c r="M47" i="21" s="1"/>
  <c r="N47" i="21" s="1"/>
  <c r="O47" i="21" s="1"/>
  <c r="P47" i="21" s="1"/>
  <c r="Q47" i="21" s="1"/>
  <c r="R47" i="21" s="1"/>
  <c r="S47" i="21" s="1"/>
  <c r="T47" i="21" s="1"/>
  <c r="U47" i="21" s="1"/>
  <c r="V47" i="21" s="1"/>
  <c r="W47" i="21" s="1"/>
  <c r="J65" i="21"/>
  <c r="K65" i="21" s="1"/>
  <c r="L65" i="21" s="1"/>
  <c r="M65" i="21" s="1"/>
  <c r="N65" i="21" s="1"/>
  <c r="O65" i="21" s="1"/>
  <c r="P65" i="21" s="1"/>
  <c r="Q65" i="21" s="1"/>
  <c r="R65" i="21" s="1"/>
  <c r="S65" i="21" s="1"/>
  <c r="T65" i="21" s="1"/>
  <c r="U65" i="21" s="1"/>
  <c r="V65" i="21" s="1"/>
  <c r="W65" i="21" s="1"/>
  <c r="M21" i="2"/>
  <c r="T21" i="19"/>
  <c r="K21" i="17"/>
  <c r="V21" i="14"/>
  <c r="P21" i="13"/>
  <c r="N21" i="10"/>
  <c r="K4" i="12"/>
  <c r="L4" i="12" s="1"/>
  <c r="J21" i="12"/>
  <c r="V21" i="12"/>
  <c r="L3" i="5"/>
  <c r="K3" i="10"/>
  <c r="D40" i="5"/>
  <c r="H38" i="2"/>
  <c r="H39" i="2" s="1"/>
  <c r="I21" i="19"/>
  <c r="L21" i="19"/>
  <c r="O21" i="19"/>
  <c r="R21" i="19"/>
  <c r="U21" i="19"/>
  <c r="D32" i="5"/>
  <c r="K21" i="2"/>
  <c r="N21" i="2"/>
  <c r="Q21" i="2"/>
  <c r="T21" i="2"/>
  <c r="W21" i="2"/>
  <c r="R21" i="17"/>
  <c r="H37" i="17"/>
  <c r="I18" i="15"/>
  <c r="I21" i="15" s="1"/>
  <c r="L18" i="15"/>
  <c r="L21" i="15" s="1"/>
  <c r="O18" i="15"/>
  <c r="O21" i="15" s="1"/>
  <c r="R18" i="15"/>
  <c r="R21" i="15" s="1"/>
  <c r="U18" i="15"/>
  <c r="U21" i="15" s="1"/>
  <c r="K21" i="15"/>
  <c r="T21" i="15"/>
  <c r="K4" i="13"/>
  <c r="J23" i="13"/>
  <c r="K18" i="11"/>
  <c r="K21" i="11" s="1"/>
  <c r="N18" i="11"/>
  <c r="N21" i="11" s="1"/>
  <c r="Q18" i="11"/>
  <c r="Q21" i="11" s="1"/>
  <c r="T18" i="11"/>
  <c r="T21" i="11" s="1"/>
  <c r="D34" i="5"/>
  <c r="D52" i="5"/>
  <c r="D57" i="5"/>
  <c r="D60" i="5"/>
  <c r="I176" i="21"/>
  <c r="I142" i="21"/>
  <c r="I160" i="21"/>
  <c r="I21" i="2"/>
  <c r="L21" i="2"/>
  <c r="O21" i="2"/>
  <c r="R21" i="2"/>
  <c r="U21" i="2"/>
  <c r="M3" i="19"/>
  <c r="K4" i="19"/>
  <c r="J21" i="19"/>
  <c r="M21" i="19"/>
  <c r="P21" i="19"/>
  <c r="S21" i="19"/>
  <c r="V21" i="19"/>
  <c r="J23" i="17"/>
  <c r="K4" i="17"/>
  <c r="J18" i="17"/>
  <c r="J21" i="17" s="1"/>
  <c r="O21" i="17"/>
  <c r="H38" i="17"/>
  <c r="M21" i="15"/>
  <c r="P21" i="15"/>
  <c r="V21" i="15"/>
  <c r="N21" i="15"/>
  <c r="H64" i="15"/>
  <c r="H65" i="15" s="1"/>
  <c r="H58" i="15"/>
  <c r="H44" i="15"/>
  <c r="H51" i="15" s="1"/>
  <c r="K23" i="14"/>
  <c r="L4" i="14"/>
  <c r="K18" i="9"/>
  <c r="K21" i="9" s="1"/>
  <c r="N18" i="9"/>
  <c r="N21" i="9" s="1"/>
  <c r="Q21" i="9"/>
  <c r="I21" i="13"/>
  <c r="L21" i="13"/>
  <c r="O21" i="13"/>
  <c r="R21" i="13"/>
  <c r="D35" i="5"/>
  <c r="D55" i="5"/>
  <c r="D58" i="5"/>
  <c r="H37" i="19"/>
  <c r="M21" i="17"/>
  <c r="S21" i="17"/>
  <c r="V21" i="17"/>
  <c r="I21" i="17"/>
  <c r="D33" i="5"/>
  <c r="D36" i="5"/>
  <c r="D38" i="5"/>
  <c r="D41" i="5"/>
  <c r="D56" i="5"/>
  <c r="D59" i="5"/>
  <c r="D66" i="5"/>
  <c r="D69" i="5"/>
  <c r="D72" i="5"/>
  <c r="D73" i="5"/>
  <c r="D75" i="5"/>
  <c r="D76" i="5"/>
  <c r="I140" i="21"/>
  <c r="J177" i="21"/>
  <c r="K177" i="21" s="1"/>
  <c r="L177" i="21" s="1"/>
  <c r="M177" i="21" s="1"/>
  <c r="N177" i="21" s="1"/>
  <c r="O177" i="21" s="1"/>
  <c r="P177" i="21" s="1"/>
  <c r="Q177" i="21" s="1"/>
  <c r="R177" i="21" s="1"/>
  <c r="S177" i="21" s="1"/>
  <c r="T177" i="21" s="1"/>
  <c r="U177" i="21" s="1"/>
  <c r="V177" i="21" s="1"/>
  <c r="W177" i="21" s="1"/>
  <c r="P18" i="17"/>
  <c r="P21" i="17" s="1"/>
  <c r="L21" i="17"/>
  <c r="Q21" i="17"/>
  <c r="U21" i="17"/>
  <c r="Q21" i="15"/>
  <c r="K21" i="14"/>
  <c r="N18" i="14"/>
  <c r="N21" i="14" s="1"/>
  <c r="Q18" i="14"/>
  <c r="Q21" i="14" s="1"/>
  <c r="W18" i="14"/>
  <c r="W21" i="14" s="1"/>
  <c r="T18" i="14"/>
  <c r="T21" i="14" s="1"/>
  <c r="H37" i="14"/>
  <c r="H39" i="14" s="1"/>
  <c r="L4" i="9"/>
  <c r="K23" i="9"/>
  <c r="H37" i="13"/>
  <c r="H38" i="13" s="1"/>
  <c r="J18" i="20"/>
  <c r="J21" i="20" s="1"/>
  <c r="M18" i="20"/>
  <c r="M21" i="20" s="1"/>
  <c r="P18" i="20"/>
  <c r="P21" i="20"/>
  <c r="S18" i="20"/>
  <c r="S21" i="20" s="1"/>
  <c r="V18" i="20"/>
  <c r="V21" i="20" s="1"/>
  <c r="H37" i="15"/>
  <c r="H39" i="15" s="1"/>
  <c r="K3" i="14"/>
  <c r="I21" i="14"/>
  <c r="I44" i="14"/>
  <c r="O18" i="9"/>
  <c r="O21" i="9" s="1"/>
  <c r="U21" i="9"/>
  <c r="L18" i="9"/>
  <c r="L21" i="9" s="1"/>
  <c r="R18" i="9"/>
  <c r="R21" i="9" s="1"/>
  <c r="I18" i="10"/>
  <c r="I21" i="10" s="1"/>
  <c r="I37" i="10" s="1"/>
  <c r="O18" i="10"/>
  <c r="O21" i="10" s="1"/>
  <c r="R18" i="10"/>
  <c r="R21" i="10" s="1"/>
  <c r="T21" i="10"/>
  <c r="K4" i="15"/>
  <c r="J21" i="14"/>
  <c r="S21" i="14"/>
  <c r="J38" i="14"/>
  <c r="I58" i="14"/>
  <c r="I18" i="9"/>
  <c r="I21" i="9" s="1"/>
  <c r="I37" i="9" s="1"/>
  <c r="N18" i="13"/>
  <c r="N21" i="13" s="1"/>
  <c r="T21" i="13"/>
  <c r="W18" i="13"/>
  <c r="W21" i="13" s="1"/>
  <c r="K18" i="13"/>
  <c r="K21" i="13" s="1"/>
  <c r="Q18" i="13"/>
  <c r="Q21" i="13" s="1"/>
  <c r="U21" i="10"/>
  <c r="L4" i="18"/>
  <c r="P21" i="10"/>
  <c r="M18" i="10"/>
  <c r="M21" i="10" s="1"/>
  <c r="V18" i="10"/>
  <c r="V21" i="10" s="1"/>
  <c r="K18" i="12"/>
  <c r="K21" i="12" s="1"/>
  <c r="N18" i="12"/>
  <c r="N21" i="12" s="1"/>
  <c r="Q18" i="12"/>
  <c r="Q21" i="12" s="1"/>
  <c r="T18" i="12"/>
  <c r="T21" i="12"/>
  <c r="W18" i="12"/>
  <c r="W21" i="12" s="1"/>
  <c r="P21" i="9"/>
  <c r="T21" i="9"/>
  <c r="J21" i="13"/>
  <c r="S21" i="13"/>
  <c r="J18" i="10"/>
  <c r="J21" i="10" s="1"/>
  <c r="S18" i="10"/>
  <c r="S21" i="10" s="1"/>
  <c r="I18" i="18"/>
  <c r="I21" i="18" s="1"/>
  <c r="R18" i="18"/>
  <c r="R21" i="18" s="1"/>
  <c r="W21" i="18"/>
  <c r="O21" i="18"/>
  <c r="U21" i="18"/>
  <c r="L4" i="11"/>
  <c r="S21" i="11"/>
  <c r="K3" i="12"/>
  <c r="K3" i="11"/>
  <c r="M21" i="11"/>
  <c r="K23" i="12"/>
  <c r="M21" i="12"/>
  <c r="M3" i="20"/>
  <c r="N4" i="20"/>
  <c r="J21" i="18"/>
  <c r="P21" i="18"/>
  <c r="S21" i="18"/>
  <c r="M18" i="18"/>
  <c r="M21" i="18" s="1"/>
  <c r="V18" i="18"/>
  <c r="V21" i="18" s="1"/>
  <c r="I21" i="11"/>
  <c r="I37" i="11" s="1"/>
  <c r="O21" i="11"/>
  <c r="R21" i="11"/>
  <c r="U21" i="11"/>
  <c r="L18" i="11"/>
  <c r="L21" i="11" s="1"/>
  <c r="U18" i="11"/>
  <c r="I21" i="12"/>
  <c r="I37" i="12" s="1"/>
  <c r="I38" i="12" s="1"/>
  <c r="O21" i="12"/>
  <c r="R21" i="12"/>
  <c r="L18" i="12"/>
  <c r="L21" i="12" s="1"/>
  <c r="U18" i="12"/>
  <c r="U21" i="12" s="1"/>
  <c r="L21" i="20"/>
  <c r="U21" i="20"/>
  <c r="I21" i="20"/>
  <c r="I37" i="20" s="1"/>
  <c r="N21" i="20"/>
  <c r="Q21" i="20"/>
  <c r="W21" i="20"/>
  <c r="K18" i="20"/>
  <c r="K21" i="20" s="1"/>
  <c r="T18" i="20"/>
  <c r="T21" i="20" s="1"/>
  <c r="J23" i="20"/>
  <c r="I165" i="21"/>
  <c r="I145" i="21"/>
  <c r="I174" i="21"/>
  <c r="I23" i="5"/>
  <c r="I150" i="21"/>
  <c r="I153" i="21"/>
  <c r="I173" i="21" s="1"/>
  <c r="I83" i="21"/>
  <c r="I155" i="21"/>
  <c r="I149" i="21"/>
  <c r="I152" i="21"/>
  <c r="D37" i="5"/>
  <c r="D54" i="5"/>
  <c r="I39" i="9" l="1"/>
  <c r="J35" i="9" s="1"/>
  <c r="I58" i="9"/>
  <c r="I59" i="9" s="1"/>
  <c r="I64" i="9"/>
  <c r="I65" i="9" s="1"/>
  <c r="I71" i="9" s="1"/>
  <c r="I64" i="15"/>
  <c r="K101" i="21"/>
  <c r="I37" i="18"/>
  <c r="I59" i="14"/>
  <c r="H39" i="17"/>
  <c r="I44" i="15"/>
  <c r="H71" i="14"/>
  <c r="H66" i="14"/>
  <c r="I63" i="14" s="1"/>
  <c r="H59" i="14"/>
  <c r="K23" i="2"/>
  <c r="L4" i="2"/>
  <c r="K23" i="10"/>
  <c r="L23" i="10" s="1"/>
  <c r="K3" i="21"/>
  <c r="J3" i="9"/>
  <c r="J3" i="18"/>
  <c r="J3" i="15"/>
  <c r="J38" i="15" s="1"/>
  <c r="J3" i="13"/>
  <c r="J3" i="2"/>
  <c r="M3" i="5"/>
  <c r="L3" i="10"/>
  <c r="I38" i="20"/>
  <c r="I39" i="20"/>
  <c r="H44" i="13"/>
  <c r="H64" i="13"/>
  <c r="H58" i="13"/>
  <c r="H39" i="13"/>
  <c r="I44" i="12"/>
  <c r="I64" i="12"/>
  <c r="I58" i="12"/>
  <c r="I35" i="14"/>
  <c r="H40" i="14"/>
  <c r="H78" i="14" s="1"/>
  <c r="I38" i="18"/>
  <c r="I38" i="10"/>
  <c r="I39" i="10" s="1"/>
  <c r="I37" i="14"/>
  <c r="H40" i="15"/>
  <c r="H78" i="15" s="1"/>
  <c r="I35" i="15"/>
  <c r="I50" i="14"/>
  <c r="H54" i="14"/>
  <c r="H77" i="14" s="1"/>
  <c r="L23" i="12"/>
  <c r="M4" i="12"/>
  <c r="K23" i="19"/>
  <c r="L4" i="19"/>
  <c r="M23" i="10"/>
  <c r="N4" i="10"/>
  <c r="H40" i="17"/>
  <c r="H78" i="17" s="1"/>
  <c r="I35" i="17"/>
  <c r="I37" i="17" s="1"/>
  <c r="I35" i="2"/>
  <c r="H40" i="2"/>
  <c r="H78" i="2" s="1"/>
  <c r="H38" i="19"/>
  <c r="J175" i="21"/>
  <c r="F174" i="21"/>
  <c r="K23" i="20"/>
  <c r="L23" i="20" s="1"/>
  <c r="N3" i="20"/>
  <c r="I38" i="11"/>
  <c r="I39" i="11" s="1"/>
  <c r="M4" i="18"/>
  <c r="L23" i="18"/>
  <c r="I46" i="9"/>
  <c r="K38" i="14"/>
  <c r="L3" i="14"/>
  <c r="L23" i="9"/>
  <c r="M4" i="9"/>
  <c r="L23" i="14"/>
  <c r="M4" i="14"/>
  <c r="H66" i="15"/>
  <c r="I63" i="15" s="1"/>
  <c r="N3" i="19"/>
  <c r="J58" i="14"/>
  <c r="J59" i="14" s="1"/>
  <c r="J44" i="14"/>
  <c r="J64" i="14"/>
  <c r="K23" i="15"/>
  <c r="L4" i="15"/>
  <c r="H59" i="15"/>
  <c r="H60" i="15" s="1"/>
  <c r="I57" i="15" s="1"/>
  <c r="I39" i="12"/>
  <c r="O4" i="20"/>
  <c r="L3" i="11"/>
  <c r="L3" i="12"/>
  <c r="L23" i="11"/>
  <c r="M4" i="11"/>
  <c r="I65" i="14"/>
  <c r="I59" i="15"/>
  <c r="H71" i="15"/>
  <c r="I53" i="9"/>
  <c r="I83" i="9"/>
  <c r="H46" i="14"/>
  <c r="H45" i="15"/>
  <c r="H52" i="15" s="1"/>
  <c r="H53" i="15" s="1"/>
  <c r="H64" i="17"/>
  <c r="H58" i="17"/>
  <c r="H44" i="17"/>
  <c r="K23" i="17"/>
  <c r="L4" i="17"/>
  <c r="K23" i="13"/>
  <c r="L4" i="13"/>
  <c r="H64" i="2"/>
  <c r="H58" i="2"/>
  <c r="H44" i="2"/>
  <c r="I169" i="21"/>
  <c r="I31" i="5" s="1"/>
  <c r="K23" i="5"/>
  <c r="K24" i="5" s="1"/>
  <c r="L101" i="21"/>
  <c r="J24" i="5"/>
  <c r="I172" i="21"/>
  <c r="I103" i="21"/>
  <c r="I7" i="5"/>
  <c r="I70" i="9" l="1"/>
  <c r="I72" i="9" s="1"/>
  <c r="J69" i="9" s="1"/>
  <c r="I40" i="9"/>
  <c r="I78" i="9" s="1"/>
  <c r="I66" i="9"/>
  <c r="J63" i="9" s="1"/>
  <c r="I60" i="9"/>
  <c r="J57" i="9" s="1"/>
  <c r="I39" i="18"/>
  <c r="J35" i="18" s="1"/>
  <c r="H70" i="14"/>
  <c r="H72" i="14" s="1"/>
  <c r="I66" i="14"/>
  <c r="J63" i="14" s="1"/>
  <c r="F172" i="21"/>
  <c r="F173" i="21"/>
  <c r="J169" i="21"/>
  <c r="J31" i="5" s="1"/>
  <c r="J64" i="15"/>
  <c r="J44" i="15"/>
  <c r="J58" i="15"/>
  <c r="J59" i="15" s="1"/>
  <c r="H73" i="14"/>
  <c r="H79" i="14" s="1"/>
  <c r="I69" i="14"/>
  <c r="L23" i="2"/>
  <c r="M4" i="2"/>
  <c r="I48" i="5"/>
  <c r="M23" i="20"/>
  <c r="L3" i="21"/>
  <c r="K3" i="15"/>
  <c r="K3" i="13"/>
  <c r="K3" i="2"/>
  <c r="K3" i="9"/>
  <c r="K3" i="18"/>
  <c r="H60" i="14"/>
  <c r="I57" i="14" s="1"/>
  <c r="I60" i="14" s="1"/>
  <c r="J57" i="14" s="1"/>
  <c r="N3" i="5"/>
  <c r="M3" i="10"/>
  <c r="I60" i="15"/>
  <c r="J57" i="15" s="1"/>
  <c r="H54" i="15"/>
  <c r="H77" i="15" s="1"/>
  <c r="I50" i="15"/>
  <c r="H59" i="2"/>
  <c r="L23" i="17"/>
  <c r="M4" i="17"/>
  <c r="H59" i="17"/>
  <c r="M3" i="12"/>
  <c r="M3" i="11"/>
  <c r="P4" i="20"/>
  <c r="L23" i="15"/>
  <c r="M4" i="15"/>
  <c r="I65" i="15"/>
  <c r="K44" i="14"/>
  <c r="K64" i="14"/>
  <c r="K58" i="14"/>
  <c r="K59" i="14" s="1"/>
  <c r="J35" i="11"/>
  <c r="I40" i="11"/>
  <c r="I78" i="11" s="1"/>
  <c r="N23" i="10"/>
  <c r="O4" i="10"/>
  <c r="M4" i="19"/>
  <c r="L23" i="19"/>
  <c r="J37" i="9"/>
  <c r="I40" i="10"/>
  <c r="I78" i="10" s="1"/>
  <c r="J35" i="10"/>
  <c r="I51" i="12"/>
  <c r="I45" i="12" s="1"/>
  <c r="I35" i="13"/>
  <c r="H40" i="13"/>
  <c r="H78" i="13" s="1"/>
  <c r="H51" i="13"/>
  <c r="I65" i="5"/>
  <c r="H65" i="2"/>
  <c r="H66" i="2" s="1"/>
  <c r="I63" i="2" s="1"/>
  <c r="H65" i="17"/>
  <c r="H46" i="15"/>
  <c r="I54" i="9"/>
  <c r="I77" i="9" s="1"/>
  <c r="J50" i="9"/>
  <c r="M23" i="11"/>
  <c r="N4" i="11"/>
  <c r="N23" i="20"/>
  <c r="O23" i="20" s="1"/>
  <c r="M23" i="14"/>
  <c r="N4" i="14"/>
  <c r="M3" i="14"/>
  <c r="M23" i="18"/>
  <c r="N4" i="18"/>
  <c r="O3" i="20"/>
  <c r="H64" i="19"/>
  <c r="H58" i="19"/>
  <c r="H44" i="19"/>
  <c r="I38" i="17"/>
  <c r="I39" i="17" s="1"/>
  <c r="J35" i="17" s="1"/>
  <c r="J65" i="14"/>
  <c r="I58" i="18"/>
  <c r="I64" i="18"/>
  <c r="I44" i="18"/>
  <c r="H39" i="19"/>
  <c r="I39" i="14"/>
  <c r="J35" i="14" s="1"/>
  <c r="I59" i="12"/>
  <c r="H59" i="13"/>
  <c r="H60" i="13" s="1"/>
  <c r="I57" i="13" s="1"/>
  <c r="I40" i="20"/>
  <c r="I78" i="20" s="1"/>
  <c r="J35" i="20"/>
  <c r="H51" i="2"/>
  <c r="M4" i="13"/>
  <c r="L23" i="13"/>
  <c r="H45" i="17"/>
  <c r="H52" i="17" s="1"/>
  <c r="H51" i="17"/>
  <c r="I43" i="14"/>
  <c r="H47" i="14"/>
  <c r="H76" i="14" s="1"/>
  <c r="H80" i="14" s="1"/>
  <c r="J35" i="12"/>
  <c r="I40" i="12"/>
  <c r="I78" i="12" s="1"/>
  <c r="H70" i="15"/>
  <c r="H72" i="15" s="1"/>
  <c r="J60" i="14"/>
  <c r="K57" i="14" s="1"/>
  <c r="K60" i="14" s="1"/>
  <c r="L57" i="14" s="1"/>
  <c r="O3" i="19"/>
  <c r="M23" i="9"/>
  <c r="N4" i="9"/>
  <c r="I47" i="9"/>
  <c r="J43" i="9"/>
  <c r="I44" i="11"/>
  <c r="I64" i="11"/>
  <c r="I58" i="11"/>
  <c r="I37" i="2"/>
  <c r="N4" i="12"/>
  <c r="M23" i="12"/>
  <c r="I37" i="15"/>
  <c r="I39" i="15" s="1"/>
  <c r="I64" i="10"/>
  <c r="I58" i="10"/>
  <c r="I44" i="10"/>
  <c r="I65" i="12"/>
  <c r="I66" i="12" s="1"/>
  <c r="J63" i="12" s="1"/>
  <c r="H65" i="13"/>
  <c r="I58" i="20"/>
  <c r="I44" i="20"/>
  <c r="I64" i="20"/>
  <c r="M101" i="21"/>
  <c r="L23" i="5"/>
  <c r="L24" i="5" s="1"/>
  <c r="K175" i="21"/>
  <c r="J65" i="5"/>
  <c r="I73" i="9" l="1"/>
  <c r="I79" i="9" s="1"/>
  <c r="I40" i="18"/>
  <c r="I78" i="18" s="1"/>
  <c r="J38" i="9"/>
  <c r="I40" i="14"/>
  <c r="I78" i="14" s="1"/>
  <c r="K169" i="21"/>
  <c r="K172" i="21" s="1"/>
  <c r="J172" i="21"/>
  <c r="I52" i="12"/>
  <c r="I46" i="12"/>
  <c r="M3" i="21"/>
  <c r="L3" i="18"/>
  <c r="L3" i="15"/>
  <c r="L3" i="13"/>
  <c r="L3" i="2"/>
  <c r="L3" i="9"/>
  <c r="I71" i="12"/>
  <c r="I70" i="12" s="1"/>
  <c r="I72" i="12" s="1"/>
  <c r="N4" i="2"/>
  <c r="M23" i="2"/>
  <c r="O3" i="5"/>
  <c r="N3" i="10"/>
  <c r="H71" i="13"/>
  <c r="H70" i="13" s="1"/>
  <c r="H72" i="13" s="1"/>
  <c r="H71" i="17"/>
  <c r="H70" i="17" s="1"/>
  <c r="H72" i="17" s="1"/>
  <c r="I40" i="17"/>
  <c r="I78" i="17" s="1"/>
  <c r="J35" i="15"/>
  <c r="I40" i="15"/>
  <c r="I78" i="15" s="1"/>
  <c r="I65" i="20"/>
  <c r="I65" i="10"/>
  <c r="I66" i="10" s="1"/>
  <c r="J63" i="10" s="1"/>
  <c r="I51" i="11"/>
  <c r="I45" i="11" s="1"/>
  <c r="I52" i="11" s="1"/>
  <c r="O4" i="9"/>
  <c r="N23" i="9"/>
  <c r="M23" i="13"/>
  <c r="N4" i="13"/>
  <c r="I35" i="19"/>
  <c r="H40" i="19"/>
  <c r="H78" i="19" s="1"/>
  <c r="I65" i="18"/>
  <c r="I66" i="18" s="1"/>
  <c r="J63" i="18" s="1"/>
  <c r="H65" i="19"/>
  <c r="H66" i="19" s="1"/>
  <c r="I63" i="19" s="1"/>
  <c r="O4" i="11"/>
  <c r="N23" i="11"/>
  <c r="I47" i="12"/>
  <c r="J43" i="12"/>
  <c r="J37" i="18"/>
  <c r="J38" i="18" s="1"/>
  <c r="P4" i="10"/>
  <c r="O23" i="10"/>
  <c r="I38" i="2"/>
  <c r="I39" i="2" s="1"/>
  <c r="J37" i="11"/>
  <c r="M23" i="15"/>
  <c r="N4" i="15"/>
  <c r="Q4" i="20"/>
  <c r="P23" i="20"/>
  <c r="N3" i="11"/>
  <c r="N3" i="12"/>
  <c r="I51" i="20"/>
  <c r="H66" i="13"/>
  <c r="I63" i="13" s="1"/>
  <c r="I51" i="10"/>
  <c r="I45" i="10" s="1"/>
  <c r="I52" i="10" s="1"/>
  <c r="I59" i="11"/>
  <c r="I60" i="11"/>
  <c r="J57" i="11" s="1"/>
  <c r="J37" i="12"/>
  <c r="J38" i="12" s="1"/>
  <c r="I51" i="14"/>
  <c r="I45" i="14" s="1"/>
  <c r="I52" i="14" s="1"/>
  <c r="H46" i="17"/>
  <c r="J37" i="20"/>
  <c r="J38" i="20" s="1"/>
  <c r="I59" i="18"/>
  <c r="I60" i="18" s="1"/>
  <c r="J57" i="18" s="1"/>
  <c r="J37" i="17"/>
  <c r="J38" i="17" s="1"/>
  <c r="H51" i="19"/>
  <c r="H45" i="19" s="1"/>
  <c r="P3" i="20"/>
  <c r="N23" i="18"/>
  <c r="O4" i="18"/>
  <c r="N3" i="14"/>
  <c r="N23" i="14"/>
  <c r="O4" i="14"/>
  <c r="H66" i="17"/>
  <c r="I63" i="17" s="1"/>
  <c r="I37" i="13"/>
  <c r="J37" i="10"/>
  <c r="J38" i="10" s="1"/>
  <c r="H60" i="17"/>
  <c r="I57" i="17" s="1"/>
  <c r="I59" i="20"/>
  <c r="I59" i="10"/>
  <c r="I60" i="10" s="1"/>
  <c r="J57" i="10" s="1"/>
  <c r="O4" i="12"/>
  <c r="N23" i="12"/>
  <c r="I65" i="11"/>
  <c r="I71" i="11" s="1"/>
  <c r="I76" i="9"/>
  <c r="I38" i="5"/>
  <c r="P3" i="19"/>
  <c r="I69" i="15"/>
  <c r="H73" i="15"/>
  <c r="H79" i="15" s="1"/>
  <c r="H53" i="17"/>
  <c r="H45" i="2"/>
  <c r="I60" i="12"/>
  <c r="J57" i="12" s="1"/>
  <c r="J37" i="14"/>
  <c r="J39" i="14" s="1"/>
  <c r="I51" i="18"/>
  <c r="I45" i="18" s="1"/>
  <c r="J66" i="14"/>
  <c r="K63" i="14" s="1"/>
  <c r="I58" i="17"/>
  <c r="I59" i="17" s="1"/>
  <c r="I44" i="17"/>
  <c r="I64" i="17"/>
  <c r="H59" i="19"/>
  <c r="H47" i="15"/>
  <c r="H76" i="15" s="1"/>
  <c r="I43" i="15"/>
  <c r="H71" i="2"/>
  <c r="H70" i="2" s="1"/>
  <c r="H72" i="2" s="1"/>
  <c r="H45" i="13"/>
  <c r="I83" i="12"/>
  <c r="I53" i="12"/>
  <c r="M23" i="19"/>
  <c r="N4" i="19"/>
  <c r="I66" i="15"/>
  <c r="J63" i="15" s="1"/>
  <c r="J60" i="15"/>
  <c r="K57" i="15" s="1"/>
  <c r="M23" i="17"/>
  <c r="N4" i="17"/>
  <c r="H60" i="2"/>
  <c r="I57" i="2" s="1"/>
  <c r="N101" i="21"/>
  <c r="M23" i="5"/>
  <c r="M24" i="5" s="1"/>
  <c r="J170" i="21"/>
  <c r="L175" i="21"/>
  <c r="K65" i="5"/>
  <c r="I80" i="9" l="1"/>
  <c r="I84" i="9" s="1"/>
  <c r="J44" i="9"/>
  <c r="J51" i="9" s="1"/>
  <c r="J45" i="9" s="1"/>
  <c r="J52" i="9" s="1"/>
  <c r="J58" i="9"/>
  <c r="J64" i="9"/>
  <c r="J65" i="9" s="1"/>
  <c r="J66" i="9" s="1"/>
  <c r="K63" i="9" s="1"/>
  <c r="J39" i="9"/>
  <c r="I66" i="11"/>
  <c r="J63" i="11" s="1"/>
  <c r="K31" i="5"/>
  <c r="L169" i="21"/>
  <c r="L31" i="5" s="1"/>
  <c r="I73" i="12"/>
  <c r="I79" i="12" s="1"/>
  <c r="J69" i="12"/>
  <c r="N3" i="21"/>
  <c r="M3" i="9"/>
  <c r="M3" i="18"/>
  <c r="M3" i="15"/>
  <c r="M3" i="13"/>
  <c r="M3" i="2"/>
  <c r="N23" i="2"/>
  <c r="O4" i="2"/>
  <c r="P3" i="5"/>
  <c r="O3" i="10"/>
  <c r="H80" i="15"/>
  <c r="I38" i="13"/>
  <c r="I39" i="13" s="1"/>
  <c r="J35" i="13" s="1"/>
  <c r="J64" i="17"/>
  <c r="J58" i="17"/>
  <c r="J59" i="17" s="1"/>
  <c r="J44" i="17"/>
  <c r="I52" i="18"/>
  <c r="I53" i="18" s="1"/>
  <c r="I46" i="18"/>
  <c r="J44" i="10"/>
  <c r="J64" i="10"/>
  <c r="J65" i="10" s="1"/>
  <c r="J58" i="10"/>
  <c r="J59" i="10" s="1"/>
  <c r="J64" i="20"/>
  <c r="J58" i="20"/>
  <c r="J59" i="20" s="1"/>
  <c r="J44" i="20"/>
  <c r="J35" i="2"/>
  <c r="I40" i="2"/>
  <c r="I78" i="2" s="1"/>
  <c r="J44" i="18"/>
  <c r="J58" i="18"/>
  <c r="J59" i="18" s="1"/>
  <c r="J60" i="18" s="1"/>
  <c r="K57" i="18" s="1"/>
  <c r="J64" i="18"/>
  <c r="J65" i="18" s="1"/>
  <c r="I69" i="2"/>
  <c r="H73" i="2"/>
  <c r="H79" i="2" s="1"/>
  <c r="K35" i="14"/>
  <c r="J40" i="14"/>
  <c r="J78" i="14" s="1"/>
  <c r="H52" i="19"/>
  <c r="H46" i="19"/>
  <c r="J64" i="12"/>
  <c r="J58" i="12"/>
  <c r="J59" i="12" s="1"/>
  <c r="J44" i="12"/>
  <c r="H52" i="13"/>
  <c r="H53" i="13" s="1"/>
  <c r="H46" i="13"/>
  <c r="K65" i="14"/>
  <c r="K66" i="14" s="1"/>
  <c r="L63" i="14" s="1"/>
  <c r="H54" i="17"/>
  <c r="H77" i="17" s="1"/>
  <c r="I50" i="17"/>
  <c r="P4" i="14"/>
  <c r="O23" i="14"/>
  <c r="O3" i="14"/>
  <c r="J39" i="17"/>
  <c r="J39" i="20"/>
  <c r="I83" i="14"/>
  <c r="I71" i="14"/>
  <c r="I70" i="14" s="1"/>
  <c r="I72" i="14" s="1"/>
  <c r="I53" i="14"/>
  <c r="I46" i="14"/>
  <c r="J39" i="12"/>
  <c r="J46" i="9"/>
  <c r="I53" i="10"/>
  <c r="I83" i="10"/>
  <c r="O3" i="12"/>
  <c r="O3" i="11"/>
  <c r="Q23" i="20"/>
  <c r="R4" i="20"/>
  <c r="J38" i="11"/>
  <c r="J39" i="11" s="1"/>
  <c r="P23" i="10"/>
  <c r="Q4" i="10"/>
  <c r="I76" i="12"/>
  <c r="I42" i="5"/>
  <c r="J53" i="9"/>
  <c r="O23" i="11"/>
  <c r="P4" i="11"/>
  <c r="H71" i="19"/>
  <c r="H70" i="19" s="1"/>
  <c r="H72" i="19" s="1"/>
  <c r="N23" i="13"/>
  <c r="O4" i="13"/>
  <c r="I53" i="11"/>
  <c r="I83" i="11"/>
  <c r="I71" i="10"/>
  <c r="I70" i="10" s="1"/>
  <c r="I72" i="10" s="1"/>
  <c r="N23" i="17"/>
  <c r="O4" i="17"/>
  <c r="I83" i="18"/>
  <c r="I85" i="9"/>
  <c r="I65" i="17"/>
  <c r="I66" i="17" s="1"/>
  <c r="J63" i="17" s="1"/>
  <c r="I83" i="20"/>
  <c r="H73" i="17"/>
  <c r="H79" i="17" s="1"/>
  <c r="I69" i="17"/>
  <c r="O4" i="15"/>
  <c r="N23" i="15"/>
  <c r="I58" i="2"/>
  <c r="I59" i="2" s="1"/>
  <c r="I44" i="2"/>
  <c r="I64" i="2"/>
  <c r="J39" i="18"/>
  <c r="I71" i="20"/>
  <c r="I70" i="20" s="1"/>
  <c r="I72" i="20" s="1"/>
  <c r="J65" i="15"/>
  <c r="J66" i="15" s="1"/>
  <c r="K63" i="15" s="1"/>
  <c r="I54" i="12"/>
  <c r="I77" i="12" s="1"/>
  <c r="I80" i="12" s="1"/>
  <c r="J50" i="12"/>
  <c r="Q3" i="19"/>
  <c r="J39" i="10"/>
  <c r="H53" i="19"/>
  <c r="N23" i="19"/>
  <c r="O4" i="19"/>
  <c r="I51" i="15"/>
  <c r="I45" i="15" s="1"/>
  <c r="I52" i="15" s="1"/>
  <c r="H60" i="19"/>
  <c r="I57" i="19" s="1"/>
  <c r="H52" i="2"/>
  <c r="H53" i="2" s="1"/>
  <c r="H46" i="2"/>
  <c r="O23" i="12"/>
  <c r="P4" i="12"/>
  <c r="I60" i="20"/>
  <c r="J57" i="20" s="1"/>
  <c r="J60" i="20" s="1"/>
  <c r="K57" i="20" s="1"/>
  <c r="I60" i="17"/>
  <c r="J57" i="17" s="1"/>
  <c r="P4" i="18"/>
  <c r="O23" i="18"/>
  <c r="Q3" i="20"/>
  <c r="H73" i="13"/>
  <c r="H79" i="13" s="1"/>
  <c r="I69" i="13"/>
  <c r="H47" i="17"/>
  <c r="H76" i="17" s="1"/>
  <c r="I43" i="17"/>
  <c r="I70" i="11"/>
  <c r="I72" i="11" s="1"/>
  <c r="I46" i="10"/>
  <c r="I45" i="20"/>
  <c r="J51" i="12"/>
  <c r="J83" i="12" s="1"/>
  <c r="I71" i="18"/>
  <c r="I70" i="18" s="1"/>
  <c r="I72" i="18" s="1"/>
  <c r="I37" i="19"/>
  <c r="O23" i="9"/>
  <c r="P4" i="9"/>
  <c r="I46" i="11"/>
  <c r="I66" i="20"/>
  <c r="J63" i="20" s="1"/>
  <c r="J37" i="15"/>
  <c r="J39" i="15" s="1"/>
  <c r="K35" i="15" s="1"/>
  <c r="N23" i="5"/>
  <c r="N24" i="5" s="1"/>
  <c r="O101" i="21"/>
  <c r="M169" i="21"/>
  <c r="L172" i="21"/>
  <c r="K170" i="21"/>
  <c r="J48" i="5"/>
  <c r="J173" i="21"/>
  <c r="J174" i="21"/>
  <c r="M175" i="21"/>
  <c r="L65" i="5"/>
  <c r="I55" i="5" l="1"/>
  <c r="J71" i="9"/>
  <c r="J83" i="9"/>
  <c r="J59" i="9"/>
  <c r="J40" i="9"/>
  <c r="J78" i="9" s="1"/>
  <c r="K35" i="9"/>
  <c r="K37" i="9" s="1"/>
  <c r="K38" i="9" s="1"/>
  <c r="J60" i="17"/>
  <c r="K57" i="17" s="1"/>
  <c r="O3" i="21"/>
  <c r="N3" i="9"/>
  <c r="N3" i="18"/>
  <c r="N3" i="15"/>
  <c r="N3" i="13"/>
  <c r="N3" i="2"/>
  <c r="H80" i="17"/>
  <c r="O23" i="2"/>
  <c r="P4" i="2"/>
  <c r="I38" i="19"/>
  <c r="I64" i="19" s="1"/>
  <c r="J45" i="12"/>
  <c r="J52" i="12" s="1"/>
  <c r="J53" i="12" s="1"/>
  <c r="K50" i="12" s="1"/>
  <c r="J60" i="12"/>
  <c r="K57" i="12" s="1"/>
  <c r="Q3" i="5"/>
  <c r="P3" i="10"/>
  <c r="I44" i="13"/>
  <c r="I58" i="13"/>
  <c r="I64" i="13"/>
  <c r="I65" i="13" s="1"/>
  <c r="I66" i="13" s="1"/>
  <c r="J63" i="13" s="1"/>
  <c r="I40" i="13"/>
  <c r="I78" i="13" s="1"/>
  <c r="J69" i="18"/>
  <c r="I73" i="18"/>
  <c r="I79" i="18" s="1"/>
  <c r="I59" i="5"/>
  <c r="I85" i="12"/>
  <c r="I84" i="12"/>
  <c r="J69" i="20"/>
  <c r="I73" i="20"/>
  <c r="I79" i="20" s="1"/>
  <c r="K35" i="11"/>
  <c r="J40" i="11"/>
  <c r="J78" i="11" s="1"/>
  <c r="J69" i="14"/>
  <c r="I73" i="14"/>
  <c r="I79" i="14" s="1"/>
  <c r="J40" i="15"/>
  <c r="J78" i="15" s="1"/>
  <c r="J65" i="20"/>
  <c r="H47" i="2"/>
  <c r="H76" i="2" s="1"/>
  <c r="I43" i="2"/>
  <c r="R3" i="19"/>
  <c r="I47" i="11"/>
  <c r="J43" i="11"/>
  <c r="J43" i="10"/>
  <c r="I47" i="10"/>
  <c r="H54" i="2"/>
  <c r="H77" i="2" s="1"/>
  <c r="I50" i="2"/>
  <c r="I83" i="15"/>
  <c r="I53" i="15"/>
  <c r="I71" i="15"/>
  <c r="I70" i="15" s="1"/>
  <c r="I72" i="15" s="1"/>
  <c r="K35" i="18"/>
  <c r="J40" i="18"/>
  <c r="J78" i="18" s="1"/>
  <c r="H73" i="19"/>
  <c r="H79" i="19" s="1"/>
  <c r="I69" i="19"/>
  <c r="P4" i="13"/>
  <c r="O23" i="13"/>
  <c r="K50" i="9"/>
  <c r="J54" i="9"/>
  <c r="J77" i="9" s="1"/>
  <c r="R4" i="10"/>
  <c r="Q23" i="10"/>
  <c r="S4" i="20"/>
  <c r="R23" i="20"/>
  <c r="P3" i="11"/>
  <c r="P3" i="12"/>
  <c r="K43" i="9"/>
  <c r="J47" i="9"/>
  <c r="J50" i="14"/>
  <c r="I54" i="14"/>
  <c r="I77" i="14" s="1"/>
  <c r="K35" i="17"/>
  <c r="J40" i="17"/>
  <c r="J78" i="17" s="1"/>
  <c r="P23" i="14"/>
  <c r="Q4" i="14"/>
  <c r="I50" i="13"/>
  <c r="H54" i="13"/>
  <c r="H77" i="13" s="1"/>
  <c r="I60" i="2"/>
  <c r="J57" i="2" s="1"/>
  <c r="J65" i="12"/>
  <c r="J71" i="12" s="1"/>
  <c r="J70" i="12" s="1"/>
  <c r="J72" i="12" s="1"/>
  <c r="K37" i="14"/>
  <c r="K39" i="14" s="1"/>
  <c r="L35" i="14" s="1"/>
  <c r="K37" i="15"/>
  <c r="Q4" i="9"/>
  <c r="P23" i="9"/>
  <c r="I58" i="19"/>
  <c r="I59" i="19" s="1"/>
  <c r="I44" i="19"/>
  <c r="J69" i="11"/>
  <c r="I73" i="11"/>
  <c r="I79" i="11" s="1"/>
  <c r="R3" i="20"/>
  <c r="P23" i="18"/>
  <c r="Q4" i="18"/>
  <c r="P23" i="12"/>
  <c r="Q4" i="12"/>
  <c r="I46" i="15"/>
  <c r="O23" i="19"/>
  <c r="P4" i="19"/>
  <c r="H54" i="19"/>
  <c r="H77" i="19" s="1"/>
  <c r="I50" i="19"/>
  <c r="I65" i="2"/>
  <c r="I66" i="2" s="1"/>
  <c r="J63" i="2" s="1"/>
  <c r="J65" i="17"/>
  <c r="J66" i="17" s="1"/>
  <c r="K63" i="17" s="1"/>
  <c r="I86" i="9"/>
  <c r="I87" i="9" s="1"/>
  <c r="I89" i="9" s="1"/>
  <c r="I14" i="5" s="1"/>
  <c r="O23" i="17"/>
  <c r="P4" i="17"/>
  <c r="P23" i="11"/>
  <c r="Q4" i="11"/>
  <c r="K35" i="12"/>
  <c r="J40" i="12"/>
  <c r="J78" i="12" s="1"/>
  <c r="K35" i="20"/>
  <c r="J40" i="20"/>
  <c r="J78" i="20" s="1"/>
  <c r="I43" i="19"/>
  <c r="H47" i="19"/>
  <c r="H76" i="19" s="1"/>
  <c r="J37" i="13"/>
  <c r="J37" i="2"/>
  <c r="J38" i="2" s="1"/>
  <c r="I52" i="20"/>
  <c r="I53" i="20" s="1"/>
  <c r="I46" i="20"/>
  <c r="I51" i="17"/>
  <c r="I71" i="17" s="1"/>
  <c r="I60" i="19"/>
  <c r="J57" i="19" s="1"/>
  <c r="K35" i="10"/>
  <c r="J40" i="10"/>
  <c r="J78" i="10" s="1"/>
  <c r="J66" i="10"/>
  <c r="K63" i="10" s="1"/>
  <c r="O23" i="15"/>
  <c r="P4" i="15"/>
  <c r="I73" i="10"/>
  <c r="I79" i="10" s="1"/>
  <c r="J69" i="10"/>
  <c r="I54" i="18"/>
  <c r="I77" i="18" s="1"/>
  <c r="J50" i="18"/>
  <c r="I54" i="11"/>
  <c r="I77" i="11" s="1"/>
  <c r="J50" i="11"/>
  <c r="J66" i="18"/>
  <c r="K63" i="18" s="1"/>
  <c r="J64" i="11"/>
  <c r="J58" i="11"/>
  <c r="J44" i="11"/>
  <c r="I54" i="10"/>
  <c r="I77" i="10" s="1"/>
  <c r="J50" i="10"/>
  <c r="J43" i="14"/>
  <c r="I47" i="14"/>
  <c r="P3" i="14"/>
  <c r="I59" i="13"/>
  <c r="I60" i="13" s="1"/>
  <c r="J57" i="13" s="1"/>
  <c r="I43" i="13"/>
  <c r="H47" i="13"/>
  <c r="H76" i="13" s="1"/>
  <c r="I47" i="18"/>
  <c r="J43" i="18"/>
  <c r="J60" i="10"/>
  <c r="K57" i="10" s="1"/>
  <c r="O23" i="5"/>
  <c r="O24" i="5" s="1"/>
  <c r="P101" i="21"/>
  <c r="N175" i="21"/>
  <c r="M65" i="5"/>
  <c r="L170" i="21"/>
  <c r="K48" i="5"/>
  <c r="K173" i="21"/>
  <c r="K174" i="21"/>
  <c r="J176" i="21"/>
  <c r="J178" i="21" s="1"/>
  <c r="J29" i="21" s="1"/>
  <c r="J83" i="21" s="1"/>
  <c r="J7" i="5" s="1"/>
  <c r="N169" i="21"/>
  <c r="M31" i="5"/>
  <c r="M172" i="21"/>
  <c r="J70" i="9" l="1"/>
  <c r="J72" i="9" s="1"/>
  <c r="K69" i="9" s="1"/>
  <c r="J60" i="9"/>
  <c r="K57" i="9" s="1"/>
  <c r="K38" i="15"/>
  <c r="H80" i="2"/>
  <c r="J46" i="12"/>
  <c r="I39" i="19"/>
  <c r="J66" i="12"/>
  <c r="K63" i="12" s="1"/>
  <c r="Q4" i="2"/>
  <c r="P23" i="2"/>
  <c r="P3" i="21"/>
  <c r="O3" i="15"/>
  <c r="O3" i="13"/>
  <c r="O3" i="2"/>
  <c r="O3" i="9"/>
  <c r="O3" i="18"/>
  <c r="R3" i="5"/>
  <c r="Q3" i="10"/>
  <c r="H80" i="13"/>
  <c r="J58" i="2"/>
  <c r="J59" i="2" s="1"/>
  <c r="J64" i="2"/>
  <c r="J65" i="2" s="1"/>
  <c r="J66" i="2" s="1"/>
  <c r="K63" i="2" s="1"/>
  <c r="J44" i="2"/>
  <c r="J69" i="15"/>
  <c r="I73" i="15"/>
  <c r="I79" i="15" s="1"/>
  <c r="J51" i="18"/>
  <c r="J51" i="14"/>
  <c r="J45" i="14" s="1"/>
  <c r="J65" i="11"/>
  <c r="P23" i="15"/>
  <c r="Q4" i="15"/>
  <c r="I45" i="17"/>
  <c r="I54" i="20"/>
  <c r="I77" i="20" s="1"/>
  <c r="J50" i="20"/>
  <c r="J39" i="2"/>
  <c r="J38" i="13"/>
  <c r="I51" i="19"/>
  <c r="I83" i="19" s="1"/>
  <c r="K37" i="20"/>
  <c r="K44" i="9"/>
  <c r="K51" i="9" s="1"/>
  <c r="K83" i="9" s="1"/>
  <c r="K58" i="9"/>
  <c r="K64" i="9"/>
  <c r="J54" i="12"/>
  <c r="J77" i="12" s="1"/>
  <c r="J43" i="15"/>
  <c r="I47" i="15"/>
  <c r="Q23" i="18"/>
  <c r="R4" i="18"/>
  <c r="I65" i="19"/>
  <c r="I66" i="19" s="1"/>
  <c r="J63" i="19" s="1"/>
  <c r="K40" i="14"/>
  <c r="K78" i="14" s="1"/>
  <c r="J51" i="10"/>
  <c r="J45" i="10" s="1"/>
  <c r="I76" i="11"/>
  <c r="I41" i="5"/>
  <c r="K43" i="12"/>
  <c r="J47" i="12"/>
  <c r="I86" i="12"/>
  <c r="I87" i="12" s="1"/>
  <c r="I89" i="12" s="1"/>
  <c r="I76" i="18"/>
  <c r="I40" i="5"/>
  <c r="K37" i="10"/>
  <c r="K38" i="10" s="1"/>
  <c r="I83" i="17"/>
  <c r="I70" i="17"/>
  <c r="I72" i="17" s="1"/>
  <c r="R4" i="11"/>
  <c r="Q23" i="11"/>
  <c r="P23" i="17"/>
  <c r="Q4" i="17"/>
  <c r="P23" i="19"/>
  <c r="Q4" i="19"/>
  <c r="R4" i="12"/>
  <c r="Q23" i="12"/>
  <c r="I80" i="11"/>
  <c r="R4" i="9"/>
  <c r="Q23" i="9"/>
  <c r="L37" i="14"/>
  <c r="L38" i="14" s="1"/>
  <c r="Q3" i="12"/>
  <c r="Q3" i="11"/>
  <c r="S4" i="10"/>
  <c r="R23" i="10"/>
  <c r="H80" i="19"/>
  <c r="S3" i="19"/>
  <c r="I51" i="2"/>
  <c r="I45" i="2" s="1"/>
  <c r="I52" i="2" s="1"/>
  <c r="I53" i="2" s="1"/>
  <c r="I80" i="18"/>
  <c r="K69" i="12"/>
  <c r="J73" i="12"/>
  <c r="J79" i="12" s="1"/>
  <c r="I51" i="13"/>
  <c r="I45" i="13" s="1"/>
  <c r="I52" i="13" s="1"/>
  <c r="Q3" i="14"/>
  <c r="I76" i="14"/>
  <c r="I80" i="14" s="1"/>
  <c r="I36" i="5"/>
  <c r="J59" i="11"/>
  <c r="J60" i="11" s="1"/>
  <c r="K57" i="11" s="1"/>
  <c r="I47" i="20"/>
  <c r="J43" i="20"/>
  <c r="K37" i="12"/>
  <c r="K38" i="12" s="1"/>
  <c r="S3" i="20"/>
  <c r="Q23" i="14"/>
  <c r="R4" i="14"/>
  <c r="K37" i="17"/>
  <c r="J76" i="9"/>
  <c r="J38" i="5"/>
  <c r="T4" i="20"/>
  <c r="S23" i="20"/>
  <c r="P23" i="13"/>
  <c r="Q4" i="13"/>
  <c r="K37" i="18"/>
  <c r="K38" i="18" s="1"/>
  <c r="J50" i="15"/>
  <c r="I54" i="15"/>
  <c r="I77" i="15" s="1"/>
  <c r="I76" i="10"/>
  <c r="I80" i="10" s="1"/>
  <c r="I39" i="5"/>
  <c r="J51" i="11"/>
  <c r="J83" i="11" s="1"/>
  <c r="J66" i="20"/>
  <c r="K63" i="20" s="1"/>
  <c r="K39" i="9"/>
  <c r="K37" i="11"/>
  <c r="P23" i="5"/>
  <c r="P24" i="5" s="1"/>
  <c r="Q101" i="21"/>
  <c r="M170" i="21"/>
  <c r="L48" i="5"/>
  <c r="L173" i="21"/>
  <c r="L174" i="21"/>
  <c r="O169" i="21"/>
  <c r="N31" i="5"/>
  <c r="N172" i="21"/>
  <c r="K176" i="21"/>
  <c r="K178" i="21" s="1"/>
  <c r="K29" i="21" s="1"/>
  <c r="K83" i="21" s="1"/>
  <c r="K7" i="5" s="1"/>
  <c r="O175" i="21"/>
  <c r="N65" i="5"/>
  <c r="J73" i="9" l="1"/>
  <c r="J79" i="9" s="1"/>
  <c r="J80" i="9" s="1"/>
  <c r="K58" i="15"/>
  <c r="K44" i="15"/>
  <c r="K64" i="15"/>
  <c r="K65" i="15" s="1"/>
  <c r="K66" i="15" s="1"/>
  <c r="L63" i="15" s="1"/>
  <c r="K39" i="15"/>
  <c r="I71" i="19"/>
  <c r="I70" i="19" s="1"/>
  <c r="I72" i="19" s="1"/>
  <c r="Q3" i="21"/>
  <c r="P3" i="18"/>
  <c r="P3" i="15"/>
  <c r="P3" i="13"/>
  <c r="P3" i="2"/>
  <c r="P3" i="9"/>
  <c r="I40" i="19"/>
  <c r="I78" i="19" s="1"/>
  <c r="J35" i="19"/>
  <c r="J37" i="19" s="1"/>
  <c r="J38" i="19" s="1"/>
  <c r="J58" i="19" s="1"/>
  <c r="J45" i="11"/>
  <c r="J52" i="11" s="1"/>
  <c r="R4" i="2"/>
  <c r="Q23" i="2"/>
  <c r="S3" i="5"/>
  <c r="R3" i="10"/>
  <c r="J60" i="2"/>
  <c r="K57" i="2" s="1"/>
  <c r="I85" i="10"/>
  <c r="I84" i="10"/>
  <c r="I56" i="5"/>
  <c r="K64" i="18"/>
  <c r="K58" i="18"/>
  <c r="K44" i="18"/>
  <c r="J50" i="2"/>
  <c r="I54" i="2"/>
  <c r="I77" i="2" s="1"/>
  <c r="J52" i="14"/>
  <c r="J53" i="14" s="1"/>
  <c r="J46" i="14"/>
  <c r="I53" i="5"/>
  <c r="I84" i="14"/>
  <c r="I88" i="14"/>
  <c r="I70" i="5" s="1"/>
  <c r="I85" i="14"/>
  <c r="K58" i="10"/>
  <c r="K44" i="10"/>
  <c r="K64" i="10"/>
  <c r="L64" i="14"/>
  <c r="L58" i="14"/>
  <c r="L44" i="14"/>
  <c r="J52" i="10"/>
  <c r="J53" i="10" s="1"/>
  <c r="J46" i="10"/>
  <c r="K38" i="11"/>
  <c r="K39" i="11" s="1"/>
  <c r="J46" i="11"/>
  <c r="K39" i="18"/>
  <c r="K38" i="17"/>
  <c r="R23" i="14"/>
  <c r="S4" i="14"/>
  <c r="J51" i="20"/>
  <c r="J53" i="11"/>
  <c r="R3" i="14"/>
  <c r="I83" i="2"/>
  <c r="S23" i="10"/>
  <c r="T4" i="10"/>
  <c r="R23" i="9"/>
  <c r="S4" i="9"/>
  <c r="R23" i="12"/>
  <c r="S4" i="12"/>
  <c r="I71" i="2"/>
  <c r="I70" i="2" s="1"/>
  <c r="I72" i="2" s="1"/>
  <c r="K39" i="10"/>
  <c r="J39" i="19"/>
  <c r="I53" i="13"/>
  <c r="I76" i="15"/>
  <c r="I80" i="15" s="1"/>
  <c r="I35" i="5"/>
  <c r="K65" i="9"/>
  <c r="K71" i="9" s="1"/>
  <c r="K38" i="20"/>
  <c r="K35" i="2"/>
  <c r="J40" i="2"/>
  <c r="J78" i="2" s="1"/>
  <c r="I52" i="17"/>
  <c r="I53" i="17" s="1"/>
  <c r="I46" i="17"/>
  <c r="J71" i="11"/>
  <c r="J70" i="11" s="1"/>
  <c r="J72" i="11" s="1"/>
  <c r="J83" i="18"/>
  <c r="J71" i="18"/>
  <c r="J70" i="18" s="1"/>
  <c r="J72" i="18" s="1"/>
  <c r="I76" i="20"/>
  <c r="I80" i="20" s="1"/>
  <c r="I43" i="5"/>
  <c r="I57" i="5"/>
  <c r="I85" i="18"/>
  <c r="I84" i="18"/>
  <c r="T3" i="19"/>
  <c r="L39" i="14"/>
  <c r="I84" i="11"/>
  <c r="I58" i="5"/>
  <c r="I85" i="11"/>
  <c r="Q23" i="19"/>
  <c r="R4" i="19"/>
  <c r="Q23" i="17"/>
  <c r="R4" i="17"/>
  <c r="R23" i="11"/>
  <c r="S4" i="11"/>
  <c r="J76" i="12"/>
  <c r="J80" i="12" s="1"/>
  <c r="J42" i="5"/>
  <c r="K45" i="9"/>
  <c r="S4" i="18"/>
  <c r="R23" i="18"/>
  <c r="J51" i="15"/>
  <c r="K59" i="9"/>
  <c r="K60" i="9" s="1"/>
  <c r="L57" i="9" s="1"/>
  <c r="Q23" i="15"/>
  <c r="R4" i="15"/>
  <c r="J83" i="14"/>
  <c r="J71" i="14"/>
  <c r="J70" i="14" s="1"/>
  <c r="J72" i="14" s="1"/>
  <c r="L35" i="9"/>
  <c r="K40" i="9"/>
  <c r="K78" i="9" s="1"/>
  <c r="Q23" i="13"/>
  <c r="R4" i="13"/>
  <c r="T23" i="20"/>
  <c r="U4" i="20"/>
  <c r="T3" i="20"/>
  <c r="K64" i="12"/>
  <c r="K58" i="12"/>
  <c r="K44" i="12"/>
  <c r="K51" i="12" s="1"/>
  <c r="K39" i="12"/>
  <c r="I83" i="13"/>
  <c r="I71" i="13"/>
  <c r="I70" i="13" s="1"/>
  <c r="I72" i="13" s="1"/>
  <c r="I46" i="13"/>
  <c r="I46" i="2"/>
  <c r="R3" i="11"/>
  <c r="R3" i="12"/>
  <c r="J69" i="17"/>
  <c r="I73" i="17"/>
  <c r="I79" i="17" s="1"/>
  <c r="J83" i="10"/>
  <c r="J71" i="10"/>
  <c r="J70" i="10" s="1"/>
  <c r="J72" i="10" s="1"/>
  <c r="I45" i="19"/>
  <c r="J58" i="13"/>
  <c r="J44" i="13"/>
  <c r="J64" i="13"/>
  <c r="J66" i="11"/>
  <c r="K63" i="11" s="1"/>
  <c r="J45" i="18"/>
  <c r="J39" i="13"/>
  <c r="L176" i="21"/>
  <c r="L178" i="21" s="1"/>
  <c r="L29" i="21" s="1"/>
  <c r="L83" i="21" s="1"/>
  <c r="L7" i="5" s="1"/>
  <c r="R101" i="21"/>
  <c r="Q23" i="5"/>
  <c r="Q24" i="5" s="1"/>
  <c r="P175" i="21"/>
  <c r="O65" i="5"/>
  <c r="P169" i="21"/>
  <c r="O31" i="5"/>
  <c r="O172" i="21"/>
  <c r="N170" i="21"/>
  <c r="M48" i="5"/>
  <c r="M174" i="21"/>
  <c r="M173" i="21"/>
  <c r="J84" i="9" l="1"/>
  <c r="J55" i="5"/>
  <c r="J88" i="9"/>
  <c r="J72" i="5" s="1"/>
  <c r="J85" i="9"/>
  <c r="J86" i="9" s="1"/>
  <c r="J87" i="9" s="1"/>
  <c r="K40" i="15"/>
  <c r="K78" i="15" s="1"/>
  <c r="L35" i="15"/>
  <c r="L37" i="15" s="1"/>
  <c r="L38" i="15" s="1"/>
  <c r="K59" i="15"/>
  <c r="K60" i="15" s="1"/>
  <c r="L57" i="15" s="1"/>
  <c r="I73" i="19"/>
  <c r="I79" i="19" s="1"/>
  <c r="J69" i="19"/>
  <c r="J64" i="19"/>
  <c r="J44" i="19"/>
  <c r="S4" i="2"/>
  <c r="R23" i="2"/>
  <c r="R3" i="21"/>
  <c r="Q3" i="9"/>
  <c r="Q3" i="18"/>
  <c r="Q3" i="15"/>
  <c r="Q3" i="13"/>
  <c r="Q3" i="2"/>
  <c r="T3" i="5"/>
  <c r="S3" i="10"/>
  <c r="K70" i="9"/>
  <c r="K72" i="9" s="1"/>
  <c r="L69" i="9" s="1"/>
  <c r="K69" i="10"/>
  <c r="J73" i="10"/>
  <c r="J79" i="10" s="1"/>
  <c r="J69" i="13"/>
  <c r="I73" i="13"/>
  <c r="I79" i="13" s="1"/>
  <c r="J84" i="12"/>
  <c r="J88" i="12"/>
  <c r="J76" i="5" s="1"/>
  <c r="J85" i="12"/>
  <c r="J59" i="5"/>
  <c r="K69" i="18"/>
  <c r="J73" i="18"/>
  <c r="J79" i="18" s="1"/>
  <c r="K69" i="14"/>
  <c r="J73" i="14"/>
  <c r="J79" i="14" s="1"/>
  <c r="J69" i="2"/>
  <c r="I73" i="2"/>
  <c r="I79" i="2" s="1"/>
  <c r="L35" i="11"/>
  <c r="K40" i="11"/>
  <c r="K78" i="11" s="1"/>
  <c r="J65" i="13"/>
  <c r="J66" i="13" s="1"/>
  <c r="K63" i="13" s="1"/>
  <c r="I52" i="19"/>
  <c r="I53" i="19" s="1"/>
  <c r="I46" i="19"/>
  <c r="L35" i="12"/>
  <c r="K40" i="12"/>
  <c r="K78" i="12" s="1"/>
  <c r="K65" i="12"/>
  <c r="K71" i="12" s="1"/>
  <c r="U3" i="20"/>
  <c r="L37" i="9"/>
  <c r="L38" i="9" s="1"/>
  <c r="I88" i="15"/>
  <c r="I69" i="5" s="1"/>
  <c r="I52" i="5"/>
  <c r="I85" i="15"/>
  <c r="I84" i="15"/>
  <c r="S23" i="18"/>
  <c r="T4" i="18"/>
  <c r="R23" i="17"/>
  <c r="S4" i="17"/>
  <c r="U3" i="19"/>
  <c r="I86" i="18"/>
  <c r="I60" i="5"/>
  <c r="I85" i="20"/>
  <c r="I84" i="20"/>
  <c r="J50" i="17"/>
  <c r="I54" i="17"/>
  <c r="I77" i="17" s="1"/>
  <c r="K64" i="20"/>
  <c r="K58" i="20"/>
  <c r="K44" i="20"/>
  <c r="K66" i="9"/>
  <c r="L63" i="9" s="1"/>
  <c r="L35" i="10"/>
  <c r="K40" i="10"/>
  <c r="K78" i="10" s="1"/>
  <c r="T4" i="12"/>
  <c r="S23" i="12"/>
  <c r="K64" i="17"/>
  <c r="K58" i="17"/>
  <c r="K44" i="17"/>
  <c r="K39" i="20"/>
  <c r="J59" i="19"/>
  <c r="J60" i="19"/>
  <c r="K57" i="19" s="1"/>
  <c r="K65" i="10"/>
  <c r="K66" i="10" s="1"/>
  <c r="L63" i="10" s="1"/>
  <c r="I86" i="14"/>
  <c r="I87" i="14" s="1"/>
  <c r="I89" i="14" s="1"/>
  <c r="K50" i="14"/>
  <c r="J54" i="14"/>
  <c r="J77" i="14" s="1"/>
  <c r="K35" i="13"/>
  <c r="J40" i="13"/>
  <c r="J78" i="13" s="1"/>
  <c r="J52" i="18"/>
  <c r="J53" i="18" s="1"/>
  <c r="J46" i="18"/>
  <c r="K83" i="12"/>
  <c r="K45" i="12"/>
  <c r="J43" i="2"/>
  <c r="I47" i="2"/>
  <c r="R23" i="13"/>
  <c r="S4" i="13"/>
  <c r="R23" i="15"/>
  <c r="S4" i="15"/>
  <c r="J83" i="15"/>
  <c r="J71" i="15"/>
  <c r="J70" i="15" s="1"/>
  <c r="J72" i="15" s="1"/>
  <c r="J45" i="15"/>
  <c r="K52" i="9"/>
  <c r="K53" i="9" s="1"/>
  <c r="K46" i="9"/>
  <c r="S23" i="11"/>
  <c r="T4" i="11"/>
  <c r="I86" i="11"/>
  <c r="I87" i="11" s="1"/>
  <c r="M35" i="14"/>
  <c r="L40" i="14"/>
  <c r="L78" i="14" s="1"/>
  <c r="J50" i="13"/>
  <c r="I54" i="13"/>
  <c r="I77" i="13" s="1"/>
  <c r="K50" i="11"/>
  <c r="J54" i="11"/>
  <c r="J77" i="11" s="1"/>
  <c r="T4" i="14"/>
  <c r="S23" i="14"/>
  <c r="L35" i="18"/>
  <c r="K40" i="18"/>
  <c r="K78" i="18" s="1"/>
  <c r="K43" i="11"/>
  <c r="J47" i="11"/>
  <c r="K43" i="10"/>
  <c r="J47" i="10"/>
  <c r="L59" i="14"/>
  <c r="L60" i="14" s="1"/>
  <c r="M57" i="14" s="1"/>
  <c r="K39" i="17"/>
  <c r="K59" i="18"/>
  <c r="K60" i="18" s="1"/>
  <c r="L57" i="18" s="1"/>
  <c r="J59" i="13"/>
  <c r="J60" i="13" s="1"/>
  <c r="K57" i="13" s="1"/>
  <c r="S3" i="12"/>
  <c r="S3" i="11"/>
  <c r="J43" i="13"/>
  <c r="I47" i="13"/>
  <c r="K69" i="11"/>
  <c r="J73" i="11"/>
  <c r="J79" i="11" s="1"/>
  <c r="K59" i="12"/>
  <c r="K60" i="12"/>
  <c r="L57" i="12" s="1"/>
  <c r="U23" i="20"/>
  <c r="V4" i="20"/>
  <c r="S4" i="19"/>
  <c r="R23" i="19"/>
  <c r="J43" i="17"/>
  <c r="I47" i="17"/>
  <c r="K37" i="2"/>
  <c r="K38" i="2" s="1"/>
  <c r="K35" i="19"/>
  <c r="J40" i="19"/>
  <c r="J78" i="19" s="1"/>
  <c r="S23" i="9"/>
  <c r="T4" i="9"/>
  <c r="U4" i="10"/>
  <c r="T23" i="10"/>
  <c r="S3" i="14"/>
  <c r="J83" i="20"/>
  <c r="J71" i="20"/>
  <c r="J70" i="20" s="1"/>
  <c r="J72" i="20" s="1"/>
  <c r="J45" i="20"/>
  <c r="K58" i="11"/>
  <c r="K44" i="11"/>
  <c r="K64" i="11"/>
  <c r="K50" i="10"/>
  <c r="J54" i="10"/>
  <c r="J77" i="10" s="1"/>
  <c r="L65" i="14"/>
  <c r="L66" i="14" s="1"/>
  <c r="M63" i="14" s="1"/>
  <c r="K59" i="10"/>
  <c r="K60" i="10" s="1"/>
  <c r="L57" i="10" s="1"/>
  <c r="K43" i="14"/>
  <c r="J47" i="14"/>
  <c r="K65" i="18"/>
  <c r="K66" i="18" s="1"/>
  <c r="L63" i="18" s="1"/>
  <c r="I86" i="10"/>
  <c r="I87" i="10" s="1"/>
  <c r="M176" i="21"/>
  <c r="M178" i="21" s="1"/>
  <c r="M29" i="21" s="1"/>
  <c r="M83" i="21" s="1"/>
  <c r="M7" i="5" s="1"/>
  <c r="R23" i="5"/>
  <c r="R24" i="5" s="1"/>
  <c r="S101" i="21"/>
  <c r="Q169" i="21"/>
  <c r="P31" i="5"/>
  <c r="P172" i="21"/>
  <c r="O170" i="21"/>
  <c r="N48" i="5"/>
  <c r="N173" i="21"/>
  <c r="N174" i="21"/>
  <c r="Q175" i="21"/>
  <c r="P65" i="5"/>
  <c r="J89" i="9" l="1"/>
  <c r="J14" i="5" s="1"/>
  <c r="S23" i="2"/>
  <c r="T4" i="2"/>
  <c r="K70" i="12"/>
  <c r="K72" i="12" s="1"/>
  <c r="L69" i="12" s="1"/>
  <c r="S3" i="21"/>
  <c r="R3" i="9"/>
  <c r="R3" i="18"/>
  <c r="R3" i="15"/>
  <c r="R3" i="13"/>
  <c r="R3" i="2"/>
  <c r="J65" i="19"/>
  <c r="J66" i="19" s="1"/>
  <c r="K63" i="19" s="1"/>
  <c r="U3" i="5"/>
  <c r="T3" i="10"/>
  <c r="K73" i="9"/>
  <c r="K79" i="9" s="1"/>
  <c r="L58" i="15"/>
  <c r="L64" i="15"/>
  <c r="L65" i="15" s="1"/>
  <c r="L66" i="15" s="1"/>
  <c r="M63" i="15" s="1"/>
  <c r="L44" i="15"/>
  <c r="L39" i="15"/>
  <c r="K39" i="2"/>
  <c r="K40" i="2" s="1"/>
  <c r="K78" i="2" s="1"/>
  <c r="K69" i="20"/>
  <c r="J73" i="20"/>
  <c r="J79" i="20" s="1"/>
  <c r="L44" i="9"/>
  <c r="L58" i="9"/>
  <c r="L64" i="9"/>
  <c r="L65" i="9" s="1"/>
  <c r="I89" i="10"/>
  <c r="I15" i="5" s="1"/>
  <c r="K51" i="14"/>
  <c r="K59" i="11"/>
  <c r="V4" i="10"/>
  <c r="U23" i="10"/>
  <c r="I34" i="5"/>
  <c r="I76" i="17"/>
  <c r="I80" i="17" s="1"/>
  <c r="S23" i="19"/>
  <c r="T4" i="19"/>
  <c r="W4" i="20"/>
  <c r="V23" i="20"/>
  <c r="K73" i="12"/>
  <c r="K79" i="12" s="1"/>
  <c r="I76" i="13"/>
  <c r="I80" i="13" s="1"/>
  <c r="I37" i="5"/>
  <c r="J76" i="11"/>
  <c r="J41" i="5"/>
  <c r="L37" i="18"/>
  <c r="I89" i="11"/>
  <c r="L43" i="9"/>
  <c r="K47" i="9"/>
  <c r="K38" i="5" s="1"/>
  <c r="S23" i="15"/>
  <c r="T4" i="15"/>
  <c r="T4" i="13"/>
  <c r="S23" i="13"/>
  <c r="I32" i="5"/>
  <c r="I76" i="2"/>
  <c r="I80" i="2" s="1"/>
  <c r="K43" i="18"/>
  <c r="J47" i="18"/>
  <c r="K37" i="13"/>
  <c r="K38" i="13" s="1"/>
  <c r="L35" i="20"/>
  <c r="K40" i="20"/>
  <c r="K78" i="20" s="1"/>
  <c r="K65" i="17"/>
  <c r="V3" i="19"/>
  <c r="S23" i="17"/>
  <c r="T4" i="17"/>
  <c r="L39" i="9"/>
  <c r="J43" i="19"/>
  <c r="I47" i="19"/>
  <c r="J52" i="20"/>
  <c r="J53" i="20" s="1"/>
  <c r="J46" i="20"/>
  <c r="U4" i="9"/>
  <c r="T23" i="9"/>
  <c r="K37" i="19"/>
  <c r="K64" i="2"/>
  <c r="K58" i="2"/>
  <c r="K44" i="2"/>
  <c r="J51" i="17"/>
  <c r="J80" i="11"/>
  <c r="J51" i="13"/>
  <c r="J83" i="13" s="1"/>
  <c r="K65" i="11"/>
  <c r="L35" i="17"/>
  <c r="K40" i="17"/>
  <c r="K78" i="17" s="1"/>
  <c r="J76" i="10"/>
  <c r="J80" i="10" s="1"/>
  <c r="J39" i="5"/>
  <c r="K51" i="11"/>
  <c r="K83" i="11" s="1"/>
  <c r="M37" i="14"/>
  <c r="M38" i="14" s="1"/>
  <c r="U4" i="11"/>
  <c r="T23" i="11"/>
  <c r="L50" i="9"/>
  <c r="K54" i="9"/>
  <c r="K77" i="9" s="1"/>
  <c r="K69" i="15"/>
  <c r="J73" i="15"/>
  <c r="J79" i="15" s="1"/>
  <c r="J51" i="2"/>
  <c r="K50" i="18"/>
  <c r="J54" i="18"/>
  <c r="J77" i="18" s="1"/>
  <c r="L37" i="10"/>
  <c r="L38" i="10" s="1"/>
  <c r="K59" i="20"/>
  <c r="I86" i="15"/>
  <c r="I87" i="15" s="1"/>
  <c r="I89" i="15" s="1"/>
  <c r="J50" i="19"/>
  <c r="I54" i="19"/>
  <c r="I77" i="19" s="1"/>
  <c r="J76" i="14"/>
  <c r="J80" i="14" s="1"/>
  <c r="J36" i="5"/>
  <c r="T3" i="14"/>
  <c r="T3" i="11"/>
  <c r="T3" i="12"/>
  <c r="K51" i="10"/>
  <c r="K83" i="10" s="1"/>
  <c r="T23" i="14"/>
  <c r="U4" i="14"/>
  <c r="J52" i="15"/>
  <c r="J53" i="15" s="1"/>
  <c r="J46" i="15"/>
  <c r="K52" i="12"/>
  <c r="K53" i="12" s="1"/>
  <c r="K46" i="12"/>
  <c r="K59" i="17"/>
  <c r="U4" i="12"/>
  <c r="T23" i="12"/>
  <c r="K65" i="20"/>
  <c r="K66" i="20" s="1"/>
  <c r="L63" i="20" s="1"/>
  <c r="I86" i="20"/>
  <c r="I87" i="18"/>
  <c r="I89" i="18" s="1"/>
  <c r="I16" i="5" s="1"/>
  <c r="U4" i="18"/>
  <c r="T23" i="18"/>
  <c r="V3" i="20"/>
  <c r="K66" i="12"/>
  <c r="L63" i="12" s="1"/>
  <c r="L37" i="12"/>
  <c r="L37" i="11"/>
  <c r="L38" i="11"/>
  <c r="L39" i="11" s="1"/>
  <c r="J86" i="12"/>
  <c r="S23" i="5"/>
  <c r="S24" i="5" s="1"/>
  <c r="T101" i="21"/>
  <c r="R175" i="21"/>
  <c r="Q65" i="5"/>
  <c r="R169" i="21"/>
  <c r="Q31" i="5"/>
  <c r="Q172" i="21"/>
  <c r="P170" i="21"/>
  <c r="O48" i="5"/>
  <c r="O173" i="21"/>
  <c r="O174" i="21"/>
  <c r="N176" i="21"/>
  <c r="N178" i="21" s="1"/>
  <c r="N29" i="21" s="1"/>
  <c r="N83" i="21" s="1"/>
  <c r="N7" i="5" s="1"/>
  <c r="W23" i="20" l="1"/>
  <c r="X23" i="20" s="1"/>
  <c r="K45" i="14"/>
  <c r="K52" i="14" s="1"/>
  <c r="K53" i="14" s="1"/>
  <c r="J71" i="13"/>
  <c r="J70" i="13" s="1"/>
  <c r="J72" i="13" s="1"/>
  <c r="K69" i="13" s="1"/>
  <c r="L35" i="2"/>
  <c r="L37" i="2" s="1"/>
  <c r="L38" i="2" s="1"/>
  <c r="L39" i="2" s="1"/>
  <c r="M35" i="2" s="1"/>
  <c r="T23" i="2"/>
  <c r="U4" i="2"/>
  <c r="T3" i="21"/>
  <c r="S3" i="15"/>
  <c r="S3" i="13"/>
  <c r="S3" i="2"/>
  <c r="S3" i="9"/>
  <c r="S3" i="18"/>
  <c r="K71" i="10"/>
  <c r="K70" i="10" s="1"/>
  <c r="K72" i="10" s="1"/>
  <c r="K73" i="10" s="1"/>
  <c r="K79" i="10" s="1"/>
  <c r="V3" i="5"/>
  <c r="U3" i="10"/>
  <c r="K45" i="10"/>
  <c r="K52" i="10" s="1"/>
  <c r="K53" i="10" s="1"/>
  <c r="M35" i="15"/>
  <c r="L40" i="15"/>
  <c r="L78" i="15" s="1"/>
  <c r="L59" i="15"/>
  <c r="L60" i="15" s="1"/>
  <c r="M57" i="15" s="1"/>
  <c r="J45" i="13"/>
  <c r="M35" i="11"/>
  <c r="L40" i="11"/>
  <c r="L78" i="11" s="1"/>
  <c r="M58" i="14"/>
  <c r="M44" i="14"/>
  <c r="M64" i="14"/>
  <c r="K64" i="13"/>
  <c r="K58" i="13"/>
  <c r="K44" i="13"/>
  <c r="L66" i="9"/>
  <c r="M63" i="9" s="1"/>
  <c r="J53" i="5"/>
  <c r="J85" i="14"/>
  <c r="J84" i="14"/>
  <c r="J88" i="14"/>
  <c r="J70" i="5" s="1"/>
  <c r="L64" i="10"/>
  <c r="L58" i="10"/>
  <c r="L44" i="10"/>
  <c r="L50" i="12"/>
  <c r="K54" i="12"/>
  <c r="K77" i="12" s="1"/>
  <c r="U3" i="11"/>
  <c r="U3" i="14"/>
  <c r="J84" i="10"/>
  <c r="J88" i="10"/>
  <c r="J73" i="5" s="1"/>
  <c r="J85" i="10"/>
  <c r="J86" i="10" s="1"/>
  <c r="J87" i="10" s="1"/>
  <c r="J56" i="5"/>
  <c r="L39" i="10"/>
  <c r="K45" i="11"/>
  <c r="K71" i="11"/>
  <c r="I84" i="13"/>
  <c r="I88" i="13"/>
  <c r="I71" i="5" s="1"/>
  <c r="I54" i="5"/>
  <c r="I85" i="13"/>
  <c r="I86" i="13" s="1"/>
  <c r="I87" i="13" s="1"/>
  <c r="L38" i="12"/>
  <c r="W3" i="20"/>
  <c r="K60" i="17"/>
  <c r="L57" i="17" s="1"/>
  <c r="L43" i="12"/>
  <c r="K47" i="12"/>
  <c r="K50" i="15"/>
  <c r="J54" i="15"/>
  <c r="J77" i="15" s="1"/>
  <c r="U23" i="14"/>
  <c r="V4" i="14"/>
  <c r="J83" i="2"/>
  <c r="J71" i="2"/>
  <c r="J70" i="2" s="1"/>
  <c r="J72" i="2" s="1"/>
  <c r="J45" i="2"/>
  <c r="U23" i="11"/>
  <c r="V4" i="11"/>
  <c r="M39" i="14"/>
  <c r="J85" i="11"/>
  <c r="J86" i="11" s="1"/>
  <c r="J87" i="11" s="1"/>
  <c r="J88" i="11"/>
  <c r="J75" i="5" s="1"/>
  <c r="J84" i="11"/>
  <c r="J58" i="5"/>
  <c r="K59" i="2"/>
  <c r="K60" i="2" s="1"/>
  <c r="L57" i="2" s="1"/>
  <c r="K43" i="20"/>
  <c r="J47" i="20"/>
  <c r="M35" i="9"/>
  <c r="L40" i="9"/>
  <c r="L78" i="9" s="1"/>
  <c r="K39" i="13"/>
  <c r="K51" i="18"/>
  <c r="L38" i="18"/>
  <c r="K70" i="11"/>
  <c r="K72" i="11" s="1"/>
  <c r="K83" i="14"/>
  <c r="K71" i="14"/>
  <c r="K70" i="14" s="1"/>
  <c r="K72" i="14" s="1"/>
  <c r="L44" i="11"/>
  <c r="L64" i="11"/>
  <c r="L58" i="11"/>
  <c r="L59" i="11" s="1"/>
  <c r="U3" i="12"/>
  <c r="J83" i="17"/>
  <c r="J71" i="17"/>
  <c r="J70" i="17" s="1"/>
  <c r="J72" i="17" s="1"/>
  <c r="J45" i="17"/>
  <c r="K65" i="2"/>
  <c r="U23" i="9"/>
  <c r="V4" i="9"/>
  <c r="K50" i="20"/>
  <c r="J54" i="20"/>
  <c r="J77" i="20" s="1"/>
  <c r="I84" i="2"/>
  <c r="I88" i="2"/>
  <c r="I66" i="5" s="1"/>
  <c r="I49" i="5"/>
  <c r="I85" i="2"/>
  <c r="I76" i="19"/>
  <c r="I80" i="19" s="1"/>
  <c r="I33" i="5"/>
  <c r="I44" i="5" s="1"/>
  <c r="L37" i="20"/>
  <c r="L38" i="20" s="1"/>
  <c r="T23" i="13"/>
  <c r="U4" i="13"/>
  <c r="K76" i="9"/>
  <c r="K80" i="9" s="1"/>
  <c r="I51" i="5"/>
  <c r="I84" i="17"/>
  <c r="I88" i="17"/>
  <c r="I68" i="5" s="1"/>
  <c r="I85" i="17"/>
  <c r="I86" i="17" s="1"/>
  <c r="I87" i="17" s="1"/>
  <c r="V23" i="10"/>
  <c r="W4" i="10"/>
  <c r="K66" i="11"/>
  <c r="L63" i="11" s="1"/>
  <c r="J87" i="12"/>
  <c r="J89" i="12" s="1"/>
  <c r="V4" i="18"/>
  <c r="U23" i="18"/>
  <c r="I87" i="20"/>
  <c r="I89" i="20" s="1"/>
  <c r="U23" i="12"/>
  <c r="V4" i="12"/>
  <c r="K43" i="15"/>
  <c r="J47" i="15"/>
  <c r="K60" i="20"/>
  <c r="L57" i="20" s="1"/>
  <c r="L37" i="17"/>
  <c r="K38" i="19"/>
  <c r="J51" i="19"/>
  <c r="J45" i="19" s="1"/>
  <c r="T23" i="17"/>
  <c r="U4" i="17"/>
  <c r="W3" i="19"/>
  <c r="K66" i="17"/>
  <c r="L63" i="17" s="1"/>
  <c r="J76" i="18"/>
  <c r="J80" i="18" s="1"/>
  <c r="J40" i="5"/>
  <c r="T23" i="15"/>
  <c r="U4" i="15"/>
  <c r="L51" i="9"/>
  <c r="L83" i="9" s="1"/>
  <c r="T23" i="19"/>
  <c r="U4" i="19"/>
  <c r="K60" i="11"/>
  <c r="L57" i="11" s="1"/>
  <c r="K46" i="14"/>
  <c r="L59" i="9"/>
  <c r="L60" i="9" s="1"/>
  <c r="M57" i="9" s="1"/>
  <c r="U101" i="21"/>
  <c r="T23" i="5"/>
  <c r="T24" i="5" s="1"/>
  <c r="S175" i="21"/>
  <c r="R65" i="5"/>
  <c r="O176" i="21"/>
  <c r="O178" i="21" s="1"/>
  <c r="O29" i="21" s="1"/>
  <c r="O83" i="21" s="1"/>
  <c r="O7" i="5" s="1"/>
  <c r="S169" i="21"/>
  <c r="R31" i="5"/>
  <c r="R172" i="21"/>
  <c r="Q170" i="21"/>
  <c r="P48" i="5"/>
  <c r="P173" i="21"/>
  <c r="P174" i="21"/>
  <c r="L60" i="11" l="1"/>
  <c r="M57" i="11" s="1"/>
  <c r="L69" i="10"/>
  <c r="W23" i="10"/>
  <c r="X23" i="10" s="1"/>
  <c r="L50" i="14"/>
  <c r="K54" i="14"/>
  <c r="K77" i="14" s="1"/>
  <c r="U23" i="2"/>
  <c r="V4" i="2"/>
  <c r="U3" i="21"/>
  <c r="T3" i="18"/>
  <c r="T3" i="15"/>
  <c r="T3" i="13"/>
  <c r="T3" i="2"/>
  <c r="T3" i="9"/>
  <c r="K46" i="10"/>
  <c r="L43" i="10" s="1"/>
  <c r="W3" i="5"/>
  <c r="W3" i="10" s="1"/>
  <c r="V3" i="10"/>
  <c r="L45" i="9"/>
  <c r="L52" i="9" s="1"/>
  <c r="L53" i="9" s="1"/>
  <c r="L38" i="17"/>
  <c r="L39" i="17" s="1"/>
  <c r="M37" i="15"/>
  <c r="M38" i="15" s="1"/>
  <c r="J73" i="13"/>
  <c r="J79" i="13" s="1"/>
  <c r="J52" i="13"/>
  <c r="J53" i="13" s="1"/>
  <c r="J46" i="13"/>
  <c r="J52" i="19"/>
  <c r="J53" i="19" s="1"/>
  <c r="J46" i="19"/>
  <c r="L69" i="14"/>
  <c r="K73" i="14"/>
  <c r="K79" i="14" s="1"/>
  <c r="L43" i="14"/>
  <c r="K47" i="14"/>
  <c r="U23" i="19"/>
  <c r="V4" i="19"/>
  <c r="U23" i="15"/>
  <c r="V4" i="15"/>
  <c r="U23" i="17"/>
  <c r="V4" i="17"/>
  <c r="K64" i="19"/>
  <c r="K58" i="19"/>
  <c r="K44" i="19"/>
  <c r="L58" i="2"/>
  <c r="L59" i="2" s="1"/>
  <c r="L44" i="2"/>
  <c r="L64" i="2"/>
  <c r="L65" i="11"/>
  <c r="L66" i="11" s="1"/>
  <c r="M63" i="11" s="1"/>
  <c r="V4" i="13"/>
  <c r="U23" i="13"/>
  <c r="L44" i="20"/>
  <c r="L58" i="20"/>
  <c r="L59" i="20" s="1"/>
  <c r="L64" i="20"/>
  <c r="I86" i="2"/>
  <c r="I87" i="2" s="1"/>
  <c r="I89" i="2" s="1"/>
  <c r="I8" i="5" s="1"/>
  <c r="W4" i="9"/>
  <c r="V23" i="9"/>
  <c r="K69" i="17"/>
  <c r="J73" i="17"/>
  <c r="J79" i="17" s="1"/>
  <c r="K83" i="18"/>
  <c r="K71" i="18"/>
  <c r="K70" i="18" s="1"/>
  <c r="K72" i="18" s="1"/>
  <c r="M37" i="9"/>
  <c r="M38" i="9" s="1"/>
  <c r="N35" i="14"/>
  <c r="M40" i="14"/>
  <c r="M78" i="14" s="1"/>
  <c r="J52" i="2"/>
  <c r="J53" i="2" s="1"/>
  <c r="J46" i="2"/>
  <c r="K69" i="2"/>
  <c r="J73" i="2"/>
  <c r="J79" i="2" s="1"/>
  <c r="L44" i="12"/>
  <c r="L64" i="12"/>
  <c r="L58" i="12"/>
  <c r="M35" i="10"/>
  <c r="L40" i="10"/>
  <c r="L78" i="10" s="1"/>
  <c r="K39" i="19"/>
  <c r="M59" i="14"/>
  <c r="M60" i="14" s="1"/>
  <c r="N57" i="14" s="1"/>
  <c r="M37" i="11"/>
  <c r="M38" i="11" s="1"/>
  <c r="L50" i="10"/>
  <c r="K54" i="10"/>
  <c r="K77" i="10" s="1"/>
  <c r="J88" i="18"/>
  <c r="J74" i="5" s="1"/>
  <c r="J85" i="18"/>
  <c r="J86" i="18" s="1"/>
  <c r="J87" i="18" s="1"/>
  <c r="J57" i="5"/>
  <c r="J84" i="18"/>
  <c r="L58" i="17"/>
  <c r="L59" i="17" s="1"/>
  <c r="J76" i="15"/>
  <c r="J80" i="15" s="1"/>
  <c r="J35" i="5"/>
  <c r="V23" i="12"/>
  <c r="W4" i="12"/>
  <c r="W23" i="12" s="1"/>
  <c r="X23" i="12" s="1"/>
  <c r="M37" i="2"/>
  <c r="L39" i="20"/>
  <c r="J52" i="17"/>
  <c r="J53" i="17" s="1"/>
  <c r="J46" i="17"/>
  <c r="L69" i="11"/>
  <c r="K73" i="11"/>
  <c r="K79" i="11" s="1"/>
  <c r="L35" i="13"/>
  <c r="K40" i="13"/>
  <c r="K78" i="13" s="1"/>
  <c r="J76" i="20"/>
  <c r="J80" i="20" s="1"/>
  <c r="J43" i="5"/>
  <c r="W4" i="11"/>
  <c r="V23" i="11"/>
  <c r="V23" i="14"/>
  <c r="W4" i="14"/>
  <c r="I89" i="13"/>
  <c r="I13" i="5" s="1"/>
  <c r="J89" i="10"/>
  <c r="J15" i="5" s="1"/>
  <c r="L59" i="10"/>
  <c r="L60" i="10" s="1"/>
  <c r="M57" i="10" s="1"/>
  <c r="K59" i="13"/>
  <c r="M65" i="14"/>
  <c r="M66" i="14" s="1"/>
  <c r="N63" i="14" s="1"/>
  <c r="L39" i="12"/>
  <c r="J83" i="19"/>
  <c r="J71" i="19"/>
  <c r="J70" i="19"/>
  <c r="J72" i="19" s="1"/>
  <c r="K51" i="15"/>
  <c r="K45" i="15" s="1"/>
  <c r="K52" i="15" s="1"/>
  <c r="V23" i="18"/>
  <c r="W4" i="18"/>
  <c r="W23" i="18" s="1"/>
  <c r="X23" i="18" s="1"/>
  <c r="L40" i="2"/>
  <c r="L78" i="2" s="1"/>
  <c r="I89" i="17"/>
  <c r="K84" i="9"/>
  <c r="K55" i="5"/>
  <c r="K88" i="9"/>
  <c r="K72" i="5" s="1"/>
  <c r="K85" i="9"/>
  <c r="I85" i="19"/>
  <c r="I84" i="19"/>
  <c r="I88" i="19"/>
  <c r="I67" i="5" s="1"/>
  <c r="I78" i="5" s="1"/>
  <c r="I50" i="5"/>
  <c r="I61" i="5" s="1"/>
  <c r="K66" i="2"/>
  <c r="L63" i="2" s="1"/>
  <c r="V3" i="12"/>
  <c r="L64" i="18"/>
  <c r="L58" i="18"/>
  <c r="L44" i="18"/>
  <c r="K45" i="18"/>
  <c r="K51" i="20"/>
  <c r="J89" i="11"/>
  <c r="K76" i="12"/>
  <c r="K80" i="12" s="1"/>
  <c r="K42" i="5"/>
  <c r="K52" i="11"/>
  <c r="K53" i="11" s="1"/>
  <c r="K46" i="11"/>
  <c r="V3" i="14"/>
  <c r="V3" i="11"/>
  <c r="L39" i="18"/>
  <c r="L65" i="10"/>
  <c r="L66" i="10" s="1"/>
  <c r="M63" i="10" s="1"/>
  <c r="J86" i="14"/>
  <c r="J87" i="14" s="1"/>
  <c r="J89" i="14" s="1"/>
  <c r="L71" i="9"/>
  <c r="L70" i="9" s="1"/>
  <c r="L72" i="9" s="1"/>
  <c r="K65" i="13"/>
  <c r="K66" i="13" s="1"/>
  <c r="L63" i="13" s="1"/>
  <c r="V101" i="21"/>
  <c r="U23" i="5"/>
  <c r="U24" i="5" s="1"/>
  <c r="T169" i="21"/>
  <c r="S31" i="5"/>
  <c r="S172" i="21"/>
  <c r="R170" i="21"/>
  <c r="Q48" i="5"/>
  <c r="Q173" i="21"/>
  <c r="Q174" i="21"/>
  <c r="P176" i="21"/>
  <c r="P178" i="21" s="1"/>
  <c r="P29" i="21" s="1"/>
  <c r="P83" i="21" s="1"/>
  <c r="P7" i="5" s="1"/>
  <c r="T175" i="21"/>
  <c r="S65" i="5"/>
  <c r="W23" i="14" l="1"/>
  <c r="X23" i="14" s="1"/>
  <c r="L64" i="17"/>
  <c r="L65" i="17" s="1"/>
  <c r="V23" i="2"/>
  <c r="W4" i="2"/>
  <c r="L51" i="12"/>
  <c r="W23" i="11"/>
  <c r="X23" i="11" s="1"/>
  <c r="L44" i="17"/>
  <c r="M39" i="11"/>
  <c r="V3" i="21"/>
  <c r="U3" i="9"/>
  <c r="U3" i="18"/>
  <c r="U3" i="15"/>
  <c r="U3" i="13"/>
  <c r="U3" i="2"/>
  <c r="K47" i="10"/>
  <c r="K76" i="10" s="1"/>
  <c r="K80" i="10" s="1"/>
  <c r="J89" i="18"/>
  <c r="J16" i="5" s="1"/>
  <c r="L46" i="9"/>
  <c r="M43" i="9" s="1"/>
  <c r="L40" i="17"/>
  <c r="L78" i="17" s="1"/>
  <c r="M35" i="17"/>
  <c r="M37" i="17" s="1"/>
  <c r="L60" i="17"/>
  <c r="M57" i="17" s="1"/>
  <c r="M39" i="15"/>
  <c r="M44" i="15"/>
  <c r="M64" i="15"/>
  <c r="M65" i="15" s="1"/>
  <c r="M66" i="15" s="1"/>
  <c r="N63" i="15" s="1"/>
  <c r="M58" i="15"/>
  <c r="K50" i="13"/>
  <c r="J54" i="13"/>
  <c r="J77" i="13" s="1"/>
  <c r="K43" i="13"/>
  <c r="J47" i="13"/>
  <c r="N35" i="11"/>
  <c r="M40" i="11"/>
  <c r="M78" i="11" s="1"/>
  <c r="M64" i="9"/>
  <c r="M58" i="9"/>
  <c r="M44" i="9"/>
  <c r="M39" i="9"/>
  <c r="M69" i="9"/>
  <c r="L73" i="9"/>
  <c r="L79" i="9" s="1"/>
  <c r="W3" i="14"/>
  <c r="K69" i="19"/>
  <c r="J73" i="19"/>
  <c r="J79" i="19" s="1"/>
  <c r="W3" i="11"/>
  <c r="L43" i="11"/>
  <c r="K47" i="11"/>
  <c r="M35" i="18"/>
  <c r="L40" i="18"/>
  <c r="L78" i="18" s="1"/>
  <c r="L50" i="11"/>
  <c r="K54" i="11"/>
  <c r="K77" i="11" s="1"/>
  <c r="I86" i="19"/>
  <c r="I87" i="19"/>
  <c r="I89" i="19" s="1"/>
  <c r="K83" i="15"/>
  <c r="K71" i="15"/>
  <c r="K70" i="15" s="1"/>
  <c r="K72" i="15" s="1"/>
  <c r="K46" i="15"/>
  <c r="M35" i="12"/>
  <c r="L40" i="12"/>
  <c r="L78" i="12" s="1"/>
  <c r="K60" i="13"/>
  <c r="L57" i="13" s="1"/>
  <c r="K53" i="15"/>
  <c r="L37" i="13"/>
  <c r="K43" i="17"/>
  <c r="J47" i="17"/>
  <c r="M35" i="20"/>
  <c r="L40" i="20"/>
  <c r="L78" i="20" s="1"/>
  <c r="L51" i="10"/>
  <c r="L83" i="10" s="1"/>
  <c r="K43" i="2"/>
  <c r="J47" i="2"/>
  <c r="N37" i="14"/>
  <c r="N38" i="14" s="1"/>
  <c r="W23" i="9"/>
  <c r="X23" i="9" s="1"/>
  <c r="L65" i="20"/>
  <c r="L66" i="20" s="1"/>
  <c r="M63" i="20" s="1"/>
  <c r="K59" i="19"/>
  <c r="K60" i="19" s="1"/>
  <c r="L57" i="19" s="1"/>
  <c r="K36" i="5"/>
  <c r="K76" i="14"/>
  <c r="K80" i="14" s="1"/>
  <c r="M50" i="9"/>
  <c r="L54" i="9"/>
  <c r="L77" i="9" s="1"/>
  <c r="J88" i="20"/>
  <c r="J77" i="5" s="1"/>
  <c r="J85" i="20"/>
  <c r="J86" i="20" s="1"/>
  <c r="J87" i="20" s="1"/>
  <c r="J60" i="5"/>
  <c r="J84" i="20"/>
  <c r="J89" i="20" s="1"/>
  <c r="K50" i="17"/>
  <c r="J54" i="17"/>
  <c r="J77" i="17" s="1"/>
  <c r="M38" i="2"/>
  <c r="M39" i="2" s="1"/>
  <c r="L35" i="19"/>
  <c r="K40" i="19"/>
  <c r="K78" i="19" s="1"/>
  <c r="M37" i="10"/>
  <c r="L59" i="12"/>
  <c r="L60" i="12"/>
  <c r="M57" i="12" s="1"/>
  <c r="K50" i="2"/>
  <c r="J54" i="2"/>
  <c r="J77" i="2" s="1"/>
  <c r="V23" i="13"/>
  <c r="W4" i="13"/>
  <c r="W23" i="13" s="1"/>
  <c r="X23" i="13" s="1"/>
  <c r="L60" i="20"/>
  <c r="M57" i="20" s="1"/>
  <c r="K65" i="19"/>
  <c r="K66" i="19" s="1"/>
  <c r="L63" i="19" s="1"/>
  <c r="V23" i="15"/>
  <c r="W4" i="15"/>
  <c r="V23" i="19"/>
  <c r="W4" i="19"/>
  <c r="L51" i="14"/>
  <c r="L45" i="14" s="1"/>
  <c r="L52" i="14" s="1"/>
  <c r="K43" i="19"/>
  <c r="J47" i="19"/>
  <c r="K83" i="20"/>
  <c r="K71" i="20"/>
  <c r="K70" i="20" s="1"/>
  <c r="K72" i="20" s="1"/>
  <c r="L59" i="18"/>
  <c r="L60" i="18" s="1"/>
  <c r="M57" i="18" s="1"/>
  <c r="K50" i="19"/>
  <c r="J54" i="19"/>
  <c r="J77" i="19" s="1"/>
  <c r="K86" i="9"/>
  <c r="K87" i="9" s="1"/>
  <c r="K59" i="5"/>
  <c r="K85" i="12"/>
  <c r="K86" i="12" s="1"/>
  <c r="K87" i="12" s="1"/>
  <c r="K88" i="12"/>
  <c r="K76" i="5" s="1"/>
  <c r="K84" i="12"/>
  <c r="K45" i="20"/>
  <c r="K52" i="18"/>
  <c r="K53" i="18" s="1"/>
  <c r="K46" i="18"/>
  <c r="L65" i="18"/>
  <c r="W3" i="12"/>
  <c r="L65" i="2"/>
  <c r="L66" i="2" s="1"/>
  <c r="M63" i="2" s="1"/>
  <c r="L66" i="17"/>
  <c r="M63" i="17" s="1"/>
  <c r="J88" i="15"/>
  <c r="J69" i="5" s="1"/>
  <c r="J85" i="15"/>
  <c r="J84" i="15"/>
  <c r="J52" i="5"/>
  <c r="M64" i="11"/>
  <c r="M58" i="11"/>
  <c r="M44" i="11"/>
  <c r="L65" i="12"/>
  <c r="L71" i="12" s="1"/>
  <c r="L69" i="18"/>
  <c r="K73" i="18"/>
  <c r="K79" i="18" s="1"/>
  <c r="V23" i="17"/>
  <c r="W4" i="17"/>
  <c r="L60" i="2"/>
  <c r="M57" i="2" s="1"/>
  <c r="Q176" i="21"/>
  <c r="Q178" i="21" s="1"/>
  <c r="Q29" i="21" s="1"/>
  <c r="Q83" i="21" s="1"/>
  <c r="Q7" i="5" s="1"/>
  <c r="W101" i="21"/>
  <c r="W23" i="5" s="1"/>
  <c r="V23" i="5"/>
  <c r="V24" i="5" s="1"/>
  <c r="S170" i="21"/>
  <c r="R48" i="5"/>
  <c r="R173" i="21"/>
  <c r="R174" i="21"/>
  <c r="U169" i="21"/>
  <c r="T31" i="5"/>
  <c r="T172" i="21"/>
  <c r="U175" i="21"/>
  <c r="T65" i="5"/>
  <c r="W23" i="15" l="1"/>
  <c r="X23" i="15" s="1"/>
  <c r="W3" i="21"/>
  <c r="V3" i="9"/>
  <c r="V3" i="18"/>
  <c r="V3" i="15"/>
  <c r="V3" i="13"/>
  <c r="V3" i="2"/>
  <c r="L83" i="12"/>
  <c r="K89" i="12"/>
  <c r="W23" i="2"/>
  <c r="X23" i="2" s="1"/>
  <c r="L45" i="12"/>
  <c r="K39" i="5"/>
  <c r="L45" i="10"/>
  <c r="L52" i="10" s="1"/>
  <c r="L53" i="10" s="1"/>
  <c r="L54" i="10" s="1"/>
  <c r="L77" i="10" s="1"/>
  <c r="L47" i="9"/>
  <c r="L76" i="9" s="1"/>
  <c r="L80" i="9" s="1"/>
  <c r="M59" i="15"/>
  <c r="M60" i="15" s="1"/>
  <c r="N57" i="15" s="1"/>
  <c r="N35" i="15"/>
  <c r="M40" i="15"/>
  <c r="M78" i="15" s="1"/>
  <c r="K51" i="13"/>
  <c r="K45" i="13" s="1"/>
  <c r="J37" i="5"/>
  <c r="J76" i="13"/>
  <c r="J80" i="13" s="1"/>
  <c r="K88" i="14"/>
  <c r="K70" i="5" s="1"/>
  <c r="K53" i="5"/>
  <c r="K85" i="14"/>
  <c r="K86" i="14" s="1"/>
  <c r="K87" i="14" s="1"/>
  <c r="K84" i="14"/>
  <c r="M50" i="10"/>
  <c r="L69" i="15"/>
  <c r="K73" i="15"/>
  <c r="K79" i="15" s="1"/>
  <c r="N35" i="2"/>
  <c r="M40" i="2"/>
  <c r="M78" i="2" s="1"/>
  <c r="N64" i="14"/>
  <c r="N58" i="14"/>
  <c r="N44" i="14"/>
  <c r="L66" i="12"/>
  <c r="M63" i="12" s="1"/>
  <c r="L50" i="18"/>
  <c r="K54" i="18"/>
  <c r="K77" i="18" s="1"/>
  <c r="K51" i="19"/>
  <c r="K83" i="19" s="1"/>
  <c r="L83" i="14"/>
  <c r="L71" i="14"/>
  <c r="L70" i="14" s="1"/>
  <c r="L72" i="14" s="1"/>
  <c r="L53" i="14"/>
  <c r="L46" i="14"/>
  <c r="M38" i="10"/>
  <c r="M38" i="17"/>
  <c r="M51" i="9"/>
  <c r="M83" i="9" s="1"/>
  <c r="N39" i="14"/>
  <c r="J76" i="17"/>
  <c r="J80" i="17" s="1"/>
  <c r="J34" i="5"/>
  <c r="L50" i="15"/>
  <c r="K54" i="15"/>
  <c r="K77" i="15" s="1"/>
  <c r="M37" i="12"/>
  <c r="M38" i="12" s="1"/>
  <c r="L71" i="10"/>
  <c r="L70" i="10" s="1"/>
  <c r="L72" i="10" s="1"/>
  <c r="M65" i="11"/>
  <c r="M66" i="11" s="1"/>
  <c r="N63" i="11" s="1"/>
  <c r="W24" i="5"/>
  <c r="W23" i="17"/>
  <c r="X23" i="17" s="1"/>
  <c r="K85" i="10"/>
  <c r="K84" i="10"/>
  <c r="K56" i="5"/>
  <c r="K88" i="10"/>
  <c r="K73" i="5" s="1"/>
  <c r="J86" i="15"/>
  <c r="J87" i="15" s="1"/>
  <c r="L66" i="18"/>
  <c r="M63" i="18" s="1"/>
  <c r="K52" i="20"/>
  <c r="K53" i="20" s="1"/>
  <c r="K46" i="20"/>
  <c r="W23" i="19"/>
  <c r="X23" i="19" s="1"/>
  <c r="L70" i="12"/>
  <c r="L72" i="12" s="1"/>
  <c r="L37" i="19"/>
  <c r="J32" i="5"/>
  <c r="J76" i="2"/>
  <c r="J80" i="2" s="1"/>
  <c r="K51" i="17"/>
  <c r="K45" i="17" s="1"/>
  <c r="K52" i="17" s="1"/>
  <c r="K53" i="17" s="1"/>
  <c r="L50" i="17" s="1"/>
  <c r="L38" i="13"/>
  <c r="L43" i="15"/>
  <c r="K47" i="15"/>
  <c r="K76" i="11"/>
  <c r="K80" i="11" s="1"/>
  <c r="K41" i="5"/>
  <c r="M59" i="9"/>
  <c r="M60" i="9" s="1"/>
  <c r="N57" i="9" s="1"/>
  <c r="N37" i="11"/>
  <c r="M59" i="11"/>
  <c r="L43" i="18"/>
  <c r="K47" i="18"/>
  <c r="K89" i="9"/>
  <c r="K14" i="5" s="1"/>
  <c r="L69" i="20"/>
  <c r="K73" i="20"/>
  <c r="K79" i="20" s="1"/>
  <c r="J76" i="19"/>
  <c r="J80" i="19" s="1"/>
  <c r="J33" i="5"/>
  <c r="M44" i="2"/>
  <c r="M64" i="2"/>
  <c r="M65" i="2" s="1"/>
  <c r="M58" i="2"/>
  <c r="M59" i="2" s="1"/>
  <c r="L38" i="5"/>
  <c r="K51" i="2"/>
  <c r="M37" i="20"/>
  <c r="M37" i="18"/>
  <c r="L51" i="11"/>
  <c r="N35" i="9"/>
  <c r="M40" i="9"/>
  <c r="M78" i="9" s="1"/>
  <c r="M65" i="9"/>
  <c r="R176" i="21"/>
  <c r="R178" i="21" s="1"/>
  <c r="R29" i="21" s="1"/>
  <c r="R83" i="21" s="1"/>
  <c r="R7" i="5" s="1"/>
  <c r="V169" i="21"/>
  <c r="U31" i="5"/>
  <c r="U172" i="21"/>
  <c r="T170" i="21"/>
  <c r="S48" i="5"/>
  <c r="S174" i="21"/>
  <c r="S173" i="21"/>
  <c r="V175" i="21"/>
  <c r="U65" i="5"/>
  <c r="I18" i="5"/>
  <c r="L52" i="12" l="1"/>
  <c r="L53" i="12" s="1"/>
  <c r="L46" i="12"/>
  <c r="K71" i="19"/>
  <c r="K70" i="19" s="1"/>
  <c r="K72" i="19" s="1"/>
  <c r="W3" i="15"/>
  <c r="W3" i="13"/>
  <c r="W3" i="2"/>
  <c r="W3" i="9"/>
  <c r="W3" i="18"/>
  <c r="L46" i="10"/>
  <c r="M43" i="10" s="1"/>
  <c r="M71" i="9"/>
  <c r="M70" i="9" s="1"/>
  <c r="M72" i="9" s="1"/>
  <c r="M45" i="9"/>
  <c r="M52" i="9" s="1"/>
  <c r="M53" i="9" s="1"/>
  <c r="M54" i="9" s="1"/>
  <c r="M77" i="9" s="1"/>
  <c r="N37" i="15"/>
  <c r="N38" i="15" s="1"/>
  <c r="K46" i="13"/>
  <c r="K52" i="13"/>
  <c r="K53" i="13" s="1"/>
  <c r="J44" i="5"/>
  <c r="J45" i="5" s="1"/>
  <c r="J54" i="5"/>
  <c r="J85" i="13"/>
  <c r="J86" i="13" s="1"/>
  <c r="J87" i="13" s="1"/>
  <c r="J88" i="13"/>
  <c r="J71" i="5" s="1"/>
  <c r="J84" i="13"/>
  <c r="K83" i="13"/>
  <c r="K71" i="13"/>
  <c r="K70" i="13" s="1"/>
  <c r="K72" i="13" s="1"/>
  <c r="L55" i="5"/>
  <c r="L85" i="9"/>
  <c r="L84" i="9"/>
  <c r="L88" i="9"/>
  <c r="L72" i="5" s="1"/>
  <c r="M66" i="2"/>
  <c r="N63" i="2" s="1"/>
  <c r="M69" i="14"/>
  <c r="L73" i="14"/>
  <c r="L79" i="14" s="1"/>
  <c r="J88" i="19"/>
  <c r="J67" i="5" s="1"/>
  <c r="J50" i="5"/>
  <c r="J85" i="19"/>
  <c r="J86" i="19" s="1"/>
  <c r="J87" i="19" s="1"/>
  <c r="J84" i="19"/>
  <c r="M64" i="12"/>
  <c r="M65" i="12" s="1"/>
  <c r="M58" i="12"/>
  <c r="M44" i="12"/>
  <c r="L83" i="11"/>
  <c r="L71" i="11"/>
  <c r="L70" i="11" s="1"/>
  <c r="L72" i="11" s="1"/>
  <c r="K76" i="15"/>
  <c r="K80" i="15" s="1"/>
  <c r="K35" i="5"/>
  <c r="M66" i="9"/>
  <c r="N63" i="9" s="1"/>
  <c r="N37" i="9"/>
  <c r="N38" i="9" s="1"/>
  <c r="M38" i="20"/>
  <c r="M39" i="20" s="1"/>
  <c r="K83" i="2"/>
  <c r="K71" i="2"/>
  <c r="K70" i="2" s="1"/>
  <c r="K72" i="2" s="1"/>
  <c r="N38" i="11"/>
  <c r="K85" i="11"/>
  <c r="K86" i="11" s="1"/>
  <c r="K87" i="11" s="1"/>
  <c r="K88" i="11"/>
  <c r="K75" i="5" s="1"/>
  <c r="K58" i="5"/>
  <c r="K84" i="11"/>
  <c r="J49" i="5"/>
  <c r="J84" i="2"/>
  <c r="J85" i="2"/>
  <c r="J88" i="2"/>
  <c r="J66" i="5" s="1"/>
  <c r="K54" i="17"/>
  <c r="K77" i="17" s="1"/>
  <c r="M69" i="12"/>
  <c r="L73" i="12"/>
  <c r="L79" i="12" s="1"/>
  <c r="L43" i="20"/>
  <c r="K47" i="20"/>
  <c r="J89" i="15"/>
  <c r="M39" i="12"/>
  <c r="M64" i="17"/>
  <c r="M44" i="17"/>
  <c r="M58" i="17"/>
  <c r="M43" i="14"/>
  <c r="L47" i="14"/>
  <c r="M60" i="2"/>
  <c r="N57" i="2" s="1"/>
  <c r="N59" i="14"/>
  <c r="N60" i="14"/>
  <c r="O57" i="14" s="1"/>
  <c r="L50" i="20"/>
  <c r="K54" i="20"/>
  <c r="K77" i="20" s="1"/>
  <c r="K86" i="10"/>
  <c r="K87" i="10" s="1"/>
  <c r="K89" i="10" s="1"/>
  <c r="K15" i="5" s="1"/>
  <c r="M69" i="10"/>
  <c r="L73" i="10"/>
  <c r="L79" i="10" s="1"/>
  <c r="O35" i="14"/>
  <c r="N40" i="14"/>
  <c r="N78" i="14" s="1"/>
  <c r="M64" i="10"/>
  <c r="M58" i="10"/>
  <c r="M44" i="10"/>
  <c r="M50" i="14"/>
  <c r="L54" i="14"/>
  <c r="L77" i="14" s="1"/>
  <c r="N65" i="14"/>
  <c r="N66" i="14" s="1"/>
  <c r="O63" i="14" s="1"/>
  <c r="N37" i="2"/>
  <c r="N38" i="2" s="1"/>
  <c r="K76" i="18"/>
  <c r="K80" i="18" s="1"/>
  <c r="K40" i="5"/>
  <c r="L64" i="13"/>
  <c r="L44" i="13"/>
  <c r="L58" i="13"/>
  <c r="L45" i="11"/>
  <c r="M38" i="18"/>
  <c r="K45" i="2"/>
  <c r="L51" i="18"/>
  <c r="M60" i="11"/>
  <c r="N57" i="11" s="1"/>
  <c r="L51" i="15"/>
  <c r="L45" i="15" s="1"/>
  <c r="L52" i="15" s="1"/>
  <c r="K83" i="17"/>
  <c r="K71" i="17"/>
  <c r="K70" i="17" s="1"/>
  <c r="K72" i="17" s="1"/>
  <c r="K46" i="17"/>
  <c r="L38" i="19"/>
  <c r="J85" i="17"/>
  <c r="J84" i="17"/>
  <c r="J88" i="17"/>
  <c r="J68" i="5" s="1"/>
  <c r="J51" i="5"/>
  <c r="K45" i="19"/>
  <c r="M39" i="17"/>
  <c r="M39" i="10"/>
  <c r="L39" i="13"/>
  <c r="K89" i="14"/>
  <c r="S176" i="21"/>
  <c r="S178" i="21" s="1"/>
  <c r="S29" i="21" s="1"/>
  <c r="S83" i="21" s="1"/>
  <c r="S7" i="5" s="1"/>
  <c r="U170" i="21"/>
  <c r="T48" i="5"/>
  <c r="T174" i="21"/>
  <c r="T173" i="21"/>
  <c r="W175" i="21"/>
  <c r="W65" i="5" s="1"/>
  <c r="V65" i="5"/>
  <c r="W169" i="21"/>
  <c r="V31" i="5"/>
  <c r="V172" i="21"/>
  <c r="I11" i="5"/>
  <c r="L69" i="19" l="1"/>
  <c r="K73" i="19"/>
  <c r="K79" i="19" s="1"/>
  <c r="M43" i="12"/>
  <c r="L47" i="12"/>
  <c r="J89" i="19"/>
  <c r="M50" i="12"/>
  <c r="L54" i="12"/>
  <c r="L77" i="12" s="1"/>
  <c r="N50" i="9"/>
  <c r="L47" i="10"/>
  <c r="L76" i="10" s="1"/>
  <c r="L80" i="10" s="1"/>
  <c r="M46" i="9"/>
  <c r="N43" i="9" s="1"/>
  <c r="L46" i="15"/>
  <c r="M43" i="15" s="1"/>
  <c r="N39" i="15"/>
  <c r="N58" i="15"/>
  <c r="N44" i="15"/>
  <c r="N64" i="15"/>
  <c r="N65" i="15" s="1"/>
  <c r="N66" i="15" s="1"/>
  <c r="O63" i="15" s="1"/>
  <c r="L53" i="15"/>
  <c r="L54" i="15" s="1"/>
  <c r="L77" i="15" s="1"/>
  <c r="J89" i="13"/>
  <c r="J13" i="5" s="1"/>
  <c r="L50" i="13"/>
  <c r="K54" i="13"/>
  <c r="K77" i="13" s="1"/>
  <c r="L69" i="13"/>
  <c r="K73" i="13"/>
  <c r="K79" i="13" s="1"/>
  <c r="K47" i="13"/>
  <c r="L43" i="13"/>
  <c r="L51" i="13" s="1"/>
  <c r="N35" i="20"/>
  <c r="M40" i="20"/>
  <c r="M78" i="20" s="1"/>
  <c r="M69" i="11"/>
  <c r="L73" i="11"/>
  <c r="L79" i="11" s="1"/>
  <c r="N64" i="2"/>
  <c r="N65" i="2" s="1"/>
  <c r="N66" i="2" s="1"/>
  <c r="O63" i="2" s="1"/>
  <c r="N58" i="2"/>
  <c r="N59" i="2" s="1"/>
  <c r="N44" i="2"/>
  <c r="N64" i="9"/>
  <c r="N65" i="9" s="1"/>
  <c r="N58" i="9"/>
  <c r="N44" i="9"/>
  <c r="M35" i="13"/>
  <c r="L40" i="13"/>
  <c r="L78" i="13" s="1"/>
  <c r="L58" i="19"/>
  <c r="L64" i="19"/>
  <c r="L44" i="19"/>
  <c r="L69" i="17"/>
  <c r="K73" i="17"/>
  <c r="K79" i="17" s="1"/>
  <c r="N69" i="9"/>
  <c r="M73" i="9"/>
  <c r="M79" i="9" s="1"/>
  <c r="K52" i="2"/>
  <c r="K53" i="2" s="1"/>
  <c r="K46" i="2"/>
  <c r="L59" i="13"/>
  <c r="L60" i="13" s="1"/>
  <c r="M57" i="13" s="1"/>
  <c r="L76" i="14"/>
  <c r="L36" i="5"/>
  <c r="M51" i="10"/>
  <c r="M45" i="10" s="1"/>
  <c r="M52" i="10" s="1"/>
  <c r="N35" i="12"/>
  <c r="M40" i="12"/>
  <c r="M78" i="12" s="1"/>
  <c r="J78" i="5"/>
  <c r="J79" i="5" s="1"/>
  <c r="J61" i="5"/>
  <c r="J62" i="5" s="1"/>
  <c r="L69" i="2"/>
  <c r="K73" i="2"/>
  <c r="K79" i="2" s="1"/>
  <c r="N39" i="9"/>
  <c r="N35" i="10"/>
  <c r="M40" i="10"/>
  <c r="M78" i="10" s="1"/>
  <c r="L43" i="17"/>
  <c r="K47" i="17"/>
  <c r="L83" i="18"/>
  <c r="L71" i="18"/>
  <c r="L70" i="18" s="1"/>
  <c r="L72" i="18" s="1"/>
  <c r="L45" i="18"/>
  <c r="M44" i="18"/>
  <c r="M64" i="18"/>
  <c r="M58" i="18"/>
  <c r="N39" i="2"/>
  <c r="M59" i="10"/>
  <c r="M60" i="10" s="1"/>
  <c r="N57" i="10" s="1"/>
  <c r="O37" i="14"/>
  <c r="O38" i="14" s="1"/>
  <c r="M51" i="14"/>
  <c r="M65" i="17"/>
  <c r="K76" i="20"/>
  <c r="K80" i="20" s="1"/>
  <c r="K43" i="5"/>
  <c r="J86" i="2"/>
  <c r="J87" i="2" s="1"/>
  <c r="K89" i="11"/>
  <c r="L39" i="19"/>
  <c r="M39" i="18"/>
  <c r="L86" i="9"/>
  <c r="L87" i="9" s="1"/>
  <c r="L89" i="9" s="1"/>
  <c r="L14" i="5" s="1"/>
  <c r="N35" i="17"/>
  <c r="M40" i="17"/>
  <c r="M78" i="17" s="1"/>
  <c r="K52" i="19"/>
  <c r="K53" i="19" s="1"/>
  <c r="K46" i="19"/>
  <c r="J86" i="17"/>
  <c r="J87" i="17"/>
  <c r="J89" i="17" s="1"/>
  <c r="L83" i="15"/>
  <c r="L71" i="15"/>
  <c r="L70" i="15" s="1"/>
  <c r="L72" i="15" s="1"/>
  <c r="L52" i="11"/>
  <c r="L53" i="11" s="1"/>
  <c r="L46" i="11"/>
  <c r="L65" i="13"/>
  <c r="L66" i="13" s="1"/>
  <c r="M63" i="13" s="1"/>
  <c r="K85" i="18"/>
  <c r="K86" i="18" s="1"/>
  <c r="K87" i="18" s="1"/>
  <c r="K88" i="18"/>
  <c r="K74" i="5" s="1"/>
  <c r="K84" i="18"/>
  <c r="K57" i="5"/>
  <c r="M65" i="10"/>
  <c r="K84" i="15"/>
  <c r="K52" i="5"/>
  <c r="K85" i="15"/>
  <c r="K88" i="15"/>
  <c r="K69" i="5" s="1"/>
  <c r="M66" i="12"/>
  <c r="N63" i="12" s="1"/>
  <c r="M59" i="17"/>
  <c r="M60" i="17" s="1"/>
  <c r="N57" i="17" s="1"/>
  <c r="L51" i="20"/>
  <c r="N44" i="11"/>
  <c r="N64" i="11"/>
  <c r="N58" i="11"/>
  <c r="N59" i="11" s="1"/>
  <c r="M64" i="20"/>
  <c r="M58" i="20"/>
  <c r="M44" i="20"/>
  <c r="M59" i="12"/>
  <c r="M60" i="12" s="1"/>
  <c r="N57" i="12" s="1"/>
  <c r="N39" i="11"/>
  <c r="L80" i="14"/>
  <c r="W31" i="5"/>
  <c r="W172" i="21"/>
  <c r="V170" i="21"/>
  <c r="U48" i="5"/>
  <c r="U173" i="21"/>
  <c r="U174" i="21"/>
  <c r="T176" i="21"/>
  <c r="T178" i="21" s="1"/>
  <c r="T29" i="21" s="1"/>
  <c r="T83" i="21" s="1"/>
  <c r="T7" i="5" s="1"/>
  <c r="I17" i="5"/>
  <c r="I10" i="5"/>
  <c r="M51" i="12" l="1"/>
  <c r="M71" i="12" s="1"/>
  <c r="M45" i="14"/>
  <c r="M52" i="14" s="1"/>
  <c r="M53" i="14" s="1"/>
  <c r="L76" i="12"/>
  <c r="L80" i="12" s="1"/>
  <c r="L42" i="5"/>
  <c r="L39" i="5"/>
  <c r="M71" i="10"/>
  <c r="M70" i="10" s="1"/>
  <c r="M72" i="10" s="1"/>
  <c r="M66" i="10"/>
  <c r="N63" i="10" s="1"/>
  <c r="M47" i="9"/>
  <c r="M76" i="9" s="1"/>
  <c r="M80" i="9" s="1"/>
  <c r="L47" i="15"/>
  <c r="L76" i="15" s="1"/>
  <c r="M51" i="15"/>
  <c r="M71" i="15" s="1"/>
  <c r="M70" i="15" s="1"/>
  <c r="M50" i="15"/>
  <c r="N59" i="15"/>
  <c r="N60" i="15" s="1"/>
  <c r="O57" i="15" s="1"/>
  <c r="O35" i="15"/>
  <c r="N40" i="15"/>
  <c r="N78" i="15" s="1"/>
  <c r="K37" i="5"/>
  <c r="K76" i="13"/>
  <c r="K80" i="13" s="1"/>
  <c r="N60" i="2"/>
  <c r="O57" i="2" s="1"/>
  <c r="L56" i="5"/>
  <c r="L85" i="10"/>
  <c r="L86" i="10" s="1"/>
  <c r="L87" i="10" s="1"/>
  <c r="L88" i="10"/>
  <c r="L73" i="5" s="1"/>
  <c r="L84" i="10"/>
  <c r="O64" i="14"/>
  <c r="O44" i="14"/>
  <c r="O58" i="14"/>
  <c r="M59" i="20"/>
  <c r="M60" i="20" s="1"/>
  <c r="N57" i="20" s="1"/>
  <c r="N65" i="11"/>
  <c r="L83" i="20"/>
  <c r="L71" i="20"/>
  <c r="L70" i="20" s="1"/>
  <c r="L72" i="20" s="1"/>
  <c r="L83" i="13"/>
  <c r="M69" i="15"/>
  <c r="L73" i="15"/>
  <c r="L79" i="15" s="1"/>
  <c r="L50" i="19"/>
  <c r="K54" i="19"/>
  <c r="K77" i="19" s="1"/>
  <c r="M35" i="19"/>
  <c r="L40" i="19"/>
  <c r="L78" i="19" s="1"/>
  <c r="O39" i="14"/>
  <c r="O35" i="2"/>
  <c r="N40" i="2"/>
  <c r="N78" i="2" s="1"/>
  <c r="M65" i="18"/>
  <c r="M69" i="18"/>
  <c r="L73" i="18"/>
  <c r="L79" i="18" s="1"/>
  <c r="L51" i="17"/>
  <c r="L45" i="17" s="1"/>
  <c r="L52" i="17" s="1"/>
  <c r="M83" i="10"/>
  <c r="M53" i="10"/>
  <c r="M46" i="10"/>
  <c r="L50" i="2"/>
  <c r="K54" i="2"/>
  <c r="K77" i="2" s="1"/>
  <c r="L59" i="19"/>
  <c r="L60" i="19" s="1"/>
  <c r="M57" i="19" s="1"/>
  <c r="N59" i="9"/>
  <c r="L85" i="14"/>
  <c r="L86" i="14" s="1"/>
  <c r="L87" i="14" s="1"/>
  <c r="L84" i="14"/>
  <c r="L88" i="14"/>
  <c r="L70" i="5" s="1"/>
  <c r="L53" i="5"/>
  <c r="M70" i="12"/>
  <c r="M72" i="12" s="1"/>
  <c r="M65" i="20"/>
  <c r="L45" i="20"/>
  <c r="M43" i="11"/>
  <c r="L47" i="11"/>
  <c r="K88" i="20"/>
  <c r="K77" i="5" s="1"/>
  <c r="K84" i="20"/>
  <c r="K60" i="5"/>
  <c r="K85" i="20"/>
  <c r="M66" i="17"/>
  <c r="N63" i="17" s="1"/>
  <c r="M46" i="14"/>
  <c r="L52" i="18"/>
  <c r="L53" i="18" s="1"/>
  <c r="L46" i="18"/>
  <c r="O35" i="9"/>
  <c r="N40" i="9"/>
  <c r="N78" i="9" s="1"/>
  <c r="N60" i="11"/>
  <c r="O57" i="11" s="1"/>
  <c r="M37" i="13"/>
  <c r="O35" i="11"/>
  <c r="N40" i="11"/>
  <c r="N78" i="11" s="1"/>
  <c r="K86" i="15"/>
  <c r="K87" i="15" s="1"/>
  <c r="K89" i="15" s="1"/>
  <c r="K89" i="18"/>
  <c r="K16" i="5" s="1"/>
  <c r="L71" i="13"/>
  <c r="L70" i="13" s="1"/>
  <c r="L72" i="13" s="1"/>
  <c r="M50" i="11"/>
  <c r="L54" i="11"/>
  <c r="L77" i="11" s="1"/>
  <c r="L43" i="19"/>
  <c r="K47" i="19"/>
  <c r="N37" i="17"/>
  <c r="N35" i="18"/>
  <c r="M40" i="18"/>
  <c r="M78" i="18" s="1"/>
  <c r="N66" i="9"/>
  <c r="O63" i="9" s="1"/>
  <c r="J89" i="2"/>
  <c r="J8" i="5" s="1"/>
  <c r="L45" i="13"/>
  <c r="M83" i="14"/>
  <c r="M71" i="14"/>
  <c r="M70" i="14"/>
  <c r="M72" i="14" s="1"/>
  <c r="M59" i="18"/>
  <c r="M60" i="18" s="1"/>
  <c r="N57" i="18" s="1"/>
  <c r="K76" i="17"/>
  <c r="K80" i="17" s="1"/>
  <c r="K34" i="5"/>
  <c r="N37" i="10"/>
  <c r="N37" i="12"/>
  <c r="N38" i="12" s="1"/>
  <c r="L43" i="2"/>
  <c r="K47" i="2"/>
  <c r="L65" i="19"/>
  <c r="L66" i="19" s="1"/>
  <c r="M63" i="19" s="1"/>
  <c r="N51" i="9"/>
  <c r="N37" i="20"/>
  <c r="N38" i="20"/>
  <c r="U176" i="21"/>
  <c r="U178" i="21" s="1"/>
  <c r="U29" i="21" s="1"/>
  <c r="U83" i="21" s="1"/>
  <c r="U7" i="5" s="1"/>
  <c r="W170" i="21"/>
  <c r="V48" i="5"/>
  <c r="V173" i="21"/>
  <c r="V174" i="21"/>
  <c r="J11" i="5"/>
  <c r="M38" i="5" l="1"/>
  <c r="L89" i="14"/>
  <c r="N50" i="14"/>
  <c r="M54" i="14"/>
  <c r="M77" i="14" s="1"/>
  <c r="M83" i="15"/>
  <c r="M83" i="12"/>
  <c r="L59" i="5"/>
  <c r="L88" i="12"/>
  <c r="L76" i="5" s="1"/>
  <c r="L84" i="12"/>
  <c r="L85" i="12"/>
  <c r="L86" i="12" s="1"/>
  <c r="M45" i="12"/>
  <c r="M45" i="15"/>
  <c r="M52" i="15" s="1"/>
  <c r="M53" i="15" s="1"/>
  <c r="N50" i="15" s="1"/>
  <c r="L89" i="10"/>
  <c r="L15" i="5" s="1"/>
  <c r="L35" i="5"/>
  <c r="O37" i="15"/>
  <c r="O38" i="15" s="1"/>
  <c r="M38" i="13"/>
  <c r="M39" i="13" s="1"/>
  <c r="K84" i="13"/>
  <c r="K85" i="13"/>
  <c r="K86" i="13" s="1"/>
  <c r="K87" i="13" s="1"/>
  <c r="K54" i="5"/>
  <c r="K88" i="13"/>
  <c r="K71" i="5" s="1"/>
  <c r="N58" i="12"/>
  <c r="N44" i="12"/>
  <c r="N64" i="12"/>
  <c r="M69" i="13"/>
  <c r="L73" i="13"/>
  <c r="L79" i="13" s="1"/>
  <c r="N44" i="20"/>
  <c r="N64" i="20"/>
  <c r="N58" i="20"/>
  <c r="N59" i="20" s="1"/>
  <c r="N39" i="20"/>
  <c r="K76" i="2"/>
  <c r="K80" i="2" s="1"/>
  <c r="K32" i="5"/>
  <c r="N39" i="12"/>
  <c r="N38" i="10"/>
  <c r="N39" i="10" s="1"/>
  <c r="N38" i="17"/>
  <c r="K76" i="19"/>
  <c r="K80" i="19" s="1"/>
  <c r="K33" i="5"/>
  <c r="K86" i="20"/>
  <c r="K87" i="20" s="1"/>
  <c r="K89" i="20" s="1"/>
  <c r="L76" i="11"/>
  <c r="L80" i="11" s="1"/>
  <c r="L41" i="5"/>
  <c r="N50" i="10"/>
  <c r="M54" i="10"/>
  <c r="M77" i="10" s="1"/>
  <c r="O37" i="2"/>
  <c r="O38" i="2" s="1"/>
  <c r="O39" i="2" s="1"/>
  <c r="M69" i="20"/>
  <c r="L73" i="20"/>
  <c r="L79" i="20" s="1"/>
  <c r="N83" i="9"/>
  <c r="N45" i="9"/>
  <c r="K88" i="17"/>
  <c r="K68" i="5" s="1"/>
  <c r="K84" i="17"/>
  <c r="K51" i="5"/>
  <c r="K85" i="17"/>
  <c r="L51" i="2"/>
  <c r="N37" i="18"/>
  <c r="N38" i="18" s="1"/>
  <c r="L51" i="19"/>
  <c r="L83" i="19" s="1"/>
  <c r="O37" i="9"/>
  <c r="O38" i="9" s="1"/>
  <c r="M43" i="18"/>
  <c r="L47" i="18"/>
  <c r="N43" i="14"/>
  <c r="M47" i="14"/>
  <c r="N71" i="9"/>
  <c r="N70" i="9" s="1"/>
  <c r="N72" i="9" s="1"/>
  <c r="M51" i="11"/>
  <c r="M66" i="20"/>
  <c r="N63" i="20" s="1"/>
  <c r="L83" i="17"/>
  <c r="L71" i="17"/>
  <c r="L70" i="17" s="1"/>
  <c r="L72" i="17" s="1"/>
  <c r="L53" i="17"/>
  <c r="M66" i="18"/>
  <c r="N63" i="18" s="1"/>
  <c r="P35" i="14"/>
  <c r="O40" i="14"/>
  <c r="O78" i="14" s="1"/>
  <c r="M37" i="19"/>
  <c r="L80" i="15"/>
  <c r="O65" i="14"/>
  <c r="L71" i="19"/>
  <c r="M55" i="5"/>
  <c r="M85" i="9"/>
  <c r="M86" i="9" s="1"/>
  <c r="M87" i="9" s="1"/>
  <c r="M84" i="9"/>
  <c r="M88" i="9"/>
  <c r="M72" i="5" s="1"/>
  <c r="N69" i="10"/>
  <c r="M73" i="10"/>
  <c r="M79" i="10" s="1"/>
  <c r="N69" i="14"/>
  <c r="M73" i="14"/>
  <c r="M79" i="14" s="1"/>
  <c r="L52" i="13"/>
  <c r="L53" i="13" s="1"/>
  <c r="L46" i="13"/>
  <c r="O37" i="11"/>
  <c r="O38" i="11" s="1"/>
  <c r="M50" i="18"/>
  <c r="L54" i="18"/>
  <c r="L77" i="18" s="1"/>
  <c r="L52" i="20"/>
  <c r="L53" i="20" s="1"/>
  <c r="L46" i="20"/>
  <c r="N69" i="12"/>
  <c r="M73" i="12"/>
  <c r="M79" i="12" s="1"/>
  <c r="N60" i="9"/>
  <c r="O57" i="9" s="1"/>
  <c r="N43" i="10"/>
  <c r="M47" i="10"/>
  <c r="L87" i="12"/>
  <c r="L46" i="17"/>
  <c r="M72" i="15"/>
  <c r="N69" i="15" s="1"/>
  <c r="N66" i="11"/>
  <c r="O63" i="11" s="1"/>
  <c r="O59" i="14"/>
  <c r="O60" i="14" s="1"/>
  <c r="P57" i="14" s="1"/>
  <c r="V176" i="21"/>
  <c r="V178" i="21" s="1"/>
  <c r="V29" i="21" s="1"/>
  <c r="V83" i="21" s="1"/>
  <c r="V7" i="5" s="1"/>
  <c r="W48" i="5"/>
  <c r="W174" i="21"/>
  <c r="W173" i="21"/>
  <c r="I19" i="5"/>
  <c r="I12" i="5"/>
  <c r="M58" i="13" l="1"/>
  <c r="M38" i="19"/>
  <c r="M39" i="19" s="1"/>
  <c r="N60" i="20"/>
  <c r="O57" i="20" s="1"/>
  <c r="L45" i="19"/>
  <c r="L52" i="19" s="1"/>
  <c r="M46" i="15"/>
  <c r="M52" i="12"/>
  <c r="M53" i="12" s="1"/>
  <c r="M46" i="12"/>
  <c r="L89" i="12"/>
  <c r="L70" i="19"/>
  <c r="L72" i="19" s="1"/>
  <c r="M54" i="15"/>
  <c r="M77" i="15" s="1"/>
  <c r="N39" i="18"/>
  <c r="O35" i="18" s="1"/>
  <c r="O39" i="15"/>
  <c r="P35" i="15" s="1"/>
  <c r="O58" i="15"/>
  <c r="O64" i="15"/>
  <c r="O65" i="15" s="1"/>
  <c r="O66" i="15" s="1"/>
  <c r="P63" i="15" s="1"/>
  <c r="O44" i="15"/>
  <c r="M64" i="13"/>
  <c r="M65" i="13" s="1"/>
  <c r="M66" i="13" s="1"/>
  <c r="N63" i="13" s="1"/>
  <c r="M44" i="13"/>
  <c r="N35" i="13"/>
  <c r="N37" i="13" s="1"/>
  <c r="N38" i="13" s="1"/>
  <c r="N44" i="13" s="1"/>
  <c r="M40" i="13"/>
  <c r="M78" i="13" s="1"/>
  <c r="K89" i="13"/>
  <c r="K13" i="5" s="1"/>
  <c r="O69" i="9"/>
  <c r="N73" i="9"/>
  <c r="N79" i="9" s="1"/>
  <c r="N40" i="18"/>
  <c r="N78" i="18" s="1"/>
  <c r="O35" i="10"/>
  <c r="N40" i="10"/>
  <c r="N78" i="10" s="1"/>
  <c r="M69" i="17"/>
  <c r="L73" i="17"/>
  <c r="L79" i="17" s="1"/>
  <c r="P35" i="2"/>
  <c r="O40" i="2"/>
  <c r="O78" i="2" s="1"/>
  <c r="O44" i="9"/>
  <c r="O64" i="9"/>
  <c r="O58" i="9"/>
  <c r="O59" i="9" s="1"/>
  <c r="O60" i="9" s="1"/>
  <c r="P57" i="9" s="1"/>
  <c r="O39" i="9"/>
  <c r="M50" i="20"/>
  <c r="L54" i="20"/>
  <c r="L77" i="20" s="1"/>
  <c r="M59" i="13"/>
  <c r="M50" i="17"/>
  <c r="L54" i="17"/>
  <c r="L77" i="17" s="1"/>
  <c r="M45" i="11"/>
  <c r="N51" i="14"/>
  <c r="L83" i="2"/>
  <c r="L71" i="2"/>
  <c r="L70" i="2" s="1"/>
  <c r="L72" i="2" s="1"/>
  <c r="N52" i="9"/>
  <c r="N53" i="9" s="1"/>
  <c r="N46" i="9"/>
  <c r="L53" i="19"/>
  <c r="N64" i="17"/>
  <c r="N58" i="17"/>
  <c r="N44" i="17"/>
  <c r="O35" i="12"/>
  <c r="N40" i="12"/>
  <c r="N78" i="12" s="1"/>
  <c r="O35" i="20"/>
  <c r="N40" i="20"/>
  <c r="N78" i="20" s="1"/>
  <c r="M76" i="10"/>
  <c r="M80" i="10" s="1"/>
  <c r="M39" i="5"/>
  <c r="O44" i="11"/>
  <c r="O64" i="11"/>
  <c r="O58" i="11"/>
  <c r="O39" i="11"/>
  <c r="M43" i="13"/>
  <c r="L47" i="13"/>
  <c r="L85" i="15"/>
  <c r="L52" i="5"/>
  <c r="L84" i="15"/>
  <c r="L88" i="15"/>
  <c r="L69" i="5" s="1"/>
  <c r="P37" i="14"/>
  <c r="P38" i="14" s="1"/>
  <c r="M83" i="11"/>
  <c r="M71" i="11"/>
  <c r="M70" i="11" s="1"/>
  <c r="M72" i="11" s="1"/>
  <c r="L76" i="18"/>
  <c r="L80" i="18" s="1"/>
  <c r="L40" i="5"/>
  <c r="N64" i="18"/>
  <c r="N58" i="18"/>
  <c r="N44" i="18"/>
  <c r="O58" i="2"/>
  <c r="O44" i="2"/>
  <c r="O64" i="2"/>
  <c r="K44" i="5"/>
  <c r="K45" i="5" s="1"/>
  <c r="N39" i="17"/>
  <c r="N59" i="12"/>
  <c r="N60" i="12" s="1"/>
  <c r="O57" i="12" s="1"/>
  <c r="M73" i="15"/>
  <c r="M79" i="15" s="1"/>
  <c r="M43" i="17"/>
  <c r="L47" i="17"/>
  <c r="M69" i="19"/>
  <c r="L73" i="19"/>
  <c r="L79" i="19" s="1"/>
  <c r="M43" i="20"/>
  <c r="L47" i="20"/>
  <c r="M50" i="13"/>
  <c r="L54" i="13"/>
  <c r="L77" i="13" s="1"/>
  <c r="M89" i="9"/>
  <c r="M14" i="5" s="1"/>
  <c r="O66" i="14"/>
  <c r="P63" i="14" s="1"/>
  <c r="N65" i="18"/>
  <c r="N66" i="18" s="1"/>
  <c r="O63" i="18" s="1"/>
  <c r="N65" i="20"/>
  <c r="N66" i="20" s="1"/>
  <c r="O63" i="20" s="1"/>
  <c r="M76" i="14"/>
  <c r="M80" i="14" s="1"/>
  <c r="M36" i="5"/>
  <c r="M51" i="18"/>
  <c r="M45" i="18" s="1"/>
  <c r="L46" i="19"/>
  <c r="L45" i="2"/>
  <c r="K86" i="17"/>
  <c r="K87" i="17" s="1"/>
  <c r="K89" i="17" s="1"/>
  <c r="L58" i="5"/>
  <c r="L85" i="11"/>
  <c r="L86" i="11" s="1"/>
  <c r="L87" i="11" s="1"/>
  <c r="L88" i="11"/>
  <c r="L75" i="5" s="1"/>
  <c r="L84" i="11"/>
  <c r="K85" i="19"/>
  <c r="K84" i="19"/>
  <c r="K88" i="19"/>
  <c r="K67" i="5" s="1"/>
  <c r="K50" i="5"/>
  <c r="N44" i="10"/>
  <c r="N51" i="10" s="1"/>
  <c r="N64" i="10"/>
  <c r="N58" i="10"/>
  <c r="K88" i="2"/>
  <c r="K66" i="5" s="1"/>
  <c r="K78" i="5" s="1"/>
  <c r="K79" i="5" s="1"/>
  <c r="K85" i="2"/>
  <c r="K84" i="2"/>
  <c r="K49" i="5"/>
  <c r="N66" i="12"/>
  <c r="O63" i="12" s="1"/>
  <c r="N65" i="12"/>
  <c r="W176" i="21"/>
  <c r="W178" i="21" s="1"/>
  <c r="W29" i="21" s="1"/>
  <c r="W83" i="21" s="1"/>
  <c r="W7" i="5" s="1"/>
  <c r="J10" i="5"/>
  <c r="J18" i="5"/>
  <c r="M64" i="19" l="1"/>
  <c r="N35" i="19"/>
  <c r="N37" i="19" s="1"/>
  <c r="N38" i="19" s="1"/>
  <c r="M40" i="19"/>
  <c r="M78" i="19" s="1"/>
  <c r="N43" i="12"/>
  <c r="N51" i="12" s="1"/>
  <c r="N83" i="12" s="1"/>
  <c r="M47" i="12"/>
  <c r="M54" i="12"/>
  <c r="M77" i="12" s="1"/>
  <c r="N50" i="12"/>
  <c r="L89" i="11"/>
  <c r="M58" i="19"/>
  <c r="M59" i="19" s="1"/>
  <c r="M60" i="19" s="1"/>
  <c r="N57" i="19" s="1"/>
  <c r="N43" i="15"/>
  <c r="N51" i="15" s="1"/>
  <c r="N83" i="15" s="1"/>
  <c r="M47" i="15"/>
  <c r="K61" i="5"/>
  <c r="K62" i="5" s="1"/>
  <c r="P39" i="14"/>
  <c r="P40" i="14" s="1"/>
  <c r="P78" i="14" s="1"/>
  <c r="M44" i="19"/>
  <c r="O40" i="15"/>
  <c r="O78" i="15" s="1"/>
  <c r="M52" i="18"/>
  <c r="M46" i="18"/>
  <c r="N43" i="18" s="1"/>
  <c r="P37" i="15"/>
  <c r="P38" i="15" s="1"/>
  <c r="O59" i="15"/>
  <c r="O60" i="15" s="1"/>
  <c r="P57" i="15" s="1"/>
  <c r="N58" i="13"/>
  <c r="N59" i="13" s="1"/>
  <c r="N64" i="13"/>
  <c r="N65" i="13" s="1"/>
  <c r="N66" i="13" s="1"/>
  <c r="O63" i="13" s="1"/>
  <c r="N39" i="13"/>
  <c r="N40" i="13" s="1"/>
  <c r="N78" i="13" s="1"/>
  <c r="N83" i="10"/>
  <c r="N64" i="19"/>
  <c r="N58" i="19"/>
  <c r="N44" i="19"/>
  <c r="N69" i="11"/>
  <c r="M73" i="11"/>
  <c r="M79" i="11" s="1"/>
  <c r="M69" i="2"/>
  <c r="L73" i="2"/>
  <c r="L79" i="2" s="1"/>
  <c r="M53" i="5"/>
  <c r="M84" i="14"/>
  <c r="M88" i="14"/>
  <c r="M70" i="5" s="1"/>
  <c r="M85" i="14"/>
  <c r="M86" i="14" s="1"/>
  <c r="M87" i="14" s="1"/>
  <c r="L52" i="2"/>
  <c r="L53" i="2" s="1"/>
  <c r="L46" i="2"/>
  <c r="M51" i="20"/>
  <c r="N45" i="10"/>
  <c r="N52" i="10" s="1"/>
  <c r="N53" i="10" s="1"/>
  <c r="O65" i="2"/>
  <c r="O66" i="2" s="1"/>
  <c r="P63" i="2" s="1"/>
  <c r="N39" i="19"/>
  <c r="L76" i="13"/>
  <c r="L80" i="13" s="1"/>
  <c r="L37" i="5"/>
  <c r="O59" i="11"/>
  <c r="O60" i="11" s="1"/>
  <c r="P57" i="11" s="1"/>
  <c r="O37" i="20"/>
  <c r="O38" i="20" s="1"/>
  <c r="O50" i="9"/>
  <c r="N54" i="9"/>
  <c r="N77" i="9" s="1"/>
  <c r="M52" i="11"/>
  <c r="M53" i="11" s="1"/>
  <c r="M46" i="11"/>
  <c r="M65" i="19"/>
  <c r="M66" i="19" s="1"/>
  <c r="N63" i="19" s="1"/>
  <c r="P35" i="9"/>
  <c r="O40" i="9"/>
  <c r="O78" i="9" s="1"/>
  <c r="P37" i="2"/>
  <c r="P38" i="2" s="1"/>
  <c r="O37" i="18"/>
  <c r="O38" i="18" s="1"/>
  <c r="N59" i="10"/>
  <c r="N60" i="10" s="1"/>
  <c r="O57" i="10" s="1"/>
  <c r="K86" i="19"/>
  <c r="K87" i="19" s="1"/>
  <c r="M43" i="19"/>
  <c r="L47" i="19"/>
  <c r="M88" i="10"/>
  <c r="M73" i="5" s="1"/>
  <c r="M85" i="10"/>
  <c r="M86" i="10" s="1"/>
  <c r="M87" i="10" s="1"/>
  <c r="M56" i="5"/>
  <c r="M84" i="10"/>
  <c r="L34" i="5"/>
  <c r="L76" i="17"/>
  <c r="L80" i="17" s="1"/>
  <c r="P58" i="14"/>
  <c r="P44" i="14"/>
  <c r="P64" i="14"/>
  <c r="M51" i="13"/>
  <c r="M83" i="13" s="1"/>
  <c r="N71" i="15"/>
  <c r="N70" i="15" s="1"/>
  <c r="N72" i="15" s="1"/>
  <c r="O65" i="11"/>
  <c r="N59" i="17"/>
  <c r="N60" i="17" s="1"/>
  <c r="O57" i="17" s="1"/>
  <c r="M50" i="19"/>
  <c r="L54" i="19"/>
  <c r="L77" i="19" s="1"/>
  <c r="O37" i="10"/>
  <c r="K86" i="2"/>
  <c r="K87" i="2" s="1"/>
  <c r="N65" i="10"/>
  <c r="N71" i="10" s="1"/>
  <c r="M83" i="18"/>
  <c r="M71" i="18"/>
  <c r="M70" i="18" s="1"/>
  <c r="M72" i="18" s="1"/>
  <c r="P65" i="14"/>
  <c r="P66" i="14" s="1"/>
  <c r="Q63" i="14" s="1"/>
  <c r="L76" i="20"/>
  <c r="L80" i="20" s="1"/>
  <c r="L43" i="5"/>
  <c r="M51" i="17"/>
  <c r="O35" i="17"/>
  <c r="N40" i="17"/>
  <c r="N78" i="17" s="1"/>
  <c r="O59" i="2"/>
  <c r="O60" i="2" s="1"/>
  <c r="P57" i="2" s="1"/>
  <c r="N59" i="18"/>
  <c r="N60" i="18" s="1"/>
  <c r="O57" i="18" s="1"/>
  <c r="L84" i="18"/>
  <c r="L88" i="18"/>
  <c r="L74" i="5" s="1"/>
  <c r="L85" i="18"/>
  <c r="L57" i="5"/>
  <c r="L86" i="15"/>
  <c r="L87" i="15" s="1"/>
  <c r="L89" i="15" s="1"/>
  <c r="P35" i="11"/>
  <c r="O40" i="11"/>
  <c r="O78" i="11" s="1"/>
  <c r="N45" i="15"/>
  <c r="O37" i="12"/>
  <c r="O38" i="12" s="1"/>
  <c r="N65" i="17"/>
  <c r="N66" i="17" s="1"/>
  <c r="O63" i="17" s="1"/>
  <c r="O43" i="9"/>
  <c r="N47" i="9"/>
  <c r="N83" i="14"/>
  <c r="N71" i="14"/>
  <c r="N70" i="14" s="1"/>
  <c r="N72" i="14" s="1"/>
  <c r="N45" i="14"/>
  <c r="M60" i="13"/>
  <c r="N57" i="13" s="1"/>
  <c r="M53" i="18"/>
  <c r="N51" i="18" s="1"/>
  <c r="O65" i="9"/>
  <c r="O66" i="9" s="1"/>
  <c r="P63" i="9" s="1"/>
  <c r="K11" i="5"/>
  <c r="J17" i="5"/>
  <c r="N46" i="10" l="1"/>
  <c r="Q35" i="14"/>
  <c r="N59" i="19"/>
  <c r="N60" i="19" s="1"/>
  <c r="O57" i="19" s="1"/>
  <c r="M35" i="5"/>
  <c r="M76" i="15"/>
  <c r="M80" i="15" s="1"/>
  <c r="M42" i="5"/>
  <c r="M76" i="12"/>
  <c r="M80" i="12" s="1"/>
  <c r="N45" i="12"/>
  <c r="N46" i="12" s="1"/>
  <c r="N71" i="12"/>
  <c r="N70" i="12" s="1"/>
  <c r="N72" i="12" s="1"/>
  <c r="N60" i="13"/>
  <c r="O57" i="13" s="1"/>
  <c r="O35" i="13"/>
  <c r="O37" i="13" s="1"/>
  <c r="M47" i="18"/>
  <c r="M76" i="18" s="1"/>
  <c r="N66" i="10"/>
  <c r="O63" i="10" s="1"/>
  <c r="P39" i="15"/>
  <c r="P58" i="15"/>
  <c r="P59" i="15" s="1"/>
  <c r="P44" i="15"/>
  <c r="P64" i="15"/>
  <c r="P65" i="15" s="1"/>
  <c r="P66" i="15" s="1"/>
  <c r="Q63" i="15" s="1"/>
  <c r="N83" i="18"/>
  <c r="N71" i="18"/>
  <c r="N70" i="18" s="1"/>
  <c r="O69" i="15"/>
  <c r="N73" i="15"/>
  <c r="N79" i="15" s="1"/>
  <c r="N69" i="18"/>
  <c r="M73" i="18"/>
  <c r="M79" i="18" s="1"/>
  <c r="P58" i="2"/>
  <c r="P59" i="2" s="1"/>
  <c r="P64" i="2"/>
  <c r="P65" i="2" s="1"/>
  <c r="P44" i="2"/>
  <c r="P39" i="2"/>
  <c r="O50" i="10"/>
  <c r="N54" i="10"/>
  <c r="N77" i="10" s="1"/>
  <c r="O64" i="20"/>
  <c r="O58" i="20"/>
  <c r="O44" i="20"/>
  <c r="O69" i="14"/>
  <c r="N73" i="14"/>
  <c r="N79" i="14" s="1"/>
  <c r="O44" i="12"/>
  <c r="O64" i="12"/>
  <c r="O58" i="12"/>
  <c r="O39" i="12"/>
  <c r="O37" i="17"/>
  <c r="O38" i="17" s="1"/>
  <c r="N52" i="15"/>
  <c r="N53" i="15" s="1"/>
  <c r="N46" i="15"/>
  <c r="L86" i="18"/>
  <c r="L87" i="18" s="1"/>
  <c r="L89" i="18" s="1"/>
  <c r="L16" i="5" s="1"/>
  <c r="M83" i="17"/>
  <c r="M71" i="17"/>
  <c r="M70" i="17" s="1"/>
  <c r="M72" i="17" s="1"/>
  <c r="M45" i="17"/>
  <c r="K89" i="2"/>
  <c r="K8" i="5" s="1"/>
  <c r="O38" i="10"/>
  <c r="M45" i="13"/>
  <c r="M89" i="10"/>
  <c r="M15" i="5" s="1"/>
  <c r="M51" i="19"/>
  <c r="M83" i="19" s="1"/>
  <c r="M71" i="19"/>
  <c r="N50" i="11"/>
  <c r="M54" i="11"/>
  <c r="M77" i="11" s="1"/>
  <c r="O39" i="20"/>
  <c r="L54" i="5"/>
  <c r="L85" i="13"/>
  <c r="L84" i="13"/>
  <c r="L88" i="13"/>
  <c r="L71" i="5" s="1"/>
  <c r="M83" i="20"/>
  <c r="M71" i="20"/>
  <c r="M70" i="20" s="1"/>
  <c r="M72" i="20" s="1"/>
  <c r="M45" i="20"/>
  <c r="Q37" i="14"/>
  <c r="Q38" i="14" s="1"/>
  <c r="L85" i="20"/>
  <c r="L86" i="20" s="1"/>
  <c r="L87" i="20" s="1"/>
  <c r="L84" i="20"/>
  <c r="L60" i="5"/>
  <c r="L88" i="20"/>
  <c r="L77" i="5" s="1"/>
  <c r="L88" i="17"/>
  <c r="L68" i="5" s="1"/>
  <c r="L85" i="17"/>
  <c r="L51" i="5"/>
  <c r="L84" i="17"/>
  <c r="P59" i="14"/>
  <c r="P60" i="14" s="1"/>
  <c r="Q57" i="14" s="1"/>
  <c r="N70" i="10"/>
  <c r="N72" i="10" s="1"/>
  <c r="N65" i="19"/>
  <c r="N66" i="19" s="1"/>
  <c r="O63" i="19" s="1"/>
  <c r="O35" i="19"/>
  <c r="N40" i="19"/>
  <c r="N78" i="19" s="1"/>
  <c r="M43" i="2"/>
  <c r="L47" i="2"/>
  <c r="M89" i="14"/>
  <c r="N50" i="18"/>
  <c r="M54" i="18"/>
  <c r="M77" i="18" s="1"/>
  <c r="N76" i="9"/>
  <c r="N80" i="9" s="1"/>
  <c r="N38" i="5"/>
  <c r="N52" i="14"/>
  <c r="N53" i="14" s="1"/>
  <c r="N46" i="14"/>
  <c r="O51" i="9"/>
  <c r="P37" i="11"/>
  <c r="P38" i="11" s="1"/>
  <c r="O43" i="10"/>
  <c r="N47" i="10"/>
  <c r="L76" i="19"/>
  <c r="L80" i="19" s="1"/>
  <c r="L33" i="5"/>
  <c r="K89" i="19"/>
  <c r="O58" i="18"/>
  <c r="O59" i="18" s="1"/>
  <c r="O64" i="18"/>
  <c r="O44" i="18"/>
  <c r="O39" i="18"/>
  <c r="P37" i="9"/>
  <c r="P38" i="9" s="1"/>
  <c r="N43" i="11"/>
  <c r="M47" i="11"/>
  <c r="M71" i="13"/>
  <c r="M70" i="13" s="1"/>
  <c r="M72" i="13" s="1"/>
  <c r="M50" i="2"/>
  <c r="L54" i="2"/>
  <c r="L77" i="2" s="1"/>
  <c r="O66" i="11"/>
  <c r="P63" i="11" s="1"/>
  <c r="J12" i="5"/>
  <c r="L11" i="5"/>
  <c r="O69" i="12" l="1"/>
  <c r="N73" i="12"/>
  <c r="N79" i="12" s="1"/>
  <c r="L89" i="20"/>
  <c r="M45" i="19"/>
  <c r="M52" i="19" s="1"/>
  <c r="M53" i="19" s="1"/>
  <c r="N52" i="12"/>
  <c r="N53" i="12" s="1"/>
  <c r="P60" i="15"/>
  <c r="Q57" i="15" s="1"/>
  <c r="Q39" i="14"/>
  <c r="R35" i="14" s="1"/>
  <c r="M85" i="12"/>
  <c r="M86" i="12" s="1"/>
  <c r="M87" i="12" s="1"/>
  <c r="M59" i="5"/>
  <c r="M84" i="12"/>
  <c r="M88" i="12"/>
  <c r="M76" i="5" s="1"/>
  <c r="M70" i="19"/>
  <c r="M72" i="19" s="1"/>
  <c r="N69" i="19" s="1"/>
  <c r="M88" i="15"/>
  <c r="M69" i="5" s="1"/>
  <c r="M85" i="15"/>
  <c r="M86" i="15" s="1"/>
  <c r="M87" i="15" s="1"/>
  <c r="M84" i="15"/>
  <c r="M52" i="5"/>
  <c r="M40" i="5"/>
  <c r="P40" i="15"/>
  <c r="P78" i="15" s="1"/>
  <c r="Q35" i="15"/>
  <c r="Q37" i="15" s="1"/>
  <c r="Q38" i="15" s="1"/>
  <c r="Q64" i="15" s="1"/>
  <c r="O38" i="13"/>
  <c r="O39" i="13" s="1"/>
  <c r="P60" i="2"/>
  <c r="Q57" i="2" s="1"/>
  <c r="N69" i="13"/>
  <c r="M73" i="13"/>
  <c r="M79" i="13" s="1"/>
  <c r="N69" i="20"/>
  <c r="M73" i="20"/>
  <c r="M79" i="20" s="1"/>
  <c r="P64" i="9"/>
  <c r="P58" i="9"/>
  <c r="P44" i="9"/>
  <c r="P39" i="9"/>
  <c r="O58" i="17"/>
  <c r="O44" i="17"/>
  <c r="O64" i="17"/>
  <c r="P64" i="11"/>
  <c r="P65" i="11" s="1"/>
  <c r="P58" i="11"/>
  <c r="P44" i="11"/>
  <c r="M76" i="11"/>
  <c r="M80" i="11" s="1"/>
  <c r="M41" i="5"/>
  <c r="O65" i="18"/>
  <c r="P39" i="11"/>
  <c r="O83" i="9"/>
  <c r="O43" i="14"/>
  <c r="N47" i="14"/>
  <c r="N88" i="9"/>
  <c r="N72" i="5" s="1"/>
  <c r="N85" i="9"/>
  <c r="N55" i="5"/>
  <c r="N84" i="9"/>
  <c r="O71" i="9"/>
  <c r="O70" i="9" s="1"/>
  <c r="O72" i="9" s="1"/>
  <c r="L76" i="2"/>
  <c r="L80" i="2" s="1"/>
  <c r="L32" i="5"/>
  <c r="L44" i="5" s="1"/>
  <c r="L45" i="5" s="1"/>
  <c r="L86" i="17"/>
  <c r="L87" i="17" s="1"/>
  <c r="L89" i="17" s="1"/>
  <c r="Q64" i="14"/>
  <c r="Q58" i="14"/>
  <c r="Q59" i="14" s="1"/>
  <c r="Q44" i="14"/>
  <c r="Q40" i="14"/>
  <c r="Q78" i="14" s="1"/>
  <c r="M52" i="20"/>
  <c r="M53" i="20" s="1"/>
  <c r="M46" i="20"/>
  <c r="P35" i="20"/>
  <c r="O40" i="20"/>
  <c r="O78" i="20" s="1"/>
  <c r="O43" i="12"/>
  <c r="N47" i="12"/>
  <c r="O50" i="15"/>
  <c r="N54" i="15"/>
  <c r="N77" i="15" s="1"/>
  <c r="O39" i="17"/>
  <c r="P35" i="12"/>
  <c r="O40" i="12"/>
  <c r="O78" i="12" s="1"/>
  <c r="O65" i="20"/>
  <c r="O66" i="20" s="1"/>
  <c r="P63" i="20" s="1"/>
  <c r="Q35" i="2"/>
  <c r="P40" i="2"/>
  <c r="P78" i="2" s="1"/>
  <c r="N72" i="18"/>
  <c r="O69" i="18" s="1"/>
  <c r="P66" i="2"/>
  <c r="Q63" i="2" s="1"/>
  <c r="N51" i="11"/>
  <c r="P35" i="18"/>
  <c r="O40" i="18"/>
  <c r="O78" i="18" s="1"/>
  <c r="L50" i="5"/>
  <c r="L88" i="19"/>
  <c r="L67" i="5" s="1"/>
  <c r="L84" i="19"/>
  <c r="L85" i="19"/>
  <c r="L86" i="19" s="1"/>
  <c r="L87" i="19" s="1"/>
  <c r="O45" i="9"/>
  <c r="O50" i="14"/>
  <c r="N54" i="14"/>
  <c r="N77" i="14" s="1"/>
  <c r="M51" i="2"/>
  <c r="O69" i="10"/>
  <c r="N73" i="10"/>
  <c r="N79" i="10" s="1"/>
  <c r="L86" i="13"/>
  <c r="L87" i="13" s="1"/>
  <c r="M46" i="19"/>
  <c r="O50" i="12"/>
  <c r="N54" i="12"/>
  <c r="N77" i="12" s="1"/>
  <c r="M52" i="17"/>
  <c r="M53" i="17" s="1"/>
  <c r="M46" i="17"/>
  <c r="O59" i="12"/>
  <c r="O60" i="12" s="1"/>
  <c r="P57" i="12" s="1"/>
  <c r="O60" i="18"/>
  <c r="P57" i="18" s="1"/>
  <c r="N76" i="10"/>
  <c r="N39" i="5"/>
  <c r="N45" i="18"/>
  <c r="O37" i="19"/>
  <c r="O38" i="19" s="1"/>
  <c r="O39" i="19" s="1"/>
  <c r="Q60" i="14"/>
  <c r="R57" i="14" s="1"/>
  <c r="R37" i="14"/>
  <c r="R38" i="14" s="1"/>
  <c r="M52" i="13"/>
  <c r="M53" i="13" s="1"/>
  <c r="M46" i="13"/>
  <c r="O64" i="10"/>
  <c r="O58" i="10"/>
  <c r="O44" i="10"/>
  <c r="N69" i="17"/>
  <c r="M73" i="17"/>
  <c r="M79" i="17" s="1"/>
  <c r="O43" i="15"/>
  <c r="N47" i="15"/>
  <c r="O65" i="12"/>
  <c r="O59" i="20"/>
  <c r="O60" i="20"/>
  <c r="P57" i="20" s="1"/>
  <c r="M80" i="18"/>
  <c r="O39" i="10"/>
  <c r="K10" i="5"/>
  <c r="J19" i="5"/>
  <c r="M89" i="15" l="1"/>
  <c r="R39" i="14"/>
  <c r="S35" i="14" s="1"/>
  <c r="M73" i="19"/>
  <c r="M79" i="19" s="1"/>
  <c r="M89" i="12"/>
  <c r="O44" i="13"/>
  <c r="O58" i="13"/>
  <c r="O59" i="13" s="1"/>
  <c r="O60" i="13" s="1"/>
  <c r="P57" i="13" s="1"/>
  <c r="Q39" i="15"/>
  <c r="Q44" i="15"/>
  <c r="Q58" i="15"/>
  <c r="Q59" i="15" s="1"/>
  <c r="Q60" i="15" s="1"/>
  <c r="R57" i="15" s="1"/>
  <c r="O64" i="13"/>
  <c r="O65" i="13" s="1"/>
  <c r="O66" i="13" s="1"/>
  <c r="P63" i="13" s="1"/>
  <c r="O40" i="13"/>
  <c r="O78" i="13" s="1"/>
  <c r="P35" i="13"/>
  <c r="P37" i="13" s="1"/>
  <c r="P35" i="19"/>
  <c r="O40" i="19"/>
  <c r="O78" i="19" s="1"/>
  <c r="P69" i="9"/>
  <c r="O73" i="9"/>
  <c r="O79" i="9" s="1"/>
  <c r="O51" i="15"/>
  <c r="R64" i="14"/>
  <c r="R58" i="14"/>
  <c r="R59" i="14" s="1"/>
  <c r="R44" i="14"/>
  <c r="N43" i="19"/>
  <c r="M47" i="19"/>
  <c r="P35" i="17"/>
  <c r="O40" i="17"/>
  <c r="O78" i="17" s="1"/>
  <c r="P37" i="20"/>
  <c r="P38" i="20" s="1"/>
  <c r="N86" i="9"/>
  <c r="N87" i="9" s="1"/>
  <c r="O51" i="14"/>
  <c r="O45" i="14" s="1"/>
  <c r="Q35" i="11"/>
  <c r="P40" i="11"/>
  <c r="P78" i="11" s="1"/>
  <c r="M84" i="11"/>
  <c r="M58" i="5"/>
  <c r="M85" i="11"/>
  <c r="M88" i="11"/>
  <c r="M75" i="5" s="1"/>
  <c r="O59" i="17"/>
  <c r="O60" i="17" s="1"/>
  <c r="P57" i="17" s="1"/>
  <c r="P59" i="9"/>
  <c r="P60" i="9" s="1"/>
  <c r="Q57" i="9" s="1"/>
  <c r="Q65" i="14"/>
  <c r="Q66" i="14" s="1"/>
  <c r="R63" i="14" s="1"/>
  <c r="N43" i="17"/>
  <c r="M47" i="17"/>
  <c r="P37" i="18"/>
  <c r="P38" i="18" s="1"/>
  <c r="P59" i="11"/>
  <c r="P60" i="11" s="1"/>
  <c r="Q57" i="11" s="1"/>
  <c r="O65" i="17"/>
  <c r="O66" i="17" s="1"/>
  <c r="P63" i="17" s="1"/>
  <c r="P65" i="9"/>
  <c r="P66" i="9" s="1"/>
  <c r="Q63" i="9" s="1"/>
  <c r="N43" i="13"/>
  <c r="M47" i="13"/>
  <c r="O58" i="19"/>
  <c r="O64" i="19"/>
  <c r="O44" i="19"/>
  <c r="N76" i="12"/>
  <c r="N80" i="12" s="1"/>
  <c r="N42" i="5"/>
  <c r="P35" i="10"/>
  <c r="O40" i="10"/>
  <c r="O78" i="10" s="1"/>
  <c r="O66" i="12"/>
  <c r="P63" i="12" s="1"/>
  <c r="O59" i="10"/>
  <c r="O60" i="10" s="1"/>
  <c r="P57" i="10" s="1"/>
  <c r="N50" i="13"/>
  <c r="M54" i="13"/>
  <c r="M77" i="13" s="1"/>
  <c r="N52" i="18"/>
  <c r="N53" i="18" s="1"/>
  <c r="N46" i="18"/>
  <c r="L89" i="13"/>
  <c r="L13" i="5" s="1"/>
  <c r="O51" i="12"/>
  <c r="O83" i="12" s="1"/>
  <c r="N43" i="20"/>
  <c r="M47" i="20"/>
  <c r="O66" i="18"/>
  <c r="P63" i="18" s="1"/>
  <c r="Q35" i="9"/>
  <c r="P40" i="9"/>
  <c r="P78" i="9" s="1"/>
  <c r="M88" i="18"/>
  <c r="M74" i="5" s="1"/>
  <c r="M57" i="5"/>
  <c r="M85" i="18"/>
  <c r="M84" i="18"/>
  <c r="N76" i="15"/>
  <c r="N80" i="15" s="1"/>
  <c r="N35" i="5"/>
  <c r="O65" i="10"/>
  <c r="N50" i="17"/>
  <c r="M54" i="17"/>
  <c r="M77" i="17" s="1"/>
  <c r="N50" i="19"/>
  <c r="M54" i="19"/>
  <c r="M77" i="19" s="1"/>
  <c r="N80" i="10"/>
  <c r="M83" i="2"/>
  <c r="M71" i="2"/>
  <c r="M70" i="2" s="1"/>
  <c r="M72" i="2" s="1"/>
  <c r="M45" i="2"/>
  <c r="O52" i="9"/>
  <c r="O53" i="9" s="1"/>
  <c r="O46" i="9"/>
  <c r="L89" i="19"/>
  <c r="N83" i="11"/>
  <c r="N71" i="11"/>
  <c r="N70" i="11" s="1"/>
  <c r="N72" i="11" s="1"/>
  <c r="N45" i="11"/>
  <c r="P66" i="11"/>
  <c r="Q63" i="11" s="1"/>
  <c r="N73" i="18"/>
  <c r="N79" i="18" s="1"/>
  <c r="Q37" i="2"/>
  <c r="P37" i="12"/>
  <c r="P38" i="12" s="1"/>
  <c r="N50" i="20"/>
  <c r="M54" i="20"/>
  <c r="M77" i="20" s="1"/>
  <c r="L49" i="5"/>
  <c r="L61" i="5" s="1"/>
  <c r="L62" i="5" s="1"/>
  <c r="L84" i="2"/>
  <c r="L88" i="2"/>
  <c r="L66" i="5" s="1"/>
  <c r="L78" i="5" s="1"/>
  <c r="L79" i="5" s="1"/>
  <c r="L85" i="2"/>
  <c r="N76" i="14"/>
  <c r="N80" i="14" s="1"/>
  <c r="N36" i="5"/>
  <c r="O51" i="10"/>
  <c r="O45" i="10" s="1"/>
  <c r="R35" i="15"/>
  <c r="Q40" i="15"/>
  <c r="Q78" i="15" s="1"/>
  <c r="Q65" i="15"/>
  <c r="Q66" i="15" s="1"/>
  <c r="R63" i="15" s="1"/>
  <c r="I9" i="5"/>
  <c r="K18" i="5"/>
  <c r="R40" i="14" l="1"/>
  <c r="R78" i="14" s="1"/>
  <c r="O45" i="12"/>
  <c r="O52" i="12" s="1"/>
  <c r="I20" i="5"/>
  <c r="P39" i="18"/>
  <c r="Q35" i="18" s="1"/>
  <c r="P38" i="13"/>
  <c r="P39" i="13" s="1"/>
  <c r="Q38" i="2"/>
  <c r="Q39" i="2" s="1"/>
  <c r="O52" i="10"/>
  <c r="O46" i="10"/>
  <c r="P64" i="12"/>
  <c r="P65" i="12" s="1"/>
  <c r="P66" i="12" s="1"/>
  <c r="Q63" i="12" s="1"/>
  <c r="P58" i="12"/>
  <c r="P44" i="12"/>
  <c r="O52" i="14"/>
  <c r="O53" i="14" s="1"/>
  <c r="O46" i="14"/>
  <c r="P43" i="9"/>
  <c r="O47" i="9"/>
  <c r="R37" i="15"/>
  <c r="R38" i="15" s="1"/>
  <c r="N53" i="5"/>
  <c r="N85" i="14"/>
  <c r="N86" i="14" s="1"/>
  <c r="N87" i="14" s="1"/>
  <c r="N84" i="14"/>
  <c r="N88" i="14"/>
  <c r="N70" i="5" s="1"/>
  <c r="P39" i="12"/>
  <c r="M52" i="2"/>
  <c r="M53" i="2" s="1"/>
  <c r="M46" i="2"/>
  <c r="N84" i="15"/>
  <c r="N88" i="15"/>
  <c r="N69" i="5" s="1"/>
  <c r="N52" i="5"/>
  <c r="N85" i="15"/>
  <c r="N86" i="15" s="1"/>
  <c r="N87" i="15" s="1"/>
  <c r="M76" i="20"/>
  <c r="M80" i="20" s="1"/>
  <c r="M43" i="5"/>
  <c r="O46" i="12"/>
  <c r="O53" i="12"/>
  <c r="O50" i="18"/>
  <c r="N54" i="18"/>
  <c r="N77" i="18" s="1"/>
  <c r="O65" i="19"/>
  <c r="N51" i="13"/>
  <c r="N51" i="17"/>
  <c r="O71" i="12"/>
  <c r="O70" i="12" s="1"/>
  <c r="O72" i="12" s="1"/>
  <c r="Q37" i="11"/>
  <c r="Q38" i="11"/>
  <c r="P37" i="17"/>
  <c r="P38" i="17" s="1"/>
  <c r="O83" i="15"/>
  <c r="O71" i="15"/>
  <c r="O70" i="15" s="1"/>
  <c r="O72" i="15" s="1"/>
  <c r="O69" i="11"/>
  <c r="N73" i="11"/>
  <c r="N79" i="11" s="1"/>
  <c r="O71" i="10"/>
  <c r="O70" i="10" s="1"/>
  <c r="O72" i="10" s="1"/>
  <c r="N51" i="20"/>
  <c r="P37" i="10"/>
  <c r="P38" i="10" s="1"/>
  <c r="N88" i="12"/>
  <c r="N76" i="5" s="1"/>
  <c r="N85" i="12"/>
  <c r="N59" i="5"/>
  <c r="N84" i="12"/>
  <c r="O59" i="19"/>
  <c r="P44" i="18"/>
  <c r="P64" i="18"/>
  <c r="P65" i="18" s="1"/>
  <c r="P66" i="18" s="1"/>
  <c r="Q63" i="18" s="1"/>
  <c r="P58" i="18"/>
  <c r="R65" i="14"/>
  <c r="R66" i="14" s="1"/>
  <c r="S63" i="14" s="1"/>
  <c r="M86" i="11"/>
  <c r="O83" i="14"/>
  <c r="O71" i="14"/>
  <c r="O70" i="14" s="1"/>
  <c r="O72" i="14" s="1"/>
  <c r="P64" i="20"/>
  <c r="P58" i="20"/>
  <c r="P44" i="20"/>
  <c r="P39" i="20"/>
  <c r="M33" i="5"/>
  <c r="M76" i="19"/>
  <c r="M80" i="19" s="1"/>
  <c r="O83" i="10"/>
  <c r="O53" i="10"/>
  <c r="L86" i="2"/>
  <c r="L87" i="2" s="1"/>
  <c r="Q44" i="2"/>
  <c r="N69" i="2"/>
  <c r="M73" i="2"/>
  <c r="M79" i="2" s="1"/>
  <c r="N84" i="10"/>
  <c r="N56" i="5"/>
  <c r="N85" i="10"/>
  <c r="N86" i="10" s="1"/>
  <c r="N87" i="10" s="1"/>
  <c r="N88" i="10"/>
  <c r="N73" i="5" s="1"/>
  <c r="N52" i="11"/>
  <c r="N53" i="11" s="1"/>
  <c r="N46" i="11"/>
  <c r="P50" i="9"/>
  <c r="O54" i="9"/>
  <c r="O77" i="9" s="1"/>
  <c r="O66" i="10"/>
  <c r="P63" i="10" s="1"/>
  <c r="M86" i="18"/>
  <c r="M87" i="18" s="1"/>
  <c r="Q37" i="9"/>
  <c r="Q38" i="9" s="1"/>
  <c r="O43" i="18"/>
  <c r="N47" i="18"/>
  <c r="M37" i="5"/>
  <c r="M76" i="13"/>
  <c r="M80" i="13" s="1"/>
  <c r="M76" i="17"/>
  <c r="M80" i="17" s="1"/>
  <c r="M34" i="5"/>
  <c r="R60" i="14"/>
  <c r="S57" i="14" s="1"/>
  <c r="N89" i="9"/>
  <c r="N14" i="5" s="1"/>
  <c r="N51" i="19"/>
  <c r="O45" i="15"/>
  <c r="S37" i="14"/>
  <c r="S38" i="14" s="1"/>
  <c r="P37" i="19"/>
  <c r="P40" i="18" l="1"/>
  <c r="P78" i="18" s="1"/>
  <c r="Q64" i="2"/>
  <c r="Q65" i="2" s="1"/>
  <c r="N89" i="14"/>
  <c r="I29" i="5"/>
  <c r="I26" i="5"/>
  <c r="P44" i="13"/>
  <c r="P58" i="13"/>
  <c r="P59" i="13" s="1"/>
  <c r="P64" i="13"/>
  <c r="P65" i="13" s="1"/>
  <c r="P66" i="13" s="1"/>
  <c r="Q63" i="13" s="1"/>
  <c r="P39" i="10"/>
  <c r="Q35" i="10" s="1"/>
  <c r="P40" i="13"/>
  <c r="P78" i="13" s="1"/>
  <c r="Q35" i="13"/>
  <c r="Q37" i="13" s="1"/>
  <c r="Q38" i="13" s="1"/>
  <c r="Q58" i="2"/>
  <c r="Q59" i="2" s="1"/>
  <c r="Q60" i="2" s="1"/>
  <c r="R57" i="2" s="1"/>
  <c r="Q40" i="2"/>
  <c r="Q78" i="2" s="1"/>
  <c r="R35" i="2"/>
  <c r="R37" i="2" s="1"/>
  <c r="S58" i="14"/>
  <c r="S59" i="14" s="1"/>
  <c r="S44" i="14"/>
  <c r="S64" i="14"/>
  <c r="S39" i="14"/>
  <c r="Q44" i="9"/>
  <c r="Q58" i="9"/>
  <c r="Q64" i="9"/>
  <c r="P64" i="17"/>
  <c r="P44" i="17"/>
  <c r="P58" i="17"/>
  <c r="P69" i="12"/>
  <c r="O73" i="12"/>
  <c r="O79" i="12" s="1"/>
  <c r="P69" i="14"/>
  <c r="O73" i="14"/>
  <c r="O79" i="14" s="1"/>
  <c r="P69" i="15"/>
  <c r="O73" i="15"/>
  <c r="O79" i="15" s="1"/>
  <c r="R58" i="15"/>
  <c r="R44" i="15"/>
  <c r="R64" i="15"/>
  <c r="O52" i="15"/>
  <c r="O53" i="15" s="1"/>
  <c r="O46" i="15"/>
  <c r="Q39" i="9"/>
  <c r="O43" i="11"/>
  <c r="N47" i="11"/>
  <c r="P50" i="10"/>
  <c r="O54" i="10"/>
  <c r="O77" i="10" s="1"/>
  <c r="P59" i="18"/>
  <c r="P60" i="18" s="1"/>
  <c r="Q57" i="18" s="1"/>
  <c r="P44" i="10"/>
  <c r="P64" i="10"/>
  <c r="P65" i="10" s="1"/>
  <c r="P58" i="10"/>
  <c r="N83" i="20"/>
  <c r="N71" i="20"/>
  <c r="N70" i="20" s="1"/>
  <c r="N72" i="20" s="1"/>
  <c r="N83" i="17"/>
  <c r="N71" i="17"/>
  <c r="N70" i="17" s="1"/>
  <c r="N72" i="17" s="1"/>
  <c r="M84" i="20"/>
  <c r="M60" i="5"/>
  <c r="M85" i="20"/>
  <c r="M88" i="20"/>
  <c r="M77" i="5" s="1"/>
  <c r="P51" i="9"/>
  <c r="P45" i="9" s="1"/>
  <c r="Q37" i="18"/>
  <c r="Q38" i="18" s="1"/>
  <c r="P43" i="10"/>
  <c r="O47" i="10"/>
  <c r="P38" i="19"/>
  <c r="N83" i="19"/>
  <c r="N71" i="19"/>
  <c r="N70" i="19" s="1"/>
  <c r="N72" i="19" s="1"/>
  <c r="N45" i="19"/>
  <c r="O50" i="11"/>
  <c r="N54" i="11"/>
  <c r="N77" i="11" s="1"/>
  <c r="P59" i="20"/>
  <c r="P60" i="20" s="1"/>
  <c r="Q57" i="20" s="1"/>
  <c r="M87" i="11"/>
  <c r="M89" i="11" s="1"/>
  <c r="P39" i="17"/>
  <c r="N45" i="17"/>
  <c r="O66" i="19"/>
  <c r="P63" i="19" s="1"/>
  <c r="P43" i="12"/>
  <c r="O47" i="12"/>
  <c r="N89" i="15"/>
  <c r="N50" i="2"/>
  <c r="M54" i="2"/>
  <c r="M77" i="2" s="1"/>
  <c r="L89" i="2"/>
  <c r="L8" i="5" s="1"/>
  <c r="R39" i="15"/>
  <c r="P59" i="12"/>
  <c r="P60" i="12" s="1"/>
  <c r="Q57" i="12" s="1"/>
  <c r="M84" i="17"/>
  <c r="M88" i="17"/>
  <c r="M68" i="5" s="1"/>
  <c r="M85" i="17"/>
  <c r="M51" i="5"/>
  <c r="O51" i="18"/>
  <c r="M84" i="19"/>
  <c r="M88" i="19"/>
  <c r="M67" i="5" s="1"/>
  <c r="M50" i="5"/>
  <c r="M85" i="19"/>
  <c r="N86" i="12"/>
  <c r="N87" i="12" s="1"/>
  <c r="N89" i="12" s="1"/>
  <c r="Q64" i="11"/>
  <c r="Q58" i="11"/>
  <c r="Q44" i="11"/>
  <c r="Q39" i="11"/>
  <c r="P50" i="14"/>
  <c r="O54" i="14"/>
  <c r="O77" i="14" s="1"/>
  <c r="N43" i="2"/>
  <c r="M47" i="2"/>
  <c r="Q35" i="12"/>
  <c r="P40" i="12"/>
  <c r="P78" i="12" s="1"/>
  <c r="P43" i="14"/>
  <c r="O47" i="14"/>
  <c r="M85" i="13"/>
  <c r="M86" i="13" s="1"/>
  <c r="M87" i="13" s="1"/>
  <c r="M84" i="13"/>
  <c r="M54" i="5"/>
  <c r="M88" i="13"/>
  <c r="M71" i="5" s="1"/>
  <c r="N76" i="18"/>
  <c r="N80" i="18" s="1"/>
  <c r="N40" i="5"/>
  <c r="M89" i="18"/>
  <c r="M16" i="5" s="1"/>
  <c r="N89" i="10"/>
  <c r="N15" i="5" s="1"/>
  <c r="Q35" i="20"/>
  <c r="P40" i="20"/>
  <c r="P78" i="20" s="1"/>
  <c r="P65" i="20"/>
  <c r="S65" i="14"/>
  <c r="S66" i="14" s="1"/>
  <c r="T63" i="14" s="1"/>
  <c r="O60" i="19"/>
  <c r="P57" i="19" s="1"/>
  <c r="P69" i="10"/>
  <c r="O73" i="10"/>
  <c r="O79" i="10" s="1"/>
  <c r="N45" i="20"/>
  <c r="N83" i="13"/>
  <c r="N71" i="13"/>
  <c r="N70" i="13" s="1"/>
  <c r="N72" i="13" s="1"/>
  <c r="N45" i="13"/>
  <c r="P50" i="12"/>
  <c r="O54" i="12"/>
  <c r="O77" i="12" s="1"/>
  <c r="O76" i="9"/>
  <c r="O80" i="9" s="1"/>
  <c r="O38" i="5"/>
  <c r="M11" i="5"/>
  <c r="K12" i="5"/>
  <c r="L18" i="5"/>
  <c r="K17" i="5"/>
  <c r="S60" i="14" l="1"/>
  <c r="T57" i="14" s="1"/>
  <c r="P60" i="13"/>
  <c r="Q57" i="13" s="1"/>
  <c r="P40" i="10"/>
  <c r="P78" i="10" s="1"/>
  <c r="Q44" i="13"/>
  <c r="Q58" i="13"/>
  <c r="Q59" i="13" s="1"/>
  <c r="Q64" i="13"/>
  <c r="Q39" i="13"/>
  <c r="O69" i="13"/>
  <c r="N73" i="13"/>
  <c r="N79" i="13" s="1"/>
  <c r="Q64" i="18"/>
  <c r="Q58" i="18"/>
  <c r="Q59" i="18" s="1"/>
  <c r="Q60" i="18" s="1"/>
  <c r="R57" i="18" s="1"/>
  <c r="Q44" i="18"/>
  <c r="O69" i="20"/>
  <c r="N73" i="20"/>
  <c r="N79" i="20" s="1"/>
  <c r="O69" i="19"/>
  <c r="N73" i="19"/>
  <c r="N79" i="19" s="1"/>
  <c r="P52" i="9"/>
  <c r="P53" i="9" s="1"/>
  <c r="P46" i="9"/>
  <c r="M32" i="5"/>
  <c r="M44" i="5" s="1"/>
  <c r="M45" i="5" s="1"/>
  <c r="M76" i="2"/>
  <c r="M80" i="2" s="1"/>
  <c r="Q59" i="11"/>
  <c r="M86" i="19"/>
  <c r="M87" i="19" s="1"/>
  <c r="M89" i="19" s="1"/>
  <c r="S35" i="15"/>
  <c r="R40" i="15"/>
  <c r="R78" i="15" s="1"/>
  <c r="O76" i="12"/>
  <c r="O42" i="5"/>
  <c r="Q35" i="17"/>
  <c r="P40" i="17"/>
  <c r="P78" i="17" s="1"/>
  <c r="N52" i="19"/>
  <c r="N53" i="19" s="1"/>
  <c r="N46" i="19"/>
  <c r="P51" i="10"/>
  <c r="P83" i="10" s="1"/>
  <c r="Q39" i="18"/>
  <c r="R35" i="9"/>
  <c r="Q40" i="9"/>
  <c r="Q78" i="9" s="1"/>
  <c r="P65" i="17"/>
  <c r="P66" i="17" s="1"/>
  <c r="Q63" i="17" s="1"/>
  <c r="O84" i="9"/>
  <c r="O55" i="5"/>
  <c r="O88" i="9"/>
  <c r="O72" i="5" s="1"/>
  <c r="O85" i="9"/>
  <c r="P51" i="14"/>
  <c r="P45" i="14" s="1"/>
  <c r="P52" i="14" s="1"/>
  <c r="P53" i="14" s="1"/>
  <c r="N85" i="18"/>
  <c r="N84" i="18"/>
  <c r="N88" i="18"/>
  <c r="N74" i="5" s="1"/>
  <c r="N57" i="5"/>
  <c r="M89" i="13"/>
  <c r="M13" i="5" s="1"/>
  <c r="N51" i="2"/>
  <c r="N45" i="2" s="1"/>
  <c r="N52" i="2" s="1"/>
  <c r="R35" i="11"/>
  <c r="Q40" i="11"/>
  <c r="Q78" i="11" s="1"/>
  <c r="Q65" i="11"/>
  <c r="Q66" i="11" s="1"/>
  <c r="R63" i="11" s="1"/>
  <c r="P66" i="10"/>
  <c r="Q63" i="10" s="1"/>
  <c r="M86" i="17"/>
  <c r="M87" i="17" s="1"/>
  <c r="P51" i="12"/>
  <c r="P65" i="19"/>
  <c r="P64" i="19"/>
  <c r="P58" i="19"/>
  <c r="P59" i="19" s="1"/>
  <c r="P44" i="19"/>
  <c r="M86" i="20"/>
  <c r="M87" i="20" s="1"/>
  <c r="P59" i="10"/>
  <c r="N76" i="11"/>
  <c r="N80" i="11" s="1"/>
  <c r="N41" i="5"/>
  <c r="P43" i="15"/>
  <c r="O47" i="15"/>
  <c r="Q37" i="10"/>
  <c r="Q38" i="10" s="1"/>
  <c r="R59" i="15"/>
  <c r="R60" i="15" s="1"/>
  <c r="S57" i="15" s="1"/>
  <c r="P59" i="17"/>
  <c r="P60" i="17" s="1"/>
  <c r="Q57" i="17" s="1"/>
  <c r="Q65" i="9"/>
  <c r="Q66" i="9" s="1"/>
  <c r="R63" i="9" s="1"/>
  <c r="T35" i="14"/>
  <c r="S40" i="14"/>
  <c r="S78" i="14" s="1"/>
  <c r="N52" i="13"/>
  <c r="N53" i="13" s="1"/>
  <c r="N46" i="13"/>
  <c r="R38" i="2"/>
  <c r="N52" i="20"/>
  <c r="N53" i="20" s="1"/>
  <c r="N46" i="20"/>
  <c r="P60" i="19"/>
  <c r="Q57" i="19" s="1"/>
  <c r="P66" i="20"/>
  <c r="Q63" i="20" s="1"/>
  <c r="Q37" i="20"/>
  <c r="Q38" i="20" s="1"/>
  <c r="O76" i="14"/>
  <c r="O80" i="14" s="1"/>
  <c r="O36" i="5"/>
  <c r="Q37" i="12"/>
  <c r="Q38" i="12" s="1"/>
  <c r="O83" i="18"/>
  <c r="O71" i="18"/>
  <c r="O70" i="18" s="1"/>
  <c r="O72" i="18" s="1"/>
  <c r="O45" i="18"/>
  <c r="N52" i="17"/>
  <c r="N53" i="17" s="1"/>
  <c r="N46" i="17"/>
  <c r="Q66" i="2"/>
  <c r="R63" i="2" s="1"/>
  <c r="O76" i="10"/>
  <c r="O80" i="10" s="1"/>
  <c r="O39" i="5"/>
  <c r="P83" i="9"/>
  <c r="P71" i="9"/>
  <c r="P70" i="9" s="1"/>
  <c r="P72" i="9" s="1"/>
  <c r="O69" i="17"/>
  <c r="N73" i="17"/>
  <c r="N79" i="17" s="1"/>
  <c r="O51" i="11"/>
  <c r="O45" i="11" s="1"/>
  <c r="O52" i="11" s="1"/>
  <c r="P50" i="15"/>
  <c r="O54" i="15"/>
  <c r="O77" i="15" s="1"/>
  <c r="R65" i="15"/>
  <c r="O80" i="12"/>
  <c r="Q59" i="9"/>
  <c r="Q60" i="9" s="1"/>
  <c r="R57" i="9" s="1"/>
  <c r="P39" i="19"/>
  <c r="J9" i="5"/>
  <c r="P66" i="19" l="1"/>
  <c r="Q63" i="19" s="1"/>
  <c r="J20" i="5"/>
  <c r="M89" i="17"/>
  <c r="N53" i="2"/>
  <c r="N54" i="2" s="1"/>
  <c r="N77" i="2" s="1"/>
  <c r="O85" i="14"/>
  <c r="O84" i="14"/>
  <c r="O88" i="14"/>
  <c r="O70" i="5" s="1"/>
  <c r="O53" i="5"/>
  <c r="O85" i="10"/>
  <c r="O88" i="10"/>
  <c r="O73" i="5" s="1"/>
  <c r="O84" i="10"/>
  <c r="O56" i="5"/>
  <c r="Q50" i="14"/>
  <c r="P54" i="14"/>
  <c r="P77" i="14" s="1"/>
  <c r="Q44" i="20"/>
  <c r="Q58" i="20"/>
  <c r="Q64" i="20"/>
  <c r="Q64" i="10"/>
  <c r="Q65" i="10" s="1"/>
  <c r="Q58" i="10"/>
  <c r="Q59" i="10" s="1"/>
  <c r="Q44" i="10"/>
  <c r="Q39" i="20"/>
  <c r="O35" i="5"/>
  <c r="O76" i="15"/>
  <c r="O80" i="15" s="1"/>
  <c r="N58" i="5"/>
  <c r="N85" i="11"/>
  <c r="N86" i="11" s="1"/>
  <c r="N87" i="11" s="1"/>
  <c r="N88" i="11"/>
  <c r="N75" i="5" s="1"/>
  <c r="N84" i="11"/>
  <c r="Q65" i="18"/>
  <c r="Q66" i="18" s="1"/>
  <c r="R63" i="18" s="1"/>
  <c r="O43" i="20"/>
  <c r="N47" i="20"/>
  <c r="O50" i="13"/>
  <c r="N54" i="13"/>
  <c r="N77" i="13" s="1"/>
  <c r="T37" i="14"/>
  <c r="P83" i="12"/>
  <c r="P71" i="12"/>
  <c r="P70" i="12" s="1"/>
  <c r="P72" i="12" s="1"/>
  <c r="R37" i="9"/>
  <c r="R38" i="9" s="1"/>
  <c r="Q37" i="17"/>
  <c r="S37" i="15"/>
  <c r="S38" i="15" s="1"/>
  <c r="R66" i="15"/>
  <c r="S63" i="15" s="1"/>
  <c r="O83" i="11"/>
  <c r="O71" i="11"/>
  <c r="O70" i="11" s="1"/>
  <c r="O72" i="11" s="1"/>
  <c r="O50" i="17"/>
  <c r="N54" i="17"/>
  <c r="N77" i="17" s="1"/>
  <c r="O52" i="18"/>
  <c r="O53" i="18" s="1"/>
  <c r="O46" i="18"/>
  <c r="Q65" i="20"/>
  <c r="Q66" i="20" s="1"/>
  <c r="R63" i="20" s="1"/>
  <c r="O50" i="20"/>
  <c r="N54" i="20"/>
  <c r="N77" i="20" s="1"/>
  <c r="R58" i="2"/>
  <c r="R44" i="2"/>
  <c r="R64" i="2"/>
  <c r="R65" i="2" s="1"/>
  <c r="Q39" i="10"/>
  <c r="P51" i="15"/>
  <c r="M89" i="20"/>
  <c r="R37" i="11"/>
  <c r="R38" i="11" s="1"/>
  <c r="N86" i="18"/>
  <c r="N87" i="18" s="1"/>
  <c r="N89" i="18" s="1"/>
  <c r="N16" i="5" s="1"/>
  <c r="P83" i="14"/>
  <c r="P71" i="14"/>
  <c r="P70" i="14" s="1"/>
  <c r="P72" i="14" s="1"/>
  <c r="O86" i="9"/>
  <c r="O87" i="9" s="1"/>
  <c r="O89" i="9" s="1"/>
  <c r="O14" i="5" s="1"/>
  <c r="R35" i="18"/>
  <c r="Q40" i="18"/>
  <c r="Q78" i="18" s="1"/>
  <c r="P45" i="10"/>
  <c r="O43" i="19"/>
  <c r="N47" i="19"/>
  <c r="O53" i="11"/>
  <c r="M88" i="2"/>
  <c r="M66" i="5" s="1"/>
  <c r="M78" i="5" s="1"/>
  <c r="M79" i="5" s="1"/>
  <c r="M85" i="2"/>
  <c r="M86" i="2" s="1"/>
  <c r="M87" i="2" s="1"/>
  <c r="M84" i="2"/>
  <c r="M49" i="5"/>
  <c r="M61" i="5" s="1"/>
  <c r="M62" i="5" s="1"/>
  <c r="Q43" i="9"/>
  <c r="P47" i="9"/>
  <c r="R35" i="13"/>
  <c r="Q40" i="13"/>
  <c r="Q78" i="13" s="1"/>
  <c r="O43" i="17"/>
  <c r="N47" i="17"/>
  <c r="P69" i="18"/>
  <c r="O73" i="18"/>
  <c r="O79" i="18" s="1"/>
  <c r="Q64" i="12"/>
  <c r="Q58" i="12"/>
  <c r="Q44" i="12"/>
  <c r="Q39" i="12"/>
  <c r="Q35" i="19"/>
  <c r="P40" i="19"/>
  <c r="P78" i="19" s="1"/>
  <c r="O59" i="5"/>
  <c r="O85" i="12"/>
  <c r="O88" i="12"/>
  <c r="O76" i="5" s="1"/>
  <c r="O84" i="12"/>
  <c r="O46" i="11"/>
  <c r="Q69" i="9"/>
  <c r="P73" i="9"/>
  <c r="P79" i="9" s="1"/>
  <c r="O43" i="13"/>
  <c r="N47" i="13"/>
  <c r="P60" i="10"/>
  <c r="Q57" i="10" s="1"/>
  <c r="Q60" i="13"/>
  <c r="R57" i="13" s="1"/>
  <c r="P45" i="12"/>
  <c r="N83" i="2"/>
  <c r="N71" i="2"/>
  <c r="N70" i="2" s="1"/>
  <c r="N72" i="2" s="1"/>
  <c r="N46" i="2"/>
  <c r="P46" i="14"/>
  <c r="O50" i="19"/>
  <c r="N54" i="19"/>
  <c r="N77" i="19" s="1"/>
  <c r="P71" i="10"/>
  <c r="P70" i="10" s="1"/>
  <c r="P72" i="10" s="1"/>
  <c r="Q60" i="11"/>
  <c r="R57" i="11" s="1"/>
  <c r="Q50" i="9"/>
  <c r="P54" i="9"/>
  <c r="P77" i="9" s="1"/>
  <c r="R39" i="2"/>
  <c r="Q65" i="13"/>
  <c r="K19" i="5"/>
  <c r="L10" i="5"/>
  <c r="T38" i="14" l="1"/>
  <c r="T39" i="14" s="1"/>
  <c r="O50" i="2"/>
  <c r="Q60" i="10"/>
  <c r="R57" i="10" s="1"/>
  <c r="Q66" i="10"/>
  <c r="R63" i="10" s="1"/>
  <c r="Q38" i="17"/>
  <c r="Q39" i="17" s="1"/>
  <c r="S39" i="15"/>
  <c r="T35" i="15" s="1"/>
  <c r="T37" i="15" s="1"/>
  <c r="T38" i="15" s="1"/>
  <c r="M89" i="2"/>
  <c r="M8" i="5" s="1"/>
  <c r="R66" i="2"/>
  <c r="S63" i="2" s="1"/>
  <c r="Q69" i="10"/>
  <c r="P73" i="10"/>
  <c r="P79" i="10" s="1"/>
  <c r="O69" i="2"/>
  <c r="N73" i="2"/>
  <c r="N79" i="2" s="1"/>
  <c r="R44" i="9"/>
  <c r="R64" i="9"/>
  <c r="R58" i="9"/>
  <c r="Q69" i="14"/>
  <c r="P73" i="14"/>
  <c r="P79" i="14" s="1"/>
  <c r="R44" i="11"/>
  <c r="R58" i="11"/>
  <c r="R59" i="11" s="1"/>
  <c r="R64" i="11"/>
  <c r="R39" i="11"/>
  <c r="P69" i="11"/>
  <c r="O73" i="11"/>
  <c r="O79" i="11" s="1"/>
  <c r="R39" i="9"/>
  <c r="N76" i="20"/>
  <c r="N80" i="20" s="1"/>
  <c r="N43" i="5"/>
  <c r="O86" i="10"/>
  <c r="O87" i="10" s="1"/>
  <c r="O89" i="10" s="1"/>
  <c r="O15" i="5" s="1"/>
  <c r="O43" i="2"/>
  <c r="N47" i="2"/>
  <c r="P52" i="12"/>
  <c r="P53" i="12" s="1"/>
  <c r="P46" i="12"/>
  <c r="R35" i="12"/>
  <c r="Q40" i="12"/>
  <c r="Q78" i="12" s="1"/>
  <c r="Q65" i="12"/>
  <c r="N76" i="17"/>
  <c r="N80" i="17" s="1"/>
  <c r="N34" i="5"/>
  <c r="R37" i="13"/>
  <c r="R38" i="13" s="1"/>
  <c r="P76" i="9"/>
  <c r="P38" i="5"/>
  <c r="P50" i="11"/>
  <c r="O54" i="11"/>
  <c r="O77" i="11" s="1"/>
  <c r="P52" i="10"/>
  <c r="P53" i="10" s="1"/>
  <c r="P46" i="10"/>
  <c r="S35" i="2"/>
  <c r="R40" i="2"/>
  <c r="R78" i="2" s="1"/>
  <c r="N76" i="13"/>
  <c r="N80" i="13" s="1"/>
  <c r="N37" i="5"/>
  <c r="O51" i="17"/>
  <c r="Q51" i="9"/>
  <c r="N76" i="19"/>
  <c r="N80" i="19" s="1"/>
  <c r="N33" i="5"/>
  <c r="R35" i="10"/>
  <c r="Q40" i="10"/>
  <c r="Q78" i="10" s="1"/>
  <c r="S40" i="15"/>
  <c r="S78" i="15" s="1"/>
  <c r="S64" i="15"/>
  <c r="S65" i="15" s="1"/>
  <c r="S66" i="15" s="1"/>
  <c r="T63" i="15" s="1"/>
  <c r="S58" i="15"/>
  <c r="S44" i="15"/>
  <c r="Q66" i="13"/>
  <c r="R63" i="13" s="1"/>
  <c r="Q43" i="14"/>
  <c r="P47" i="14"/>
  <c r="O51" i="13"/>
  <c r="P80" i="9"/>
  <c r="P43" i="11"/>
  <c r="O47" i="11"/>
  <c r="O86" i="12"/>
  <c r="O87" i="12" s="1"/>
  <c r="O89" i="12" s="1"/>
  <c r="Q37" i="19"/>
  <c r="Q38" i="19" s="1"/>
  <c r="Q59" i="12"/>
  <c r="O51" i="19"/>
  <c r="R37" i="18"/>
  <c r="R38" i="18" s="1"/>
  <c r="P43" i="18"/>
  <c r="O47" i="18"/>
  <c r="Q69" i="12"/>
  <c r="P73" i="12"/>
  <c r="P79" i="12" s="1"/>
  <c r="T44" i="14"/>
  <c r="T64" i="14"/>
  <c r="T58" i="14"/>
  <c r="O51" i="20"/>
  <c r="N89" i="11"/>
  <c r="R35" i="20"/>
  <c r="Q40" i="20"/>
  <c r="Q78" i="20" s="1"/>
  <c r="Q59" i="20"/>
  <c r="Q60" i="20" s="1"/>
  <c r="R57" i="20" s="1"/>
  <c r="O86" i="14"/>
  <c r="O87" i="14" s="1"/>
  <c r="P83" i="15"/>
  <c r="P71" i="15"/>
  <c r="P70" i="15" s="1"/>
  <c r="P72" i="15" s="1"/>
  <c r="P45" i="15"/>
  <c r="R59" i="2"/>
  <c r="R60" i="2" s="1"/>
  <c r="S57" i="2" s="1"/>
  <c r="P50" i="18"/>
  <c r="O54" i="18"/>
  <c r="O77" i="18" s="1"/>
  <c r="Q64" i="17"/>
  <c r="Q58" i="17"/>
  <c r="Q44" i="17"/>
  <c r="O52" i="5"/>
  <c r="O85" i="15"/>
  <c r="O84" i="15"/>
  <c r="O88" i="15"/>
  <c r="O69" i="5" s="1"/>
  <c r="J26" i="5"/>
  <c r="J29" i="5"/>
  <c r="J21" i="5"/>
  <c r="L17" i="5"/>
  <c r="M18" i="5"/>
  <c r="U35" i="14" l="1"/>
  <c r="T40" i="14"/>
  <c r="T78" i="14" s="1"/>
  <c r="O53" i="19"/>
  <c r="P50" i="19" s="1"/>
  <c r="R60" i="11"/>
  <c r="S57" i="11" s="1"/>
  <c r="O45" i="19"/>
  <c r="O52" i="19" s="1"/>
  <c r="Q40" i="17"/>
  <c r="Q78" i="17" s="1"/>
  <c r="R35" i="17"/>
  <c r="R37" i="17" s="1"/>
  <c r="R38" i="17" s="1"/>
  <c r="R39" i="13"/>
  <c r="S35" i="13" s="1"/>
  <c r="Q69" i="15"/>
  <c r="P73" i="15"/>
  <c r="P79" i="15" s="1"/>
  <c r="T64" i="15"/>
  <c r="T58" i="15"/>
  <c r="T59" i="15" s="1"/>
  <c r="T44" i="15"/>
  <c r="O86" i="15"/>
  <c r="Q65" i="17"/>
  <c r="O89" i="14"/>
  <c r="O45" i="20"/>
  <c r="T59" i="14"/>
  <c r="O76" i="18"/>
  <c r="O80" i="18" s="1"/>
  <c r="O40" i="5"/>
  <c r="P55" i="5"/>
  <c r="P88" i="9"/>
  <c r="P72" i="5" s="1"/>
  <c r="P85" i="9"/>
  <c r="P84" i="9"/>
  <c r="P76" i="14"/>
  <c r="P36" i="5"/>
  <c r="S59" i="15"/>
  <c r="O83" i="17"/>
  <c r="O71" i="17"/>
  <c r="O70" i="17" s="1"/>
  <c r="O72" i="17" s="1"/>
  <c r="N85" i="13"/>
  <c r="N84" i="13"/>
  <c r="N54" i="5"/>
  <c r="N88" i="13"/>
  <c r="N71" i="5" s="1"/>
  <c r="S37" i="2"/>
  <c r="Q50" i="10"/>
  <c r="P54" i="10"/>
  <c r="P77" i="10" s="1"/>
  <c r="R64" i="13"/>
  <c r="R58" i="13"/>
  <c r="R44" i="13"/>
  <c r="Q50" i="12"/>
  <c r="P54" i="12"/>
  <c r="P77" i="12" s="1"/>
  <c r="O51" i="2"/>
  <c r="R65" i="11"/>
  <c r="R66" i="11" s="1"/>
  <c r="S63" i="11" s="1"/>
  <c r="P80" i="14"/>
  <c r="R65" i="9"/>
  <c r="R66" i="9" s="1"/>
  <c r="S63" i="9" s="1"/>
  <c r="J27" i="5"/>
  <c r="J28" i="5"/>
  <c r="T39" i="15"/>
  <c r="T65" i="14"/>
  <c r="P51" i="18"/>
  <c r="P45" i="18" s="1"/>
  <c r="R64" i="18"/>
  <c r="R58" i="18"/>
  <c r="R44" i="18"/>
  <c r="R39" i="18"/>
  <c r="Q64" i="19"/>
  <c r="Q44" i="19"/>
  <c r="Q58" i="19"/>
  <c r="Q39" i="19"/>
  <c r="O76" i="11"/>
  <c r="O80" i="11" s="1"/>
  <c r="O41" i="5"/>
  <c r="O83" i="13"/>
  <c r="O71" i="13"/>
  <c r="O70" i="13" s="1"/>
  <c r="O72" i="13" s="1"/>
  <c r="Q51" i="14"/>
  <c r="R65" i="13"/>
  <c r="N85" i="19"/>
  <c r="N86" i="19" s="1"/>
  <c r="N87" i="19" s="1"/>
  <c r="N84" i="19"/>
  <c r="N88" i="19"/>
  <c r="N67" i="5" s="1"/>
  <c r="N50" i="5"/>
  <c r="N88" i="17"/>
  <c r="N68" i="5" s="1"/>
  <c r="N85" i="17"/>
  <c r="N84" i="17"/>
  <c r="N51" i="5"/>
  <c r="N84" i="20"/>
  <c r="N88" i="20"/>
  <c r="N77" i="5" s="1"/>
  <c r="N85" i="20"/>
  <c r="N60" i="5"/>
  <c r="U37" i="14"/>
  <c r="Q59" i="17"/>
  <c r="Q60" i="17" s="1"/>
  <c r="R57" i="17" s="1"/>
  <c r="P52" i="15"/>
  <c r="P53" i="15" s="1"/>
  <c r="P46" i="15"/>
  <c r="R37" i="20"/>
  <c r="O83" i="20"/>
  <c r="O71" i="20"/>
  <c r="O70" i="20" s="1"/>
  <c r="O72" i="20" s="1"/>
  <c r="O83" i="19"/>
  <c r="O71" i="19"/>
  <c r="O70" i="19" s="1"/>
  <c r="O72" i="19" s="1"/>
  <c r="O46" i="19"/>
  <c r="Q60" i="12"/>
  <c r="R57" i="12" s="1"/>
  <c r="P51" i="11"/>
  <c r="O45" i="13"/>
  <c r="R37" i="10"/>
  <c r="R38" i="10" s="1"/>
  <c r="Q83" i="9"/>
  <c r="Q71" i="9"/>
  <c r="Q70" i="9" s="1"/>
  <c r="Q72" i="9" s="1"/>
  <c r="Q45" i="9"/>
  <c r="O45" i="17"/>
  <c r="Q43" i="10"/>
  <c r="P47" i="10"/>
  <c r="Q66" i="12"/>
  <c r="R63" i="12" s="1"/>
  <c r="R37" i="12"/>
  <c r="R38" i="12" s="1"/>
  <c r="Q43" i="12"/>
  <c r="P47" i="12"/>
  <c r="N76" i="2"/>
  <c r="N80" i="2" s="1"/>
  <c r="N32" i="5"/>
  <c r="N44" i="5" s="1"/>
  <c r="N45" i="5" s="1"/>
  <c r="S35" i="9"/>
  <c r="R40" i="9"/>
  <c r="R78" i="9" s="1"/>
  <c r="S35" i="11"/>
  <c r="R40" i="11"/>
  <c r="R78" i="11" s="1"/>
  <c r="R59" i="9"/>
  <c r="R60" i="9" s="1"/>
  <c r="S57" i="9" s="1"/>
  <c r="L12" i="5"/>
  <c r="P53" i="11" l="1"/>
  <c r="Q50" i="11" s="1"/>
  <c r="O54" i="19"/>
  <c r="O77" i="19" s="1"/>
  <c r="P45" i="11"/>
  <c r="P52" i="11" s="1"/>
  <c r="U38" i="14"/>
  <c r="U39" i="14" s="1"/>
  <c r="P52" i="18"/>
  <c r="P53" i="18" s="1"/>
  <c r="P46" i="18"/>
  <c r="Q43" i="18" s="1"/>
  <c r="R39" i="17"/>
  <c r="R40" i="17" s="1"/>
  <c r="R78" i="17" s="1"/>
  <c r="R40" i="13"/>
  <c r="R78" i="13" s="1"/>
  <c r="R44" i="12"/>
  <c r="R64" i="12"/>
  <c r="R58" i="12"/>
  <c r="R59" i="12" s="1"/>
  <c r="R39" i="12"/>
  <c r="P69" i="20"/>
  <c r="O73" i="20"/>
  <c r="O79" i="20" s="1"/>
  <c r="R69" i="9"/>
  <c r="Q73" i="9"/>
  <c r="Q79" i="9" s="1"/>
  <c r="N88" i="2"/>
  <c r="N66" i="5" s="1"/>
  <c r="N78" i="5" s="1"/>
  <c r="N79" i="5" s="1"/>
  <c r="N49" i="5"/>
  <c r="N61" i="5" s="1"/>
  <c r="N62" i="5" s="1"/>
  <c r="N85" i="2"/>
  <c r="N84" i="2"/>
  <c r="P69" i="13"/>
  <c r="O73" i="13"/>
  <c r="O79" i="13" s="1"/>
  <c r="S35" i="17"/>
  <c r="R64" i="10"/>
  <c r="R58" i="10"/>
  <c r="R44" i="10"/>
  <c r="R39" i="10"/>
  <c r="R60" i="12"/>
  <c r="S57" i="12" s="1"/>
  <c r="P69" i="19"/>
  <c r="O73" i="19"/>
  <c r="O79" i="19" s="1"/>
  <c r="Q50" i="15"/>
  <c r="P54" i="15"/>
  <c r="P77" i="15" s="1"/>
  <c r="U64" i="14"/>
  <c r="U58" i="14"/>
  <c r="U59" i="14" s="1"/>
  <c r="N86" i="17"/>
  <c r="N87" i="17" s="1"/>
  <c r="N89" i="17" s="1"/>
  <c r="Q59" i="19"/>
  <c r="Q60" i="19" s="1"/>
  <c r="R57" i="19" s="1"/>
  <c r="S35" i="18"/>
  <c r="R40" i="18"/>
  <c r="R78" i="18" s="1"/>
  <c r="R65" i="18"/>
  <c r="R66" i="18" s="1"/>
  <c r="S63" i="18" s="1"/>
  <c r="U35" i="15"/>
  <c r="T40" i="15"/>
  <c r="T78" i="15" s="1"/>
  <c r="R58" i="17"/>
  <c r="R59" i="17" s="1"/>
  <c r="R60" i="17" s="1"/>
  <c r="S57" i="17" s="1"/>
  <c r="R44" i="17"/>
  <c r="R64" i="17"/>
  <c r="O83" i="2"/>
  <c r="O71" i="2"/>
  <c r="O70" i="2" s="1"/>
  <c r="O72" i="2" s="1"/>
  <c r="S38" i="2"/>
  <c r="P69" i="17"/>
  <c r="O73" i="17"/>
  <c r="O79" i="17" s="1"/>
  <c r="O57" i="5"/>
  <c r="O85" i="18"/>
  <c r="O86" i="18" s="1"/>
  <c r="O87" i="18" s="1"/>
  <c r="O88" i="18"/>
  <c r="O74" i="5" s="1"/>
  <c r="O84" i="18"/>
  <c r="T65" i="15"/>
  <c r="Q51" i="12"/>
  <c r="Q51" i="10"/>
  <c r="S37" i="11"/>
  <c r="S38" i="11" s="1"/>
  <c r="P54" i="11"/>
  <c r="P77" i="11" s="1"/>
  <c r="O52" i="13"/>
  <c r="O53" i="13" s="1"/>
  <c r="O46" i="13"/>
  <c r="P43" i="19"/>
  <c r="O47" i="19"/>
  <c r="R38" i="20"/>
  <c r="R39" i="20" s="1"/>
  <c r="O58" i="5"/>
  <c r="O85" i="11"/>
  <c r="O86" i="11" s="1"/>
  <c r="O87" i="11" s="1"/>
  <c r="O84" i="11"/>
  <c r="O88" i="11"/>
  <c r="O75" i="5" s="1"/>
  <c r="N86" i="20"/>
  <c r="N87" i="20" s="1"/>
  <c r="N89" i="20" s="1"/>
  <c r="N89" i="19"/>
  <c r="R66" i="13"/>
  <c r="S63" i="13" s="1"/>
  <c r="P84" i="14"/>
  <c r="P88" i="14"/>
  <c r="P70" i="5" s="1"/>
  <c r="P53" i="5"/>
  <c r="P85" i="14"/>
  <c r="O45" i="2"/>
  <c r="N86" i="13"/>
  <c r="P86" i="9"/>
  <c r="P87" i="9" s="1"/>
  <c r="P89" i="9" s="1"/>
  <c r="P14" i="5" s="1"/>
  <c r="O52" i="20"/>
  <c r="O53" i="20" s="1"/>
  <c r="O46" i="20"/>
  <c r="Q66" i="17"/>
  <c r="R63" i="17" s="1"/>
  <c r="O52" i="17"/>
  <c r="O53" i="17" s="1"/>
  <c r="O46" i="17"/>
  <c r="P83" i="11"/>
  <c r="P71" i="11"/>
  <c r="P70" i="11" s="1"/>
  <c r="P72" i="11" s="1"/>
  <c r="S37" i="9"/>
  <c r="S38" i="9" s="1"/>
  <c r="P76" i="12"/>
  <c r="P80" i="12" s="1"/>
  <c r="P42" i="5"/>
  <c r="R65" i="12"/>
  <c r="R66" i="12" s="1"/>
  <c r="S63" i="12" s="1"/>
  <c r="P76" i="10"/>
  <c r="P80" i="10" s="1"/>
  <c r="P39" i="5"/>
  <c r="Q52" i="9"/>
  <c r="Q53" i="9" s="1"/>
  <c r="Q46" i="9"/>
  <c r="P46" i="11"/>
  <c r="Q43" i="15"/>
  <c r="P47" i="15"/>
  <c r="Q83" i="14"/>
  <c r="Q71" i="14"/>
  <c r="Q70" i="14" s="1"/>
  <c r="Q72" i="14" s="1"/>
  <c r="Q45" i="14"/>
  <c r="R35" i="19"/>
  <c r="Q40" i="19"/>
  <c r="Q78" i="19" s="1"/>
  <c r="Q65" i="19"/>
  <c r="R59" i="18"/>
  <c r="R60" i="18" s="1"/>
  <c r="S57" i="18" s="1"/>
  <c r="P83" i="18"/>
  <c r="P71" i="18"/>
  <c r="P70" i="18" s="1"/>
  <c r="P72" i="18" s="1"/>
  <c r="T66" i="14"/>
  <c r="U63" i="14" s="1"/>
  <c r="R59" i="13"/>
  <c r="R60" i="13" s="1"/>
  <c r="S57" i="13" s="1"/>
  <c r="S60" i="15"/>
  <c r="T57" i="15" s="1"/>
  <c r="T60" i="15" s="1"/>
  <c r="U57" i="15" s="1"/>
  <c r="T60" i="14"/>
  <c r="U57" i="14" s="1"/>
  <c r="O87" i="15"/>
  <c r="O89" i="15" s="1"/>
  <c r="S37" i="13"/>
  <c r="M10" i="5"/>
  <c r="L19" i="5"/>
  <c r="K9" i="5"/>
  <c r="N11" i="5"/>
  <c r="O89" i="11" l="1"/>
  <c r="U44" i="14"/>
  <c r="V35" i="14"/>
  <c r="U40" i="14"/>
  <c r="U78" i="14" s="1"/>
  <c r="U60" i="14"/>
  <c r="V57" i="14" s="1"/>
  <c r="P47" i="18"/>
  <c r="P76" i="18" s="1"/>
  <c r="K20" i="5"/>
  <c r="S64" i="9"/>
  <c r="S58" i="9"/>
  <c r="S44" i="9"/>
  <c r="Q69" i="18"/>
  <c r="P73" i="18"/>
  <c r="P79" i="18" s="1"/>
  <c r="Q69" i="11"/>
  <c r="P73" i="11"/>
  <c r="P79" i="11" s="1"/>
  <c r="R69" i="14"/>
  <c r="Q73" i="14"/>
  <c r="Q79" i="14" s="1"/>
  <c r="P69" i="2"/>
  <c r="O73" i="2"/>
  <c r="O79" i="2" s="1"/>
  <c r="S35" i="20"/>
  <c r="R40" i="20"/>
  <c r="R78" i="20" s="1"/>
  <c r="S64" i="11"/>
  <c r="S58" i="11"/>
  <c r="S44" i="11"/>
  <c r="S39" i="11"/>
  <c r="S38" i="13"/>
  <c r="Q43" i="11"/>
  <c r="P47" i="11"/>
  <c r="P50" i="17"/>
  <c r="O54" i="17"/>
  <c r="O77" i="17" s="1"/>
  <c r="R66" i="17"/>
  <c r="S63" i="17" s="1"/>
  <c r="R65" i="17"/>
  <c r="O76" i="19"/>
  <c r="O33" i="5"/>
  <c r="P50" i="13"/>
  <c r="O54" i="13"/>
  <c r="O77" i="13" s="1"/>
  <c r="O89" i="18"/>
  <c r="O16" i="5" s="1"/>
  <c r="S44" i="2"/>
  <c r="S64" i="2"/>
  <c r="S58" i="2"/>
  <c r="S37" i="18"/>
  <c r="S38" i="18" s="1"/>
  <c r="S39" i="2"/>
  <c r="R65" i="10"/>
  <c r="R66" i="10" s="1"/>
  <c r="S63" i="10" s="1"/>
  <c r="S37" i="17"/>
  <c r="Q50" i="18"/>
  <c r="P54" i="18"/>
  <c r="P77" i="18" s="1"/>
  <c r="Q52" i="14"/>
  <c r="Q53" i="14" s="1"/>
  <c r="Q46" i="14"/>
  <c r="P76" i="15"/>
  <c r="P80" i="15" s="1"/>
  <c r="P35" i="5"/>
  <c r="R43" i="9"/>
  <c r="Q47" i="9"/>
  <c r="P85" i="10"/>
  <c r="P56" i="5"/>
  <c r="P84" i="10"/>
  <c r="P88" i="10"/>
  <c r="P73" i="5" s="1"/>
  <c r="S39" i="9"/>
  <c r="P43" i="20"/>
  <c r="O47" i="20"/>
  <c r="O52" i="2"/>
  <c r="O53" i="2" s="1"/>
  <c r="O46" i="2"/>
  <c r="P51" i="19"/>
  <c r="P45" i="19" s="1"/>
  <c r="P52" i="19" s="1"/>
  <c r="Q83" i="10"/>
  <c r="Q71" i="10"/>
  <c r="Q70" i="10" s="1"/>
  <c r="Q72" i="10" s="1"/>
  <c r="U37" i="15"/>
  <c r="U38" i="15" s="1"/>
  <c r="T66" i="15"/>
  <c r="U63" i="15" s="1"/>
  <c r="N86" i="2"/>
  <c r="U66" i="14"/>
  <c r="V63" i="14" s="1"/>
  <c r="U65" i="14"/>
  <c r="Q66" i="19"/>
  <c r="R63" i="19" s="1"/>
  <c r="R37" i="19"/>
  <c r="Q51" i="15"/>
  <c r="Q45" i="15" s="1"/>
  <c r="Q52" i="15" s="1"/>
  <c r="R50" i="9"/>
  <c r="Q54" i="9"/>
  <c r="Q77" i="9" s="1"/>
  <c r="P85" i="12"/>
  <c r="P84" i="12"/>
  <c r="P59" i="5"/>
  <c r="P88" i="12"/>
  <c r="P76" i="5" s="1"/>
  <c r="P43" i="17"/>
  <c r="O47" i="17"/>
  <c r="P50" i="20"/>
  <c r="O54" i="20"/>
  <c r="O77" i="20" s="1"/>
  <c r="N87" i="13"/>
  <c r="N89" i="13" s="1"/>
  <c r="N13" i="5" s="1"/>
  <c r="P86" i="14"/>
  <c r="P87" i="14" s="1"/>
  <c r="P89" i="14" s="1"/>
  <c r="R58" i="20"/>
  <c r="R64" i="20"/>
  <c r="R44" i="20"/>
  <c r="P43" i="13"/>
  <c r="O47" i="13"/>
  <c r="Q45" i="10"/>
  <c r="Q83" i="12"/>
  <c r="Q71" i="12"/>
  <c r="Q70" i="12" s="1"/>
  <c r="Q72" i="12" s="1"/>
  <c r="Q45" i="12"/>
  <c r="Q51" i="18"/>
  <c r="O80" i="19"/>
  <c r="S35" i="10"/>
  <c r="R40" i="10"/>
  <c r="R78" i="10" s="1"/>
  <c r="R59" i="10"/>
  <c r="R60" i="10" s="1"/>
  <c r="S57" i="10" s="1"/>
  <c r="V38" i="14"/>
  <c r="V39" i="14" s="1"/>
  <c r="W35" i="14" s="1"/>
  <c r="V37" i="14"/>
  <c r="S35" i="12"/>
  <c r="R40" i="12"/>
  <c r="R78" i="12" s="1"/>
  <c r="M12" i="5"/>
  <c r="M17" i="5"/>
  <c r="P40" i="5" l="1"/>
  <c r="P46" i="19"/>
  <c r="Q43" i="19" s="1"/>
  <c r="U58" i="15"/>
  <c r="U44" i="15"/>
  <c r="U64" i="15"/>
  <c r="U65" i="15" s="1"/>
  <c r="U39" i="15"/>
  <c r="R69" i="10"/>
  <c r="Q73" i="10"/>
  <c r="Q79" i="10" s="1"/>
  <c r="R69" i="12"/>
  <c r="Q73" i="12"/>
  <c r="Q79" i="12" s="1"/>
  <c r="S44" i="18"/>
  <c r="S64" i="18"/>
  <c r="S58" i="18"/>
  <c r="Q52" i="10"/>
  <c r="Q53" i="10" s="1"/>
  <c r="Q46" i="10"/>
  <c r="P86" i="12"/>
  <c r="P87" i="12" s="1"/>
  <c r="P89" i="12" s="1"/>
  <c r="P47" i="19"/>
  <c r="O76" i="20"/>
  <c r="O80" i="20" s="1"/>
  <c r="O43" i="5"/>
  <c r="P86" i="10"/>
  <c r="P87" i="10" s="1"/>
  <c r="R50" i="14"/>
  <c r="Q54" i="14"/>
  <c r="Q77" i="14" s="1"/>
  <c r="Q45" i="18"/>
  <c r="S38" i="17"/>
  <c r="T35" i="2"/>
  <c r="S40" i="2"/>
  <c r="S78" i="2" s="1"/>
  <c r="S39" i="18"/>
  <c r="Q51" i="11"/>
  <c r="S58" i="13"/>
  <c r="S44" i="13"/>
  <c r="S64" i="13"/>
  <c r="T35" i="11"/>
  <c r="S40" i="11"/>
  <c r="S78" i="11" s="1"/>
  <c r="S65" i="11"/>
  <c r="S66" i="11" s="1"/>
  <c r="T63" i="11" s="1"/>
  <c r="S65" i="9"/>
  <c r="S66" i="9" s="1"/>
  <c r="T63" i="9" s="1"/>
  <c r="W37" i="14"/>
  <c r="W38" i="14" s="1"/>
  <c r="S37" i="12"/>
  <c r="S38" i="12" s="1"/>
  <c r="V40" i="14"/>
  <c r="V78" i="14" s="1"/>
  <c r="S37" i="10"/>
  <c r="S38" i="10" s="1"/>
  <c r="Q83" i="18"/>
  <c r="Q71" i="18"/>
  <c r="Q70" i="18" s="1"/>
  <c r="Q72" i="18" s="1"/>
  <c r="O76" i="13"/>
  <c r="O80" i="13" s="1"/>
  <c r="O37" i="5"/>
  <c r="R65" i="20"/>
  <c r="R66" i="20" s="1"/>
  <c r="S63" i="20" s="1"/>
  <c r="O76" i="17"/>
  <c r="O80" i="17" s="1"/>
  <c r="O34" i="5"/>
  <c r="Q83" i="15"/>
  <c r="Q71" i="15"/>
  <c r="Q70" i="15" s="1"/>
  <c r="Q72" i="15" s="1"/>
  <c r="Q46" i="15"/>
  <c r="N87" i="2"/>
  <c r="N89" i="2" s="1"/>
  <c r="N8" i="5" s="1"/>
  <c r="Q53" i="15"/>
  <c r="P83" i="19"/>
  <c r="P71" i="19"/>
  <c r="P70" i="19" s="1"/>
  <c r="P72" i="19" s="1"/>
  <c r="P53" i="19"/>
  <c r="Q51" i="19" s="1"/>
  <c r="P43" i="2"/>
  <c r="O47" i="2"/>
  <c r="P51" i="20"/>
  <c r="Q76" i="9"/>
  <c r="Q80" i="9" s="1"/>
  <c r="Q38" i="5"/>
  <c r="P88" i="15"/>
  <c r="P69" i="5" s="1"/>
  <c r="P85" i="15"/>
  <c r="P52" i="5"/>
  <c r="P84" i="15"/>
  <c r="S59" i="2"/>
  <c r="S60" i="2" s="1"/>
  <c r="T57" i="2" s="1"/>
  <c r="V58" i="14"/>
  <c r="V44" i="14"/>
  <c r="V64" i="14"/>
  <c r="O84" i="19"/>
  <c r="O88" i="19"/>
  <c r="O67" i="5" s="1"/>
  <c r="O85" i="19"/>
  <c r="O50" i="5"/>
  <c r="Q52" i="12"/>
  <c r="Q53" i="12" s="1"/>
  <c r="Q46" i="12"/>
  <c r="P51" i="13"/>
  <c r="P45" i="13" s="1"/>
  <c r="R59" i="20"/>
  <c r="R60" i="20" s="1"/>
  <c r="S57" i="20" s="1"/>
  <c r="P51" i="17"/>
  <c r="R38" i="19"/>
  <c r="V65" i="14"/>
  <c r="P50" i="2"/>
  <c r="O54" i="2"/>
  <c r="O77" i="2" s="1"/>
  <c r="T35" i="9"/>
  <c r="S40" i="9"/>
  <c r="S78" i="9" s="1"/>
  <c r="R51" i="9"/>
  <c r="R43" i="14"/>
  <c r="Q47" i="14"/>
  <c r="S65" i="2"/>
  <c r="S66" i="2" s="1"/>
  <c r="T63" i="2" s="1"/>
  <c r="P76" i="11"/>
  <c r="P80" i="11" s="1"/>
  <c r="P41" i="5"/>
  <c r="S59" i="11"/>
  <c r="S37" i="20"/>
  <c r="S38" i="20" s="1"/>
  <c r="S39" i="13"/>
  <c r="P80" i="18"/>
  <c r="S59" i="9"/>
  <c r="S60" i="9" s="1"/>
  <c r="T57" i="9" s="1"/>
  <c r="K26" i="5"/>
  <c r="K21" i="5"/>
  <c r="K29" i="5"/>
  <c r="N18" i="5"/>
  <c r="V66" i="14" l="1"/>
  <c r="W63" i="14" s="1"/>
  <c r="S39" i="12"/>
  <c r="S40" i="12" s="1"/>
  <c r="S78" i="12" s="1"/>
  <c r="U66" i="15"/>
  <c r="V63" i="15" s="1"/>
  <c r="S64" i="20"/>
  <c r="S65" i="20" s="1"/>
  <c r="S58" i="20"/>
  <c r="S59" i="20" s="1"/>
  <c r="S44" i="20"/>
  <c r="P85" i="11"/>
  <c r="P58" i="5"/>
  <c r="P88" i="11"/>
  <c r="P75" i="5" s="1"/>
  <c r="P84" i="11"/>
  <c r="P52" i="13"/>
  <c r="P53" i="13" s="1"/>
  <c r="P46" i="13"/>
  <c r="Q69" i="19"/>
  <c r="P73" i="19"/>
  <c r="P79" i="19" s="1"/>
  <c r="R69" i="18"/>
  <c r="Q73" i="18"/>
  <c r="Q79" i="18" s="1"/>
  <c r="W64" i="14"/>
  <c r="W58" i="14"/>
  <c r="W59" i="14" s="1"/>
  <c r="W44" i="14"/>
  <c r="W65" i="14"/>
  <c r="Q83" i="19"/>
  <c r="Q71" i="19"/>
  <c r="Q70" i="19" s="1"/>
  <c r="S44" i="10"/>
  <c r="S58" i="10"/>
  <c r="S64" i="10"/>
  <c r="T35" i="12"/>
  <c r="K28" i="5"/>
  <c r="K27" i="5"/>
  <c r="T35" i="13"/>
  <c r="S40" i="13"/>
  <c r="S78" i="13" s="1"/>
  <c r="S39" i="20"/>
  <c r="R83" i="9"/>
  <c r="R71" i="9"/>
  <c r="R70" i="9" s="1"/>
  <c r="R72" i="9" s="1"/>
  <c r="O32" i="5"/>
  <c r="O44" i="5" s="1"/>
  <c r="O45" i="5" s="1"/>
  <c r="O76" i="2"/>
  <c r="O80" i="2" s="1"/>
  <c r="R50" i="15"/>
  <c r="Q54" i="15"/>
  <c r="Q77" i="15" s="1"/>
  <c r="R69" i="15"/>
  <c r="Q73" i="15"/>
  <c r="Q79" i="15" s="1"/>
  <c r="S39" i="10"/>
  <c r="W39" i="14"/>
  <c r="W40" i="14" s="1"/>
  <c r="W78" i="14" s="1"/>
  <c r="Q52" i="18"/>
  <c r="Q53" i="18" s="1"/>
  <c r="Q46" i="18"/>
  <c r="P76" i="19"/>
  <c r="P33" i="5"/>
  <c r="S59" i="18"/>
  <c r="V35" i="15"/>
  <c r="U40" i="15"/>
  <c r="U78" i="15" s="1"/>
  <c r="U59" i="15"/>
  <c r="R51" i="14"/>
  <c r="S60" i="11"/>
  <c r="T57" i="11" s="1"/>
  <c r="Q76" i="14"/>
  <c r="Q80" i="14" s="1"/>
  <c r="Q36" i="5"/>
  <c r="R45" i="9"/>
  <c r="R58" i="19"/>
  <c r="R44" i="19"/>
  <c r="R64" i="19"/>
  <c r="R43" i="12"/>
  <c r="Q47" i="12"/>
  <c r="O86" i="19"/>
  <c r="O87" i="19" s="1"/>
  <c r="O89" i="19" s="1"/>
  <c r="V59" i="14"/>
  <c r="V60" i="14" s="1"/>
  <c r="W57" i="14" s="1"/>
  <c r="W60" i="14" s="1"/>
  <c r="P86" i="15"/>
  <c r="P87" i="15" s="1"/>
  <c r="P89" i="15" s="1"/>
  <c r="Q84" i="9"/>
  <c r="Q55" i="5"/>
  <c r="Q88" i="9"/>
  <c r="Q72" i="5" s="1"/>
  <c r="Q85" i="9"/>
  <c r="P51" i="2"/>
  <c r="O84" i="17"/>
  <c r="O88" i="17"/>
  <c r="O68" i="5" s="1"/>
  <c r="O51" i="5"/>
  <c r="O85" i="17"/>
  <c r="T37" i="11"/>
  <c r="T38" i="11" s="1"/>
  <c r="S59" i="13"/>
  <c r="T37" i="2"/>
  <c r="T38" i="2" s="1"/>
  <c r="R43" i="10"/>
  <c r="Q47" i="10"/>
  <c r="S65" i="18"/>
  <c r="R39" i="19"/>
  <c r="P84" i="18"/>
  <c r="P57" i="5"/>
  <c r="P85" i="18"/>
  <c r="P88" i="18"/>
  <c r="P74" i="5" s="1"/>
  <c r="T37" i="9"/>
  <c r="P83" i="17"/>
  <c r="P71" i="17"/>
  <c r="P70" i="17" s="1"/>
  <c r="P72" i="17" s="1"/>
  <c r="P45" i="17"/>
  <c r="P83" i="13"/>
  <c r="P71" i="13"/>
  <c r="P70" i="13" s="1"/>
  <c r="P72" i="13" s="1"/>
  <c r="R50" i="12"/>
  <c r="Q54" i="12"/>
  <c r="Q77" i="12" s="1"/>
  <c r="P83" i="20"/>
  <c r="P71" i="20"/>
  <c r="P70" i="20" s="1"/>
  <c r="P72" i="20" s="1"/>
  <c r="P45" i="20"/>
  <c r="Q50" i="19"/>
  <c r="P54" i="19"/>
  <c r="P77" i="19" s="1"/>
  <c r="R43" i="15"/>
  <c r="Q47" i="15"/>
  <c r="O85" i="13"/>
  <c r="O86" i="13" s="1"/>
  <c r="O87" i="13" s="1"/>
  <c r="O84" i="13"/>
  <c r="O54" i="5"/>
  <c r="O88" i="13"/>
  <c r="O71" i="5" s="1"/>
  <c r="S64" i="12"/>
  <c r="S58" i="12"/>
  <c r="S44" i="12"/>
  <c r="S65" i="13"/>
  <c r="Q83" i="11"/>
  <c r="Q71" i="11"/>
  <c r="Q70" i="11" s="1"/>
  <c r="Q72" i="11" s="1"/>
  <c r="Q45" i="11"/>
  <c r="T35" i="18"/>
  <c r="S40" i="18"/>
  <c r="S78" i="18" s="1"/>
  <c r="S64" i="17"/>
  <c r="S58" i="17"/>
  <c r="S44" i="17"/>
  <c r="P89" i="10"/>
  <c r="P15" i="5" s="1"/>
  <c r="O85" i="20"/>
  <c r="O84" i="20"/>
  <c r="O60" i="5"/>
  <c r="O88" i="20"/>
  <c r="O77" i="5" s="1"/>
  <c r="R50" i="10"/>
  <c r="Q54" i="10"/>
  <c r="Q77" i="10" s="1"/>
  <c r="S39" i="17"/>
  <c r="O11" i="5"/>
  <c r="L9" i="5"/>
  <c r="S60" i="20" l="1"/>
  <c r="T57" i="20" s="1"/>
  <c r="W66" i="14"/>
  <c r="L20" i="5"/>
  <c r="R69" i="11"/>
  <c r="Q73" i="11"/>
  <c r="Q79" i="11" s="1"/>
  <c r="Q69" i="20"/>
  <c r="P73" i="20"/>
  <c r="P79" i="20" s="1"/>
  <c r="Q69" i="13"/>
  <c r="P73" i="13"/>
  <c r="P79" i="13" s="1"/>
  <c r="T64" i="2"/>
  <c r="T58" i="2"/>
  <c r="T44" i="2"/>
  <c r="S69" i="9"/>
  <c r="R73" i="9"/>
  <c r="R79" i="9" s="1"/>
  <c r="T35" i="17"/>
  <c r="S40" i="17"/>
  <c r="S78" i="17" s="1"/>
  <c r="O89" i="13"/>
  <c r="O13" i="5" s="1"/>
  <c r="Q45" i="19"/>
  <c r="T38" i="9"/>
  <c r="Q76" i="10"/>
  <c r="Q80" i="10" s="1"/>
  <c r="Q39" i="5"/>
  <c r="O86" i="17"/>
  <c r="O87" i="17" s="1"/>
  <c r="O89" i="17" s="1"/>
  <c r="Q86" i="9"/>
  <c r="Q87" i="9" s="1"/>
  <c r="Q89" i="9" s="1"/>
  <c r="Q14" i="5" s="1"/>
  <c r="R59" i="19"/>
  <c r="R60" i="19" s="1"/>
  <c r="S57" i="19" s="1"/>
  <c r="R52" i="9"/>
  <c r="R53" i="9" s="1"/>
  <c r="R46" i="9"/>
  <c r="R83" i="14"/>
  <c r="R71" i="14"/>
  <c r="R70" i="14" s="1"/>
  <c r="R72" i="14" s="1"/>
  <c r="R43" i="18"/>
  <c r="Q47" i="18"/>
  <c r="T35" i="10"/>
  <c r="S40" i="10"/>
  <c r="S78" i="10" s="1"/>
  <c r="T37" i="12"/>
  <c r="Q72" i="19"/>
  <c r="R69" i="19" s="1"/>
  <c r="P52" i="20"/>
  <c r="P53" i="20" s="1"/>
  <c r="P46" i="20"/>
  <c r="Q69" i="17"/>
  <c r="P73" i="17"/>
  <c r="P79" i="17" s="1"/>
  <c r="R51" i="10"/>
  <c r="R45" i="10" s="1"/>
  <c r="T39" i="2"/>
  <c r="T44" i="11"/>
  <c r="T64" i="11"/>
  <c r="T58" i="11"/>
  <c r="T59" i="11" s="1"/>
  <c r="T39" i="11"/>
  <c r="Q76" i="12"/>
  <c r="Q80" i="12" s="1"/>
  <c r="Q42" i="5"/>
  <c r="R65" i="19"/>
  <c r="R66" i="19" s="1"/>
  <c r="S63" i="19" s="1"/>
  <c r="R45" i="14"/>
  <c r="R50" i="18"/>
  <c r="Q54" i="18"/>
  <c r="Q77" i="18" s="1"/>
  <c r="T37" i="13"/>
  <c r="S65" i="10"/>
  <c r="S66" i="20"/>
  <c r="T63" i="20" s="1"/>
  <c r="Q43" i="13"/>
  <c r="P47" i="13"/>
  <c r="P86" i="11"/>
  <c r="P87" i="11" s="1"/>
  <c r="P89" i="11" s="1"/>
  <c r="O86" i="20"/>
  <c r="O87" i="20" s="1"/>
  <c r="O89" i="20" s="1"/>
  <c r="S59" i="17"/>
  <c r="S60" i="17" s="1"/>
  <c r="T57" i="17" s="1"/>
  <c r="T37" i="18"/>
  <c r="T38" i="18" s="1"/>
  <c r="S59" i="12"/>
  <c r="S60" i="12" s="1"/>
  <c r="T57" i="12" s="1"/>
  <c r="Q76" i="15"/>
  <c r="Q80" i="15" s="1"/>
  <c r="Q35" i="5"/>
  <c r="S65" i="17"/>
  <c r="Q52" i="11"/>
  <c r="Q53" i="11" s="1"/>
  <c r="Q46" i="11"/>
  <c r="S66" i="13"/>
  <c r="T63" i="13" s="1"/>
  <c r="S65" i="12"/>
  <c r="R51" i="15"/>
  <c r="P52" i="17"/>
  <c r="P53" i="17" s="1"/>
  <c r="P46" i="17"/>
  <c r="P86" i="18"/>
  <c r="P87" i="18" s="1"/>
  <c r="P89" i="18" s="1"/>
  <c r="P16" i="5" s="1"/>
  <c r="S35" i="19"/>
  <c r="R40" i="19"/>
  <c r="R78" i="19" s="1"/>
  <c r="S66" i="18"/>
  <c r="T63" i="18" s="1"/>
  <c r="S60" i="13"/>
  <c r="T57" i="13" s="1"/>
  <c r="P83" i="2"/>
  <c r="P71" i="2"/>
  <c r="P70" i="2" s="1"/>
  <c r="P72" i="2" s="1"/>
  <c r="P45" i="2"/>
  <c r="R51" i="12"/>
  <c r="Q53" i="5"/>
  <c r="Q85" i="14"/>
  <c r="Q84" i="14"/>
  <c r="Q88" i="14"/>
  <c r="Q70" i="5" s="1"/>
  <c r="U60" i="15"/>
  <c r="V57" i="15" s="1"/>
  <c r="V37" i="15"/>
  <c r="S60" i="18"/>
  <c r="T57" i="18" s="1"/>
  <c r="O49" i="5"/>
  <c r="O61" i="5" s="1"/>
  <c r="O62" i="5" s="1"/>
  <c r="O85" i="2"/>
  <c r="O84" i="2"/>
  <c r="O88" i="2"/>
  <c r="O66" i="5" s="1"/>
  <c r="O78" i="5" s="1"/>
  <c r="O79" i="5" s="1"/>
  <c r="T35" i="20"/>
  <c r="S40" i="20"/>
  <c r="S78" i="20" s="1"/>
  <c r="S59" i="10"/>
  <c r="S60" i="10" s="1"/>
  <c r="T57" i="10" s="1"/>
  <c r="P80" i="19"/>
  <c r="Q50" i="13"/>
  <c r="P54" i="13"/>
  <c r="P77" i="13" s="1"/>
  <c r="N10" i="5"/>
  <c r="N17" i="5"/>
  <c r="M19" i="5"/>
  <c r="T38" i="12" l="1"/>
  <c r="T39" i="12" s="1"/>
  <c r="Q69" i="2"/>
  <c r="P73" i="2"/>
  <c r="P79" i="2" s="1"/>
  <c r="R52" i="10"/>
  <c r="R53" i="10" s="1"/>
  <c r="R46" i="10"/>
  <c r="S69" i="14"/>
  <c r="R73" i="14"/>
  <c r="R79" i="14" s="1"/>
  <c r="Q88" i="15"/>
  <c r="Q69" i="5" s="1"/>
  <c r="Q52" i="5"/>
  <c r="Q85" i="15"/>
  <c r="Q86" i="15" s="1"/>
  <c r="Q87" i="15" s="1"/>
  <c r="Q84" i="15"/>
  <c r="T37" i="20"/>
  <c r="T38" i="20" s="1"/>
  <c r="Q86" i="14"/>
  <c r="P85" i="19"/>
  <c r="P88" i="19"/>
  <c r="P67" i="5" s="1"/>
  <c r="P50" i="5"/>
  <c r="P84" i="19"/>
  <c r="V38" i="15"/>
  <c r="V39" i="15" s="1"/>
  <c r="S37" i="19"/>
  <c r="R83" i="15"/>
  <c r="R71" i="15"/>
  <c r="R70" i="15" s="1"/>
  <c r="R72" i="15" s="1"/>
  <c r="T64" i="18"/>
  <c r="T58" i="18"/>
  <c r="T59" i="18" s="1"/>
  <c r="T44" i="18"/>
  <c r="P76" i="13"/>
  <c r="P80" i="13" s="1"/>
  <c r="P37" i="5"/>
  <c r="T38" i="13"/>
  <c r="T39" i="13" s="1"/>
  <c r="Q85" i="12"/>
  <c r="Q86" i="12" s="1"/>
  <c r="Q87" i="12" s="1"/>
  <c r="Q84" i="12"/>
  <c r="Q59" i="5"/>
  <c r="Q88" i="12"/>
  <c r="Q76" i="5" s="1"/>
  <c r="U35" i="2"/>
  <c r="T40" i="2"/>
  <c r="T78" i="2" s="1"/>
  <c r="Q76" i="18"/>
  <c r="Q80" i="18" s="1"/>
  <c r="Q40" i="5"/>
  <c r="T58" i="9"/>
  <c r="T64" i="9"/>
  <c r="T44" i="9"/>
  <c r="T65" i="2"/>
  <c r="T66" i="2" s="1"/>
  <c r="U63" i="2" s="1"/>
  <c r="T65" i="18"/>
  <c r="Q43" i="17"/>
  <c r="P47" i="17"/>
  <c r="R43" i="11"/>
  <c r="Q47" i="11"/>
  <c r="S66" i="17"/>
  <c r="T63" i="17" s="1"/>
  <c r="T39" i="18"/>
  <c r="Q51" i="13"/>
  <c r="R52" i="14"/>
  <c r="R53" i="14" s="1"/>
  <c r="R46" i="14"/>
  <c r="T65" i="11"/>
  <c r="R83" i="10"/>
  <c r="R71" i="10"/>
  <c r="R70" i="10" s="1"/>
  <c r="R72" i="10" s="1"/>
  <c r="Q43" i="20"/>
  <c r="P47" i="20"/>
  <c r="T58" i="12"/>
  <c r="T59" i="12" s="1"/>
  <c r="T64" i="12"/>
  <c r="T44" i="12"/>
  <c r="R51" i="18"/>
  <c r="S43" i="9"/>
  <c r="R47" i="9"/>
  <c r="Q52" i="19"/>
  <c r="Q53" i="19" s="1"/>
  <c r="Q46" i="19"/>
  <c r="T37" i="17"/>
  <c r="T38" i="17" s="1"/>
  <c r="T39" i="9"/>
  <c r="O86" i="2"/>
  <c r="O87" i="2" s="1"/>
  <c r="O89" i="2" s="1"/>
  <c r="O8" i="5" s="1"/>
  <c r="R83" i="12"/>
  <c r="R71" i="12"/>
  <c r="R70" i="12" s="1"/>
  <c r="R72" i="12" s="1"/>
  <c r="R45" i="12"/>
  <c r="P52" i="2"/>
  <c r="P53" i="2" s="1"/>
  <c r="P46" i="2"/>
  <c r="Q50" i="17"/>
  <c r="P54" i="17"/>
  <c r="P77" i="17" s="1"/>
  <c r="R45" i="15"/>
  <c r="S66" i="12"/>
  <c r="T63" i="12" s="1"/>
  <c r="R50" i="11"/>
  <c r="Q54" i="11"/>
  <c r="Q77" i="11" s="1"/>
  <c r="S66" i="10"/>
  <c r="T63" i="10" s="1"/>
  <c r="T60" i="11"/>
  <c r="U57" i="11" s="1"/>
  <c r="U35" i="11"/>
  <c r="T40" i="11"/>
  <c r="T78" i="11" s="1"/>
  <c r="Q50" i="20"/>
  <c r="P54" i="20"/>
  <c r="P77" i="20" s="1"/>
  <c r="Q73" i="19"/>
  <c r="Q79" i="19" s="1"/>
  <c r="T37" i="10"/>
  <c r="S50" i="9"/>
  <c r="R54" i="9"/>
  <c r="R77" i="9" s="1"/>
  <c r="Q56" i="5"/>
  <c r="Q85" i="10"/>
  <c r="Q88" i="10"/>
  <c r="Q73" i="5" s="1"/>
  <c r="Q84" i="10"/>
  <c r="T59" i="2"/>
  <c r="T60" i="2" s="1"/>
  <c r="U57" i="2" s="1"/>
  <c r="L26" i="5"/>
  <c r="L29" i="5"/>
  <c r="L21" i="5"/>
  <c r="U35" i="12" l="1"/>
  <c r="T40" i="12"/>
  <c r="T78" i="12" s="1"/>
  <c r="Q89" i="12"/>
  <c r="T38" i="10"/>
  <c r="T39" i="10" s="1"/>
  <c r="T64" i="20"/>
  <c r="T58" i="20"/>
  <c r="T44" i="20"/>
  <c r="T39" i="20"/>
  <c r="T64" i="17"/>
  <c r="T65" i="17" s="1"/>
  <c r="T58" i="17"/>
  <c r="T44" i="17"/>
  <c r="P54" i="5"/>
  <c r="P85" i="13"/>
  <c r="P84" i="13"/>
  <c r="P88" i="13"/>
  <c r="P71" i="5" s="1"/>
  <c r="T39" i="17"/>
  <c r="R45" i="18"/>
  <c r="S69" i="10"/>
  <c r="R73" i="10"/>
  <c r="R79" i="10" s="1"/>
  <c r="Q83" i="13"/>
  <c r="Q71" i="13"/>
  <c r="Q70" i="13" s="1"/>
  <c r="Q72" i="13" s="1"/>
  <c r="P76" i="17"/>
  <c r="P80" i="17" s="1"/>
  <c r="P34" i="5"/>
  <c r="Q88" i="18"/>
  <c r="Q74" i="5" s="1"/>
  <c r="Q85" i="18"/>
  <c r="Q57" i="5"/>
  <c r="Q84" i="18"/>
  <c r="T64" i="13"/>
  <c r="T58" i="13"/>
  <c r="T44" i="13"/>
  <c r="S38" i="19"/>
  <c r="W35" i="15"/>
  <c r="V40" i="15"/>
  <c r="V78" i="15" s="1"/>
  <c r="S50" i="10"/>
  <c r="R54" i="10"/>
  <c r="R77" i="10" s="1"/>
  <c r="Q50" i="2"/>
  <c r="P54" i="2"/>
  <c r="P77" i="2" s="1"/>
  <c r="S69" i="12"/>
  <c r="R73" i="12"/>
  <c r="R79" i="12" s="1"/>
  <c r="U37" i="2"/>
  <c r="T65" i="12"/>
  <c r="R52" i="12"/>
  <c r="R53" i="12" s="1"/>
  <c r="R46" i="12"/>
  <c r="R43" i="19"/>
  <c r="Q47" i="19"/>
  <c r="R76" i="9"/>
  <c r="R80" i="9" s="1"/>
  <c r="R38" i="5"/>
  <c r="P76" i="20"/>
  <c r="P80" i="20" s="1"/>
  <c r="P43" i="5"/>
  <c r="U35" i="18"/>
  <c r="T40" i="18"/>
  <c r="T78" i="18" s="1"/>
  <c r="Q76" i="11"/>
  <c r="Q80" i="11" s="1"/>
  <c r="Q41" i="5"/>
  <c r="T66" i="18"/>
  <c r="U63" i="18" s="1"/>
  <c r="T65" i="9"/>
  <c r="T66" i="9" s="1"/>
  <c r="U63" i="9" s="1"/>
  <c r="L27" i="5"/>
  <c r="L28" i="5"/>
  <c r="Q86" i="10"/>
  <c r="Q87" i="10" s="1"/>
  <c r="Q89" i="10" s="1"/>
  <c r="Q15" i="5" s="1"/>
  <c r="U37" i="11"/>
  <c r="R52" i="15"/>
  <c r="R53" i="15" s="1"/>
  <c r="R46" i="15"/>
  <c r="Q43" i="2"/>
  <c r="P47" i="2"/>
  <c r="T60" i="18"/>
  <c r="U57" i="18" s="1"/>
  <c r="U35" i="9"/>
  <c r="T40" i="9"/>
  <c r="T78" i="9" s="1"/>
  <c r="R50" i="19"/>
  <c r="Q54" i="19"/>
  <c r="Q77" i="19" s="1"/>
  <c r="S51" i="9"/>
  <c r="S45" i="9" s="1"/>
  <c r="S52" i="9" s="1"/>
  <c r="Q51" i="20"/>
  <c r="T66" i="11"/>
  <c r="U63" i="11" s="1"/>
  <c r="S43" i="14"/>
  <c r="R47" i="14"/>
  <c r="Q45" i="13"/>
  <c r="R51" i="11"/>
  <c r="R45" i="11" s="1"/>
  <c r="R52" i="11" s="1"/>
  <c r="Q51" i="17"/>
  <c r="T59" i="9"/>
  <c r="T60" i="9" s="1"/>
  <c r="U57" i="9" s="1"/>
  <c r="T60" i="12"/>
  <c r="U57" i="12" s="1"/>
  <c r="V64" i="15"/>
  <c r="V44" i="15"/>
  <c r="V58" i="15"/>
  <c r="Q87" i="14"/>
  <c r="Q89" i="14" s="1"/>
  <c r="Q89" i="15"/>
  <c r="U37" i="12"/>
  <c r="U38" i="12" s="1"/>
  <c r="R83" i="18"/>
  <c r="R71" i="18"/>
  <c r="R70" i="18" s="1"/>
  <c r="R72" i="18" s="1"/>
  <c r="S50" i="14"/>
  <c r="R54" i="14"/>
  <c r="R77" i="14" s="1"/>
  <c r="S69" i="15"/>
  <c r="R73" i="15"/>
  <c r="R79" i="15" s="1"/>
  <c r="P86" i="19"/>
  <c r="P87" i="19" s="1"/>
  <c r="U35" i="13"/>
  <c r="T40" i="13"/>
  <c r="T78" i="13" s="1"/>
  <c r="S43" i="10"/>
  <c r="R47" i="10"/>
  <c r="O18" i="5"/>
  <c r="P11" i="5"/>
  <c r="N12" i="5"/>
  <c r="U38" i="11" l="1"/>
  <c r="U39" i="11" s="1"/>
  <c r="T64" i="10"/>
  <c r="T65" i="10" s="1"/>
  <c r="T40" i="10"/>
  <c r="T78" i="10" s="1"/>
  <c r="U35" i="10"/>
  <c r="T58" i="10"/>
  <c r="T59" i="10" s="1"/>
  <c r="T60" i="10" s="1"/>
  <c r="U57" i="10" s="1"/>
  <c r="T44" i="10"/>
  <c r="U38" i="2"/>
  <c r="U39" i="2" s="1"/>
  <c r="U44" i="12"/>
  <c r="U64" i="12"/>
  <c r="U58" i="12"/>
  <c r="U59" i="12" s="1"/>
  <c r="S69" i="18"/>
  <c r="R73" i="18"/>
  <c r="R79" i="18" s="1"/>
  <c r="S51" i="10"/>
  <c r="S45" i="10" s="1"/>
  <c r="S52" i="10" s="1"/>
  <c r="V59" i="15"/>
  <c r="V60" i="15" s="1"/>
  <c r="W57" i="15" s="1"/>
  <c r="U60" i="12"/>
  <c r="V57" i="12" s="1"/>
  <c r="Q83" i="17"/>
  <c r="Q71" i="17"/>
  <c r="Q70" i="17"/>
  <c r="Q72" i="17" s="1"/>
  <c r="R76" i="14"/>
  <c r="R80" i="14" s="1"/>
  <c r="R36" i="5"/>
  <c r="Q83" i="20"/>
  <c r="Q71" i="20"/>
  <c r="Q70" i="20" s="1"/>
  <c r="Q72" i="20" s="1"/>
  <c r="S43" i="15"/>
  <c r="R47" i="15"/>
  <c r="Q58" i="5"/>
  <c r="Q84" i="11"/>
  <c r="Q85" i="11"/>
  <c r="Q88" i="11"/>
  <c r="Q75" i="5" s="1"/>
  <c r="R51" i="19"/>
  <c r="R45" i="19" s="1"/>
  <c r="R52" i="19" s="1"/>
  <c r="R53" i="19" s="1"/>
  <c r="T59" i="13"/>
  <c r="T60" i="13" s="1"/>
  <c r="U57" i="13" s="1"/>
  <c r="R69" i="13"/>
  <c r="Q73" i="13"/>
  <c r="Q79" i="13" s="1"/>
  <c r="U37" i="13"/>
  <c r="U39" i="12"/>
  <c r="R83" i="11"/>
  <c r="R70" i="11"/>
  <c r="R72" i="11" s="1"/>
  <c r="R71" i="11"/>
  <c r="S51" i="14"/>
  <c r="Q45" i="20"/>
  <c r="S83" i="9"/>
  <c r="S71" i="9"/>
  <c r="S70" i="9" s="1"/>
  <c r="S72" i="9" s="1"/>
  <c r="S46" i="9"/>
  <c r="P32" i="5"/>
  <c r="P44" i="5" s="1"/>
  <c r="P45" i="5" s="1"/>
  <c r="P76" i="2"/>
  <c r="P80" i="2" s="1"/>
  <c r="S50" i="15"/>
  <c r="R54" i="15"/>
  <c r="R77" i="15" s="1"/>
  <c r="U44" i="11"/>
  <c r="U64" i="11"/>
  <c r="U65" i="11" s="1"/>
  <c r="U66" i="11" s="1"/>
  <c r="V63" i="11" s="1"/>
  <c r="U58" i="11"/>
  <c r="R85" i="9"/>
  <c r="R88" i="9"/>
  <c r="R72" i="5" s="1"/>
  <c r="R84" i="9"/>
  <c r="R55" i="5"/>
  <c r="S43" i="12"/>
  <c r="R47" i="12"/>
  <c r="T66" i="12"/>
  <c r="U63" i="12" s="1"/>
  <c r="S44" i="19"/>
  <c r="S64" i="19"/>
  <c r="S58" i="19"/>
  <c r="T65" i="13"/>
  <c r="T66" i="13" s="1"/>
  <c r="U63" i="13" s="1"/>
  <c r="P51" i="5"/>
  <c r="P84" i="17"/>
  <c r="P88" i="17"/>
  <c r="P68" i="5" s="1"/>
  <c r="P85" i="17"/>
  <c r="R76" i="10"/>
  <c r="R80" i="10" s="1"/>
  <c r="R39" i="5"/>
  <c r="P89" i="19"/>
  <c r="R53" i="11"/>
  <c r="V65" i="15"/>
  <c r="V66" i="15" s="1"/>
  <c r="W63" i="15" s="1"/>
  <c r="R46" i="11"/>
  <c r="Q52" i="13"/>
  <c r="Q53" i="13" s="1"/>
  <c r="Q46" i="13"/>
  <c r="U37" i="9"/>
  <c r="U38" i="9" s="1"/>
  <c r="Q51" i="2"/>
  <c r="Q45" i="2" s="1"/>
  <c r="Q52" i="2" s="1"/>
  <c r="Q53" i="2" s="1"/>
  <c r="S53" i="9"/>
  <c r="U37" i="18"/>
  <c r="P84" i="20"/>
  <c r="P60" i="5"/>
  <c r="P85" i="20"/>
  <c r="P86" i="20" s="1"/>
  <c r="P87" i="20" s="1"/>
  <c r="P88" i="20"/>
  <c r="P77" i="5" s="1"/>
  <c r="Q76" i="19"/>
  <c r="Q80" i="19" s="1"/>
  <c r="Q33" i="5"/>
  <c r="S50" i="12"/>
  <c r="R54" i="12"/>
  <c r="R77" i="12" s="1"/>
  <c r="W37" i="15"/>
  <c r="T66" i="17"/>
  <c r="U63" i="17" s="1"/>
  <c r="R52" i="18"/>
  <c r="R53" i="18" s="1"/>
  <c r="R46" i="18"/>
  <c r="S39" i="19"/>
  <c r="T59" i="20"/>
  <c r="T60" i="20"/>
  <c r="U57" i="20" s="1"/>
  <c r="U35" i="17"/>
  <c r="T40" i="17"/>
  <c r="T78" i="17" s="1"/>
  <c r="U35" i="20"/>
  <c r="T40" i="20"/>
  <c r="T78" i="20" s="1"/>
  <c r="T65" i="20"/>
  <c r="U37" i="10"/>
  <c r="Q45" i="17"/>
  <c r="Q86" i="18"/>
  <c r="Q87" i="18" s="1"/>
  <c r="Q89" i="18" s="1"/>
  <c r="Q16" i="5" s="1"/>
  <c r="P86" i="13"/>
  <c r="P87" i="13" s="1"/>
  <c r="P89" i="13" s="1"/>
  <c r="P13" i="5" s="1"/>
  <c r="T59" i="17"/>
  <c r="T60" i="17" s="1"/>
  <c r="U57" i="17" s="1"/>
  <c r="M9" i="5"/>
  <c r="V35" i="11" l="1"/>
  <c r="V37" i="11" s="1"/>
  <c r="U40" i="11"/>
  <c r="U78" i="11" s="1"/>
  <c r="S45" i="14"/>
  <c r="S52" i="14" s="1"/>
  <c r="S53" i="14" s="1"/>
  <c r="M20" i="5"/>
  <c r="T66" i="10"/>
  <c r="U63" i="10" s="1"/>
  <c r="U44" i="2"/>
  <c r="U38" i="18"/>
  <c r="U39" i="18" s="1"/>
  <c r="S53" i="10"/>
  <c r="T50" i="10" s="1"/>
  <c r="W38" i="15"/>
  <c r="W39" i="15" s="1"/>
  <c r="W40" i="15" s="1"/>
  <c r="W78" i="15" s="1"/>
  <c r="U38" i="13"/>
  <c r="U39" i="13" s="1"/>
  <c r="U64" i="2"/>
  <c r="R50" i="2"/>
  <c r="Q54" i="2"/>
  <c r="Q77" i="2" s="1"/>
  <c r="U40" i="2"/>
  <c r="U78" i="2" s="1"/>
  <c r="V35" i="2"/>
  <c r="V37" i="2" s="1"/>
  <c r="U58" i="2"/>
  <c r="U44" i="9"/>
  <c r="U64" i="9"/>
  <c r="U58" i="9"/>
  <c r="S50" i="19"/>
  <c r="R54" i="19"/>
  <c r="R77" i="19" s="1"/>
  <c r="T69" i="9"/>
  <c r="S73" i="9"/>
  <c r="S79" i="9" s="1"/>
  <c r="R69" i="20"/>
  <c r="Q73" i="20"/>
  <c r="Q79" i="20" s="1"/>
  <c r="R84" i="10"/>
  <c r="R56" i="5"/>
  <c r="R85" i="10"/>
  <c r="R86" i="10" s="1"/>
  <c r="R87" i="10" s="1"/>
  <c r="R88" i="10"/>
  <c r="R73" i="5" s="1"/>
  <c r="T35" i="19"/>
  <c r="S40" i="19"/>
  <c r="S78" i="19" s="1"/>
  <c r="Q52" i="17"/>
  <c r="Q53" i="17" s="1"/>
  <c r="Q46" i="17"/>
  <c r="S43" i="18"/>
  <c r="R47" i="18"/>
  <c r="T50" i="9"/>
  <c r="S54" i="9"/>
  <c r="S77" i="9" s="1"/>
  <c r="U38" i="10"/>
  <c r="U37" i="17"/>
  <c r="U38" i="17" s="1"/>
  <c r="S50" i="18"/>
  <c r="R54" i="18"/>
  <c r="R77" i="18" s="1"/>
  <c r="P89" i="20"/>
  <c r="Q83" i="2"/>
  <c r="Q71" i="2"/>
  <c r="Q70" i="2" s="1"/>
  <c r="Q72" i="2" s="1"/>
  <c r="Q46" i="2"/>
  <c r="U39" i="9"/>
  <c r="S43" i="11"/>
  <c r="R47" i="11"/>
  <c r="S51" i="12"/>
  <c r="S45" i="12" s="1"/>
  <c r="S52" i="12" s="1"/>
  <c r="T43" i="9"/>
  <c r="S47" i="9"/>
  <c r="U59" i="2"/>
  <c r="U60" i="2" s="1"/>
  <c r="V57" i="2" s="1"/>
  <c r="V38" i="11"/>
  <c r="V39" i="11" s="1"/>
  <c r="S46" i="10"/>
  <c r="U37" i="20"/>
  <c r="U38" i="20" s="1"/>
  <c r="Q85" i="19"/>
  <c r="Q84" i="19"/>
  <c r="Q88" i="19"/>
  <c r="Q67" i="5" s="1"/>
  <c r="Q50" i="5"/>
  <c r="U64" i="18"/>
  <c r="U58" i="18"/>
  <c r="R43" i="13"/>
  <c r="Q47" i="13"/>
  <c r="S50" i="11"/>
  <c r="R54" i="11"/>
  <c r="R77" i="11" s="1"/>
  <c r="P86" i="17"/>
  <c r="S59" i="19"/>
  <c r="S60" i="19" s="1"/>
  <c r="T57" i="19" s="1"/>
  <c r="U65" i="12"/>
  <c r="U66" i="12" s="1"/>
  <c r="V63" i="12" s="1"/>
  <c r="R86" i="9"/>
  <c r="R87" i="9" s="1"/>
  <c r="R89" i="9" s="1"/>
  <c r="R14" i="5" s="1"/>
  <c r="P85" i="2"/>
  <c r="P84" i="2"/>
  <c r="P49" i="5"/>
  <c r="P61" i="5" s="1"/>
  <c r="P62" i="5" s="1"/>
  <c r="P88" i="2"/>
  <c r="P66" i="5" s="1"/>
  <c r="P78" i="5" s="1"/>
  <c r="P79" i="5" s="1"/>
  <c r="Q52" i="20"/>
  <c r="Q53" i="20" s="1"/>
  <c r="Q46" i="20"/>
  <c r="S69" i="11"/>
  <c r="R73" i="11"/>
  <c r="R79" i="11" s="1"/>
  <c r="V35" i="12"/>
  <c r="U40" i="12"/>
  <c r="U78" i="12" s="1"/>
  <c r="U65" i="2"/>
  <c r="U66" i="2" s="1"/>
  <c r="V63" i="2" s="1"/>
  <c r="Q86" i="11"/>
  <c r="Q87" i="11" s="1"/>
  <c r="Q89" i="11" s="1"/>
  <c r="R76" i="15"/>
  <c r="R80" i="15" s="1"/>
  <c r="R35" i="5"/>
  <c r="R88" i="14"/>
  <c r="R70" i="5" s="1"/>
  <c r="R53" i="5"/>
  <c r="R85" i="14"/>
  <c r="R84" i="14"/>
  <c r="T66" i="20"/>
  <c r="U63" i="20" s="1"/>
  <c r="R50" i="13"/>
  <c r="Q54" i="13"/>
  <c r="Q77" i="13" s="1"/>
  <c r="S65" i="19"/>
  <c r="S66" i="19" s="1"/>
  <c r="T63" i="19" s="1"/>
  <c r="R76" i="12"/>
  <c r="R80" i="12" s="1"/>
  <c r="R42" i="5"/>
  <c r="U59" i="11"/>
  <c r="U60" i="11"/>
  <c r="V57" i="11" s="1"/>
  <c r="S83" i="14"/>
  <c r="S71" i="14"/>
  <c r="S70" i="14" s="1"/>
  <c r="S72" i="14" s="1"/>
  <c r="U64" i="13"/>
  <c r="U65" i="13" s="1"/>
  <c r="R83" i="19"/>
  <c r="R71" i="19"/>
  <c r="R70" i="19" s="1"/>
  <c r="R72" i="19" s="1"/>
  <c r="R46" i="19"/>
  <c r="S51" i="15"/>
  <c r="S45" i="15" s="1"/>
  <c r="R69" i="17"/>
  <c r="Q73" i="17"/>
  <c r="Q79" i="17" s="1"/>
  <c r="S83" i="10"/>
  <c r="S71" i="10"/>
  <c r="S70" i="10" s="1"/>
  <c r="S72" i="10" s="1"/>
  <c r="N19" i="5"/>
  <c r="O17" i="5"/>
  <c r="W44" i="15" l="1"/>
  <c r="W58" i="15"/>
  <c r="W59" i="15" s="1"/>
  <c r="S46" i="14"/>
  <c r="W64" i="15"/>
  <c r="T50" i="14"/>
  <c r="S54" i="14"/>
  <c r="S77" i="14" s="1"/>
  <c r="U58" i="13"/>
  <c r="U59" i="13" s="1"/>
  <c r="U44" i="13"/>
  <c r="U40" i="18"/>
  <c r="U78" i="18" s="1"/>
  <c r="V35" i="18"/>
  <c r="V37" i="18" s="1"/>
  <c r="U44" i="18"/>
  <c r="S54" i="10"/>
  <c r="S77" i="10" s="1"/>
  <c r="U40" i="13"/>
  <c r="U78" i="13" s="1"/>
  <c r="V35" i="13"/>
  <c r="V37" i="13" s="1"/>
  <c r="V38" i="13" s="1"/>
  <c r="S52" i="15"/>
  <c r="S53" i="15" s="1"/>
  <c r="S46" i="15"/>
  <c r="T69" i="14"/>
  <c r="S73" i="14"/>
  <c r="S79" i="14" s="1"/>
  <c r="U58" i="17"/>
  <c r="U44" i="17"/>
  <c r="U64" i="17"/>
  <c r="W35" i="11"/>
  <c r="V40" i="11"/>
  <c r="V78" i="11" s="1"/>
  <c r="U64" i="20"/>
  <c r="U44" i="20"/>
  <c r="U58" i="20"/>
  <c r="V38" i="2"/>
  <c r="S69" i="19"/>
  <c r="R73" i="19"/>
  <c r="R79" i="19" s="1"/>
  <c r="S43" i="19"/>
  <c r="R47" i="19"/>
  <c r="R85" i="15"/>
  <c r="R88" i="15"/>
  <c r="R69" i="5" s="1"/>
  <c r="R52" i="5"/>
  <c r="R84" i="15"/>
  <c r="P86" i="2"/>
  <c r="R51" i="13"/>
  <c r="R45" i="13" s="1"/>
  <c r="U65" i="18"/>
  <c r="U66" i="18" s="1"/>
  <c r="V63" i="18" s="1"/>
  <c r="U39" i="20"/>
  <c r="S76" i="9"/>
  <c r="S80" i="9" s="1"/>
  <c r="S38" i="5"/>
  <c r="R76" i="11"/>
  <c r="R41" i="5"/>
  <c r="R43" i="2"/>
  <c r="Q47" i="2"/>
  <c r="U39" i="17"/>
  <c r="U64" i="10"/>
  <c r="U58" i="10"/>
  <c r="U44" i="10"/>
  <c r="S51" i="18"/>
  <c r="S45" i="18" s="1"/>
  <c r="S52" i="18" s="1"/>
  <c r="S53" i="18" s="1"/>
  <c r="R50" i="17"/>
  <c r="Q54" i="17"/>
  <c r="Q77" i="17" s="1"/>
  <c r="R89" i="10"/>
  <c r="R15" i="5" s="1"/>
  <c r="U66" i="13"/>
  <c r="V63" i="13" s="1"/>
  <c r="U59" i="9"/>
  <c r="U60" i="9" s="1"/>
  <c r="V57" i="9" s="1"/>
  <c r="U39" i="10"/>
  <c r="T69" i="10"/>
  <c r="S73" i="10"/>
  <c r="S79" i="10" s="1"/>
  <c r="U65" i="20"/>
  <c r="U66" i="20" s="1"/>
  <c r="V63" i="20" s="1"/>
  <c r="V37" i="12"/>
  <c r="R43" i="20"/>
  <c r="Q47" i="20"/>
  <c r="Q86" i="19"/>
  <c r="Q87" i="19" s="1"/>
  <c r="Q89" i="19" s="1"/>
  <c r="T43" i="10"/>
  <c r="S47" i="10"/>
  <c r="T43" i="14"/>
  <c r="S47" i="14"/>
  <c r="T51" i="9"/>
  <c r="S83" i="12"/>
  <c r="S71" i="12"/>
  <c r="S70" i="12" s="1"/>
  <c r="S72" i="12" s="1"/>
  <c r="S46" i="12"/>
  <c r="S51" i="11"/>
  <c r="U65" i="9"/>
  <c r="U66" i="9" s="1"/>
  <c r="V63" i="9" s="1"/>
  <c r="W65" i="15"/>
  <c r="S83" i="15"/>
  <c r="S71" i="15"/>
  <c r="S70" i="15" s="1"/>
  <c r="S72" i="15" s="1"/>
  <c r="R59" i="5"/>
  <c r="R85" i="12"/>
  <c r="R84" i="12"/>
  <c r="R88" i="12"/>
  <c r="R76" i="5" s="1"/>
  <c r="R86" i="14"/>
  <c r="R87" i="14" s="1"/>
  <c r="R89" i="14" s="1"/>
  <c r="U60" i="13"/>
  <c r="V57" i="13" s="1"/>
  <c r="R80" i="11"/>
  <c r="R50" i="20"/>
  <c r="Q54" i="20"/>
  <c r="Q77" i="20" s="1"/>
  <c r="P87" i="17"/>
  <c r="P89" i="17" s="1"/>
  <c r="Q76" i="13"/>
  <c r="Q80" i="13" s="1"/>
  <c r="Q37" i="5"/>
  <c r="U59" i="18"/>
  <c r="U60" i="18" s="1"/>
  <c r="V57" i="18" s="1"/>
  <c r="V64" i="11"/>
  <c r="V58" i="11"/>
  <c r="V59" i="11" s="1"/>
  <c r="V44" i="11"/>
  <c r="V35" i="9"/>
  <c r="U40" i="9"/>
  <c r="U78" i="9" s="1"/>
  <c r="R69" i="2"/>
  <c r="Q73" i="2"/>
  <c r="Q79" i="2" s="1"/>
  <c r="S53" i="12"/>
  <c r="R76" i="18"/>
  <c r="R80" i="18" s="1"/>
  <c r="R40" i="5"/>
  <c r="R43" i="17"/>
  <c r="Q47" i="17"/>
  <c r="T37" i="19"/>
  <c r="T38" i="19" s="1"/>
  <c r="T39" i="19" s="1"/>
  <c r="M26" i="5"/>
  <c r="M29" i="5"/>
  <c r="M21" i="5"/>
  <c r="O10" i="5"/>
  <c r="O12" i="5"/>
  <c r="N9" i="5"/>
  <c r="W60" i="15" l="1"/>
  <c r="V60" i="11"/>
  <c r="W57" i="11" s="1"/>
  <c r="N20" i="5"/>
  <c r="V38" i="18"/>
  <c r="V39" i="18" s="1"/>
  <c r="W35" i="18" s="1"/>
  <c r="U35" i="19"/>
  <c r="T40" i="19"/>
  <c r="T78" i="19" s="1"/>
  <c r="R52" i="13"/>
  <c r="R53" i="13" s="1"/>
  <c r="R46" i="13"/>
  <c r="V58" i="13"/>
  <c r="V59" i="13" s="1"/>
  <c r="V60" i="13" s="1"/>
  <c r="W57" i="13" s="1"/>
  <c r="V44" i="13"/>
  <c r="V64" i="13"/>
  <c r="V65" i="13" s="1"/>
  <c r="T50" i="18"/>
  <c r="S54" i="18"/>
  <c r="S77" i="18" s="1"/>
  <c r="T50" i="15"/>
  <c r="S54" i="15"/>
  <c r="S77" i="15" s="1"/>
  <c r="R88" i="18"/>
  <c r="R74" i="5" s="1"/>
  <c r="R85" i="18"/>
  <c r="R86" i="18" s="1"/>
  <c r="R87" i="18" s="1"/>
  <c r="R57" i="5"/>
  <c r="R84" i="18"/>
  <c r="Q84" i="13"/>
  <c r="Q88" i="13"/>
  <c r="Q71" i="5" s="1"/>
  <c r="Q54" i="5"/>
  <c r="Q85" i="13"/>
  <c r="T83" i="9"/>
  <c r="T71" i="9"/>
  <c r="T70" i="9" s="1"/>
  <c r="T72" i="9" s="1"/>
  <c r="T45" i="9"/>
  <c r="R51" i="17"/>
  <c r="R45" i="17" s="1"/>
  <c r="R52" i="17" s="1"/>
  <c r="R86" i="12"/>
  <c r="R87" i="12" s="1"/>
  <c r="S83" i="11"/>
  <c r="S71" i="11"/>
  <c r="S70" i="11" s="1"/>
  <c r="S72" i="11" s="1"/>
  <c r="S76" i="14"/>
  <c r="S36" i="5"/>
  <c r="M27" i="5"/>
  <c r="M28" i="5"/>
  <c r="V37" i="9"/>
  <c r="V65" i="11"/>
  <c r="R84" i="11"/>
  <c r="R58" i="5"/>
  <c r="R85" i="11"/>
  <c r="R86" i="11" s="1"/>
  <c r="R87" i="11" s="1"/>
  <c r="R88" i="11"/>
  <c r="R75" i="5" s="1"/>
  <c r="S45" i="11"/>
  <c r="T43" i="12"/>
  <c r="S47" i="12"/>
  <c r="T51" i="14"/>
  <c r="T45" i="14" s="1"/>
  <c r="T52" i="14" s="1"/>
  <c r="T51" i="10"/>
  <c r="T45" i="10" s="1"/>
  <c r="T52" i="10" s="1"/>
  <c r="V38" i="12"/>
  <c r="S85" i="9"/>
  <c r="S86" i="9" s="1"/>
  <c r="S87" i="9" s="1"/>
  <c r="S55" i="5"/>
  <c r="S88" i="9"/>
  <c r="S72" i="5" s="1"/>
  <c r="S84" i="9"/>
  <c r="V39" i="13"/>
  <c r="S46" i="18"/>
  <c r="U59" i="10"/>
  <c r="U60" i="10" s="1"/>
  <c r="V57" i="10" s="1"/>
  <c r="R51" i="2"/>
  <c r="R45" i="2" s="1"/>
  <c r="R52" i="2" s="1"/>
  <c r="V35" i="20"/>
  <c r="U40" i="20"/>
  <c r="U78" i="20" s="1"/>
  <c r="U65" i="17"/>
  <c r="U66" i="17" s="1"/>
  <c r="V63" i="17" s="1"/>
  <c r="T43" i="15"/>
  <c r="S47" i="15"/>
  <c r="T69" i="12"/>
  <c r="S73" i="12"/>
  <c r="S79" i="12" s="1"/>
  <c r="Q76" i="20"/>
  <c r="Q80" i="20" s="1"/>
  <c r="Q43" i="5"/>
  <c r="W37" i="18"/>
  <c r="W38" i="18" s="1"/>
  <c r="U65" i="10"/>
  <c r="U66" i="10" s="1"/>
  <c r="V63" i="10" s="1"/>
  <c r="R83" i="13"/>
  <c r="R71" i="13"/>
  <c r="R70" i="13" s="1"/>
  <c r="R72" i="13" s="1"/>
  <c r="R76" i="19"/>
  <c r="R80" i="19" s="1"/>
  <c r="R33" i="5"/>
  <c r="U59" i="20"/>
  <c r="U60" i="20"/>
  <c r="V57" i="20" s="1"/>
  <c r="W37" i="11"/>
  <c r="S80" i="14"/>
  <c r="T64" i="19"/>
  <c r="T58" i="19"/>
  <c r="T44" i="19"/>
  <c r="Q76" i="17"/>
  <c r="Q80" i="17" s="1"/>
  <c r="Q34" i="5"/>
  <c r="T50" i="12"/>
  <c r="S54" i="12"/>
  <c r="S77" i="12" s="1"/>
  <c r="T69" i="15"/>
  <c r="S73" i="15"/>
  <c r="S79" i="15" s="1"/>
  <c r="S76" i="10"/>
  <c r="S80" i="10" s="1"/>
  <c r="S39" i="5"/>
  <c r="R51" i="20"/>
  <c r="R45" i="20" s="1"/>
  <c r="V35" i="10"/>
  <c r="U40" i="10"/>
  <c r="U78" i="10" s="1"/>
  <c r="V44" i="18"/>
  <c r="S83" i="18"/>
  <c r="S71" i="18"/>
  <c r="S70" i="18" s="1"/>
  <c r="S72" i="18" s="1"/>
  <c r="V35" i="17"/>
  <c r="U40" i="17"/>
  <c r="U78" i="17" s="1"/>
  <c r="Q76" i="2"/>
  <c r="Q80" i="2" s="1"/>
  <c r="Q32" i="5"/>
  <c r="P87" i="2"/>
  <c r="P89" i="2" s="1"/>
  <c r="P8" i="5" s="1"/>
  <c r="R86" i="15"/>
  <c r="R87" i="15" s="1"/>
  <c r="R89" i="15" s="1"/>
  <c r="S51" i="19"/>
  <c r="S45" i="19" s="1"/>
  <c r="S52" i="19" s="1"/>
  <c r="V58" i="2"/>
  <c r="V44" i="2"/>
  <c r="V64" i="2"/>
  <c r="W66" i="15"/>
  <c r="U59" i="17"/>
  <c r="U60" i="17" s="1"/>
  <c r="V57" i="17" s="1"/>
  <c r="V39" i="2"/>
  <c r="Q11" i="5"/>
  <c r="V58" i="18" l="1"/>
  <c r="V59" i="18" s="1"/>
  <c r="V40" i="18"/>
  <c r="V78" i="18" s="1"/>
  <c r="V64" i="18"/>
  <c r="V65" i="18" s="1"/>
  <c r="R89" i="18"/>
  <c r="R16" i="5" s="1"/>
  <c r="T46" i="10"/>
  <c r="U43" i="10" s="1"/>
  <c r="R53" i="17"/>
  <c r="R46" i="2"/>
  <c r="S43" i="2" s="1"/>
  <c r="Q88" i="2"/>
  <c r="Q66" i="5" s="1"/>
  <c r="Q85" i="2"/>
  <c r="Q86" i="2" s="1"/>
  <c r="Q87" i="2" s="1"/>
  <c r="Q84" i="2"/>
  <c r="Q49" i="5"/>
  <c r="R52" i="20"/>
  <c r="R46" i="20"/>
  <c r="S56" i="5"/>
  <c r="S85" i="10"/>
  <c r="S88" i="10"/>
  <c r="S73" i="5" s="1"/>
  <c r="S84" i="10"/>
  <c r="T69" i="18"/>
  <c r="S73" i="18"/>
  <c r="S79" i="18" s="1"/>
  <c r="T69" i="11"/>
  <c r="S73" i="11"/>
  <c r="S79" i="11" s="1"/>
  <c r="U69" i="9"/>
  <c r="T73" i="9"/>
  <c r="T79" i="9" s="1"/>
  <c r="W64" i="18"/>
  <c r="W58" i="18"/>
  <c r="W59" i="18" s="1"/>
  <c r="W44" i="18"/>
  <c r="W39" i="18"/>
  <c r="W40" i="18" s="1"/>
  <c r="W78" i="18" s="1"/>
  <c r="W35" i="2"/>
  <c r="V40" i="2"/>
  <c r="V78" i="2" s="1"/>
  <c r="R88" i="19"/>
  <c r="R67" i="5" s="1"/>
  <c r="R50" i="5"/>
  <c r="R85" i="19"/>
  <c r="R84" i="19"/>
  <c r="V37" i="10"/>
  <c r="Q85" i="17"/>
  <c r="Q51" i="5"/>
  <c r="Q84" i="17"/>
  <c r="Q88" i="17"/>
  <c r="Q68" i="5" s="1"/>
  <c r="T65" i="19"/>
  <c r="T66" i="19"/>
  <c r="U63" i="19" s="1"/>
  <c r="W38" i="11"/>
  <c r="V37" i="20"/>
  <c r="W35" i="13"/>
  <c r="V40" i="13"/>
  <c r="V78" i="13" s="1"/>
  <c r="V64" i="12"/>
  <c r="V58" i="12"/>
  <c r="V44" i="12"/>
  <c r="T46" i="14"/>
  <c r="S52" i="11"/>
  <c r="S53" i="11" s="1"/>
  <c r="S46" i="11"/>
  <c r="V38" i="9"/>
  <c r="R83" i="17"/>
  <c r="R71" i="17"/>
  <c r="R70" i="17" s="1"/>
  <c r="R72" i="17" s="1"/>
  <c r="Q86" i="13"/>
  <c r="Q87" i="13" s="1"/>
  <c r="S50" i="13"/>
  <c r="R54" i="13"/>
  <c r="R77" i="13" s="1"/>
  <c r="V59" i="2"/>
  <c r="V60" i="2" s="1"/>
  <c r="W57" i="2" s="1"/>
  <c r="V65" i="2"/>
  <c r="V66" i="2" s="1"/>
  <c r="W63" i="2" s="1"/>
  <c r="S46" i="19"/>
  <c r="V66" i="13"/>
  <c r="W63" i="13" s="1"/>
  <c r="S83" i="19"/>
  <c r="S71" i="19"/>
  <c r="S70" i="19" s="1"/>
  <c r="S72" i="19" s="1"/>
  <c r="S53" i="19"/>
  <c r="Q44" i="5"/>
  <c r="Q45" i="5" s="1"/>
  <c r="V37" i="17"/>
  <c r="V38" i="17" s="1"/>
  <c r="S85" i="14"/>
  <c r="S84" i="14"/>
  <c r="S88" i="14"/>
  <c r="S70" i="5" s="1"/>
  <c r="S53" i="5"/>
  <c r="S76" i="15"/>
  <c r="S80" i="15" s="1"/>
  <c r="S35" i="5"/>
  <c r="R83" i="2"/>
  <c r="R71" i="2"/>
  <c r="R70" i="2" s="1"/>
  <c r="R72" i="2" s="1"/>
  <c r="R53" i="2"/>
  <c r="S89" i="9"/>
  <c r="S14" i="5" s="1"/>
  <c r="T83" i="10"/>
  <c r="T71" i="10"/>
  <c r="T70" i="10" s="1"/>
  <c r="T72" i="10" s="1"/>
  <c r="T53" i="10"/>
  <c r="T83" i="14"/>
  <c r="T71" i="14"/>
  <c r="T70" i="14" s="1"/>
  <c r="T72" i="14" s="1"/>
  <c r="T53" i="14"/>
  <c r="S76" i="12"/>
  <c r="S80" i="12" s="1"/>
  <c r="S42" i="5"/>
  <c r="V66" i="11"/>
  <c r="W63" i="11" s="1"/>
  <c r="R89" i="12"/>
  <c r="R46" i="17"/>
  <c r="T52" i="9"/>
  <c r="T53" i="9" s="1"/>
  <c r="T46" i="9"/>
  <c r="V39" i="12"/>
  <c r="U37" i="19"/>
  <c r="R83" i="20"/>
  <c r="R71" i="20"/>
  <c r="R70" i="20" s="1"/>
  <c r="R72" i="20" s="1"/>
  <c r="R53" i="20"/>
  <c r="T59" i="19"/>
  <c r="S69" i="13"/>
  <c r="R73" i="13"/>
  <c r="R79" i="13" s="1"/>
  <c r="Q84" i="20"/>
  <c r="Q60" i="5"/>
  <c r="Q85" i="20"/>
  <c r="Q86" i="20" s="1"/>
  <c r="Q87" i="20" s="1"/>
  <c r="Q88" i="20"/>
  <c r="Q77" i="5" s="1"/>
  <c r="T51" i="15"/>
  <c r="T43" i="18"/>
  <c r="S47" i="18"/>
  <c r="T51" i="12"/>
  <c r="R89" i="11"/>
  <c r="S43" i="13"/>
  <c r="R47" i="13"/>
  <c r="N29" i="5"/>
  <c r="N26" i="5"/>
  <c r="N21" i="5"/>
  <c r="P18" i="5"/>
  <c r="P17" i="5"/>
  <c r="R47" i="2" l="1"/>
  <c r="R76" i="2" s="1"/>
  <c r="V60" i="18"/>
  <c r="W57" i="18" s="1"/>
  <c r="S51" i="2"/>
  <c r="S83" i="2" s="1"/>
  <c r="U38" i="19"/>
  <c r="U39" i="19" s="1"/>
  <c r="U51" i="10"/>
  <c r="U83" i="10" s="1"/>
  <c r="T47" i="10"/>
  <c r="T76" i="10" s="1"/>
  <c r="V66" i="18"/>
  <c r="W63" i="18" s="1"/>
  <c r="W65" i="18" s="1"/>
  <c r="W60" i="18"/>
  <c r="S50" i="17"/>
  <c r="R54" i="17"/>
  <c r="R77" i="17" s="1"/>
  <c r="T45" i="15"/>
  <c r="T52" i="15" s="1"/>
  <c r="T53" i="15" s="1"/>
  <c r="Q89" i="2"/>
  <c r="Q8" i="5" s="1"/>
  <c r="S69" i="20"/>
  <c r="R73" i="20"/>
  <c r="R79" i="20" s="1"/>
  <c r="V64" i="17"/>
  <c r="V44" i="17"/>
  <c r="V58" i="17"/>
  <c r="S69" i="17"/>
  <c r="R73" i="17"/>
  <c r="R79" i="17" s="1"/>
  <c r="S84" i="12"/>
  <c r="S59" i="5"/>
  <c r="S85" i="12"/>
  <c r="S88" i="12"/>
  <c r="S76" i="5" s="1"/>
  <c r="U69" i="10"/>
  <c r="T73" i="10"/>
  <c r="T79" i="10" s="1"/>
  <c r="T69" i="19"/>
  <c r="S73" i="19"/>
  <c r="S79" i="19" s="1"/>
  <c r="U69" i="14"/>
  <c r="T73" i="14"/>
  <c r="T79" i="14" s="1"/>
  <c r="S69" i="2"/>
  <c r="R73" i="2"/>
  <c r="R79" i="2" s="1"/>
  <c r="Q89" i="20"/>
  <c r="S76" i="18"/>
  <c r="S80" i="18" s="1"/>
  <c r="S40" i="5"/>
  <c r="S84" i="15"/>
  <c r="S52" i="5"/>
  <c r="S85" i="15"/>
  <c r="S86" i="15" s="1"/>
  <c r="S87" i="15" s="1"/>
  <c r="S88" i="15"/>
  <c r="S69" i="5" s="1"/>
  <c r="U43" i="9"/>
  <c r="T47" i="9"/>
  <c r="U50" i="10"/>
  <c r="T54" i="10"/>
  <c r="T77" i="10" s="1"/>
  <c r="S50" i="2"/>
  <c r="R54" i="2"/>
  <c r="R77" i="2" s="1"/>
  <c r="S86" i="14"/>
  <c r="S87" i="14" s="1"/>
  <c r="V64" i="9"/>
  <c r="V58" i="9"/>
  <c r="V44" i="9"/>
  <c r="T50" i="11"/>
  <c r="S54" i="11"/>
  <c r="S77" i="11" s="1"/>
  <c r="V59" i="12"/>
  <c r="V60" i="12" s="1"/>
  <c r="W57" i="12" s="1"/>
  <c r="W37" i="13"/>
  <c r="W38" i="13" s="1"/>
  <c r="V38" i="20"/>
  <c r="W64" i="11"/>
  <c r="W65" i="11" s="1"/>
  <c r="W58" i="11"/>
  <c r="W44" i="11"/>
  <c r="Q86" i="17"/>
  <c r="Q87" i="17" s="1"/>
  <c r="V38" i="10"/>
  <c r="R86" i="19"/>
  <c r="R87" i="19"/>
  <c r="R89" i="19" s="1"/>
  <c r="S86" i="10"/>
  <c r="S87" i="10" s="1"/>
  <c r="R76" i="13"/>
  <c r="R80" i="13" s="1"/>
  <c r="R37" i="5"/>
  <c r="N28" i="5"/>
  <c r="N27" i="5"/>
  <c r="S51" i="13"/>
  <c r="S45" i="13" s="1"/>
  <c r="T83" i="12"/>
  <c r="T71" i="12"/>
  <c r="T70" i="12" s="1"/>
  <c r="T72" i="12" s="1"/>
  <c r="T45" i="12"/>
  <c r="T51" i="18"/>
  <c r="T83" i="15"/>
  <c r="T71" i="15"/>
  <c r="T70" i="15" s="1"/>
  <c r="T72" i="15" s="1"/>
  <c r="T60" i="19"/>
  <c r="U57" i="19" s="1"/>
  <c r="U50" i="9"/>
  <c r="T54" i="9"/>
  <c r="T77" i="9" s="1"/>
  <c r="U50" i="14"/>
  <c r="T54" i="14"/>
  <c r="T77" i="14" s="1"/>
  <c r="V39" i="17"/>
  <c r="T50" i="19"/>
  <c r="S54" i="19"/>
  <c r="S77" i="19" s="1"/>
  <c r="T43" i="19"/>
  <c r="S47" i="19"/>
  <c r="U43" i="14"/>
  <c r="T47" i="14"/>
  <c r="V65" i="12"/>
  <c r="W37" i="2"/>
  <c r="W39" i="11"/>
  <c r="W40" i="11" s="1"/>
  <c r="W78" i="11" s="1"/>
  <c r="Q61" i="5"/>
  <c r="Q62" i="5" s="1"/>
  <c r="Q78" i="5"/>
  <c r="Q79" i="5" s="1"/>
  <c r="S50" i="20"/>
  <c r="R54" i="20"/>
  <c r="R77" i="20" s="1"/>
  <c r="U58" i="19"/>
  <c r="U59" i="19" s="1"/>
  <c r="U64" i="19"/>
  <c r="U65" i="19" s="1"/>
  <c r="U44" i="19"/>
  <c r="W35" i="12"/>
  <c r="V40" i="12"/>
  <c r="V78" i="12" s="1"/>
  <c r="S43" i="17"/>
  <c r="R47" i="17"/>
  <c r="R32" i="5"/>
  <c r="Q89" i="13"/>
  <c r="Q13" i="5" s="1"/>
  <c r="T43" i="11"/>
  <c r="S47" i="11"/>
  <c r="V39" i="9"/>
  <c r="S43" i="20"/>
  <c r="R47" i="20"/>
  <c r="O9" i="5"/>
  <c r="O19" i="5"/>
  <c r="S71" i="2" l="1"/>
  <c r="S70" i="2" s="1"/>
  <c r="U71" i="10"/>
  <c r="U70" i="10" s="1"/>
  <c r="T39" i="5"/>
  <c r="V35" i="19"/>
  <c r="U40" i="19"/>
  <c r="U78" i="19" s="1"/>
  <c r="O20" i="5"/>
  <c r="T46" i="15"/>
  <c r="U43" i="15" s="1"/>
  <c r="W66" i="18"/>
  <c r="T54" i="15"/>
  <c r="T77" i="15" s="1"/>
  <c r="U50" i="15"/>
  <c r="W38" i="2"/>
  <c r="W39" i="2" s="1"/>
  <c r="W40" i="2" s="1"/>
  <c r="W78" i="2" s="1"/>
  <c r="U66" i="19"/>
  <c r="V63" i="19" s="1"/>
  <c r="S52" i="13"/>
  <c r="S53" i="13" s="1"/>
  <c r="S46" i="13"/>
  <c r="W64" i="13"/>
  <c r="W58" i="13"/>
  <c r="W44" i="13"/>
  <c r="U69" i="15"/>
  <c r="T73" i="15"/>
  <c r="T79" i="15" s="1"/>
  <c r="U69" i="12"/>
  <c r="T73" i="12"/>
  <c r="T79" i="12" s="1"/>
  <c r="W39" i="13"/>
  <c r="W40" i="13" s="1"/>
  <c r="W78" i="13" s="1"/>
  <c r="V65" i="9"/>
  <c r="V66" i="9" s="1"/>
  <c r="W63" i="9" s="1"/>
  <c r="S45" i="2"/>
  <c r="T38" i="5"/>
  <c r="T76" i="9"/>
  <c r="T80" i="9" s="1"/>
  <c r="V59" i="17"/>
  <c r="V60" i="17" s="1"/>
  <c r="W57" i="17" s="1"/>
  <c r="R76" i="20"/>
  <c r="R80" i="20" s="1"/>
  <c r="R43" i="5"/>
  <c r="W35" i="9"/>
  <c r="V40" i="9"/>
  <c r="V78" i="9" s="1"/>
  <c r="T51" i="11"/>
  <c r="R34" i="5"/>
  <c r="R76" i="17"/>
  <c r="W37" i="12"/>
  <c r="R84" i="13"/>
  <c r="R54" i="5"/>
  <c r="R85" i="13"/>
  <c r="R88" i="13"/>
  <c r="R71" i="5" s="1"/>
  <c r="U51" i="14"/>
  <c r="U45" i="14" s="1"/>
  <c r="U52" i="14" s="1"/>
  <c r="U53" i="14" s="1"/>
  <c r="V50" i="14" s="1"/>
  <c r="S76" i="19"/>
  <c r="S80" i="19" s="1"/>
  <c r="S33" i="5"/>
  <c r="S83" i="13"/>
  <c r="S71" i="13"/>
  <c r="S70" i="13" s="1"/>
  <c r="S72" i="13" s="1"/>
  <c r="S51" i="20"/>
  <c r="S51" i="17"/>
  <c r="V66" i="12"/>
  <c r="W63" i="12" s="1"/>
  <c r="T51" i="19"/>
  <c r="W35" i="17"/>
  <c r="V40" i="17"/>
  <c r="V78" i="17" s="1"/>
  <c r="T83" i="18"/>
  <c r="T71" i="18"/>
  <c r="T70" i="18" s="1"/>
  <c r="T72" i="18" s="1"/>
  <c r="S84" i="18"/>
  <c r="S57" i="5"/>
  <c r="S85" i="18"/>
  <c r="S86" i="18" s="1"/>
  <c r="S87" i="18" s="1"/>
  <c r="S88" i="18"/>
  <c r="S74" i="5" s="1"/>
  <c r="S76" i="11"/>
  <c r="S80" i="11" s="1"/>
  <c r="S41" i="5"/>
  <c r="T76" i="14"/>
  <c r="T80" i="14" s="1"/>
  <c r="T36" i="5"/>
  <c r="W66" i="11"/>
  <c r="U60" i="19"/>
  <c r="V57" i="19" s="1"/>
  <c r="T45" i="18"/>
  <c r="T52" i="12"/>
  <c r="T53" i="12" s="1"/>
  <c r="T46" i="12"/>
  <c r="V64" i="10"/>
  <c r="V58" i="10"/>
  <c r="V44" i="10"/>
  <c r="V64" i="20"/>
  <c r="V58" i="20"/>
  <c r="V44" i="20"/>
  <c r="S89" i="14"/>
  <c r="U51" i="9"/>
  <c r="U45" i="9" s="1"/>
  <c r="R80" i="2"/>
  <c r="V39" i="10"/>
  <c r="T80" i="10"/>
  <c r="S86" i="12"/>
  <c r="S87" i="12" s="1"/>
  <c r="R80" i="17"/>
  <c r="S89" i="10"/>
  <c r="S15" i="5" s="1"/>
  <c r="Q89" i="17"/>
  <c r="W59" i="11"/>
  <c r="W60" i="11" s="1"/>
  <c r="V59" i="9"/>
  <c r="U45" i="10"/>
  <c r="S89" i="15"/>
  <c r="S72" i="2"/>
  <c r="T69" i="2" s="1"/>
  <c r="V39" i="20"/>
  <c r="U72" i="10"/>
  <c r="V69" i="10" s="1"/>
  <c r="V37" i="19"/>
  <c r="V38" i="19" s="1"/>
  <c r="V65" i="17"/>
  <c r="V66" i="17" s="1"/>
  <c r="W63" i="17" s="1"/>
  <c r="P10" i="5"/>
  <c r="P12" i="5"/>
  <c r="R11" i="5"/>
  <c r="R44" i="5" l="1"/>
  <c r="R45" i="5" s="1"/>
  <c r="T47" i="15"/>
  <c r="W64" i="2"/>
  <c r="W65" i="2" s="1"/>
  <c r="W66" i="2" s="1"/>
  <c r="U73" i="10"/>
  <c r="U79" i="10" s="1"/>
  <c r="U52" i="9"/>
  <c r="U53" i="9" s="1"/>
  <c r="U46" i="9"/>
  <c r="V43" i="9" s="1"/>
  <c r="W58" i="2"/>
  <c r="W44" i="2"/>
  <c r="V44" i="19"/>
  <c r="V64" i="19"/>
  <c r="V58" i="19"/>
  <c r="V59" i="19" s="1"/>
  <c r="V60" i="19" s="1"/>
  <c r="W57" i="19" s="1"/>
  <c r="U69" i="18"/>
  <c r="T73" i="18"/>
  <c r="T79" i="18" s="1"/>
  <c r="T84" i="14"/>
  <c r="T88" i="14"/>
  <c r="T70" i="5" s="1"/>
  <c r="T53" i="5"/>
  <c r="T85" i="14"/>
  <c r="T86" i="14" s="1"/>
  <c r="T87" i="14" s="1"/>
  <c r="T69" i="13"/>
  <c r="S73" i="13"/>
  <c r="S79" i="13" s="1"/>
  <c r="U43" i="12"/>
  <c r="T47" i="12"/>
  <c r="S89" i="18"/>
  <c r="S16" i="5" s="1"/>
  <c r="W37" i="17"/>
  <c r="W38" i="17" s="1"/>
  <c r="W37" i="9"/>
  <c r="R60" i="5"/>
  <c r="R84" i="20"/>
  <c r="R88" i="20"/>
  <c r="R77" i="5" s="1"/>
  <c r="R85" i="20"/>
  <c r="R86" i="20" s="1"/>
  <c r="R87" i="20" s="1"/>
  <c r="S89" i="12"/>
  <c r="S52" i="2"/>
  <c r="S53" i="2" s="1"/>
  <c r="S46" i="2"/>
  <c r="W65" i="13"/>
  <c r="W66" i="13" s="1"/>
  <c r="V65" i="19"/>
  <c r="V66" i="19" s="1"/>
  <c r="W63" i="19" s="1"/>
  <c r="V39" i="19"/>
  <c r="R84" i="17"/>
  <c r="R88" i="17"/>
  <c r="R68" i="5" s="1"/>
  <c r="R51" i="5"/>
  <c r="R85" i="17"/>
  <c r="R86" i="17" s="1"/>
  <c r="R87" i="17" s="1"/>
  <c r="T56" i="5"/>
  <c r="T88" i="10"/>
  <c r="T73" i="5" s="1"/>
  <c r="T84" i="10"/>
  <c r="T85" i="10"/>
  <c r="T86" i="10" s="1"/>
  <c r="T87" i="10" s="1"/>
  <c r="V65" i="20"/>
  <c r="V65" i="10"/>
  <c r="V66" i="10" s="1"/>
  <c r="W63" i="10" s="1"/>
  <c r="U50" i="12"/>
  <c r="T54" i="12"/>
  <c r="T77" i="12" s="1"/>
  <c r="T83" i="19"/>
  <c r="T71" i="19"/>
  <c r="T70" i="19" s="1"/>
  <c r="T72" i="19" s="1"/>
  <c r="T45" i="19"/>
  <c r="S83" i="17"/>
  <c r="S71" i="17"/>
  <c r="S70" i="17" s="1"/>
  <c r="S72" i="17" s="1"/>
  <c r="S45" i="17"/>
  <c r="T76" i="15"/>
  <c r="T80" i="15" s="1"/>
  <c r="T35" i="5"/>
  <c r="U83" i="14"/>
  <c r="U71" i="14"/>
  <c r="U70" i="14" s="1"/>
  <c r="U72" i="14" s="1"/>
  <c r="U46" i="14"/>
  <c r="W59" i="2"/>
  <c r="R86" i="13"/>
  <c r="R87" i="13" s="1"/>
  <c r="R89" i="13" s="1"/>
  <c r="R13" i="5" s="1"/>
  <c r="W38" i="12"/>
  <c r="W39" i="12" s="1"/>
  <c r="W40" i="12" s="1"/>
  <c r="W78" i="12" s="1"/>
  <c r="T83" i="11"/>
  <c r="T71" i="11"/>
  <c r="T70" i="11" s="1"/>
  <c r="T72" i="11" s="1"/>
  <c r="T45" i="11"/>
  <c r="T55" i="5"/>
  <c r="T85" i="9"/>
  <c r="T84" i="9"/>
  <c r="T88" i="9"/>
  <c r="T72" i="5" s="1"/>
  <c r="T43" i="13"/>
  <c r="S47" i="13"/>
  <c r="S85" i="19"/>
  <c r="S84" i="19"/>
  <c r="S50" i="5"/>
  <c r="S88" i="19"/>
  <c r="S67" i="5" s="1"/>
  <c r="R84" i="2"/>
  <c r="R49" i="5"/>
  <c r="R61" i="5" s="1"/>
  <c r="R62" i="5" s="1"/>
  <c r="R85" i="2"/>
  <c r="R88" i="2"/>
  <c r="R66" i="5" s="1"/>
  <c r="V59" i="20"/>
  <c r="V60" i="20" s="1"/>
  <c r="W57" i="20" s="1"/>
  <c r="V59" i="10"/>
  <c r="V60" i="10" s="1"/>
  <c r="W57" i="10" s="1"/>
  <c r="W35" i="20"/>
  <c r="V40" i="20"/>
  <c r="V78" i="20" s="1"/>
  <c r="S73" i="2"/>
  <c r="S79" i="2" s="1"/>
  <c r="U52" i="10"/>
  <c r="U53" i="10" s="1"/>
  <c r="U46" i="10"/>
  <c r="V60" i="9"/>
  <c r="W57" i="9" s="1"/>
  <c r="U54" i="14"/>
  <c r="U77" i="14" s="1"/>
  <c r="W35" i="10"/>
  <c r="V40" i="10"/>
  <c r="V78" i="10" s="1"/>
  <c r="U83" i="9"/>
  <c r="U71" i="9"/>
  <c r="U70" i="9" s="1"/>
  <c r="U72" i="9" s="1"/>
  <c r="T52" i="18"/>
  <c r="T53" i="18" s="1"/>
  <c r="T46" i="18"/>
  <c r="S88" i="11"/>
  <c r="S75" i="5" s="1"/>
  <c r="S58" i="5"/>
  <c r="S84" i="11"/>
  <c r="S85" i="11"/>
  <c r="S86" i="11" s="1"/>
  <c r="S87" i="11" s="1"/>
  <c r="T50" i="13"/>
  <c r="S54" i="13"/>
  <c r="S77" i="13" s="1"/>
  <c r="S83" i="20"/>
  <c r="S71" i="20"/>
  <c r="S70" i="20" s="1"/>
  <c r="S72" i="20" s="1"/>
  <c r="S45" i="20"/>
  <c r="U51" i="15"/>
  <c r="W59" i="13"/>
  <c r="W60" i="13" s="1"/>
  <c r="O26" i="5"/>
  <c r="O29" i="5"/>
  <c r="O21" i="5"/>
  <c r="Q18" i="5"/>
  <c r="R78" i="5" l="1"/>
  <c r="R79" i="5" s="1"/>
  <c r="U47" i="9"/>
  <c r="U38" i="5" s="1"/>
  <c r="V50" i="9"/>
  <c r="V51" i="9"/>
  <c r="V83" i="9" s="1"/>
  <c r="U54" i="9"/>
  <c r="U77" i="9" s="1"/>
  <c r="W38" i="9"/>
  <c r="W39" i="9" s="1"/>
  <c r="W40" i="9" s="1"/>
  <c r="W78" i="9" s="1"/>
  <c r="W39" i="17"/>
  <c r="W40" i="17" s="1"/>
  <c r="W78" i="17" s="1"/>
  <c r="T69" i="17"/>
  <c r="S73" i="17"/>
  <c r="S79" i="17" s="1"/>
  <c r="T69" i="20"/>
  <c r="S73" i="20"/>
  <c r="S79" i="20" s="1"/>
  <c r="U69" i="11"/>
  <c r="T73" i="11"/>
  <c r="T79" i="11" s="1"/>
  <c r="T43" i="2"/>
  <c r="S47" i="2"/>
  <c r="R89" i="20"/>
  <c r="T76" i="12"/>
  <c r="T80" i="12" s="1"/>
  <c r="T42" i="5"/>
  <c r="T89" i="14"/>
  <c r="T88" i="15"/>
  <c r="T69" i="5" s="1"/>
  <c r="T85" i="15"/>
  <c r="T86" i="15" s="1"/>
  <c r="T87" i="15" s="1"/>
  <c r="T84" i="15"/>
  <c r="T52" i="5"/>
  <c r="U83" i="15"/>
  <c r="U71" i="15"/>
  <c r="U70" i="15" s="1"/>
  <c r="U72" i="15" s="1"/>
  <c r="U43" i="18"/>
  <c r="T47" i="18"/>
  <c r="V50" i="10"/>
  <c r="U54" i="10"/>
  <c r="U77" i="10" s="1"/>
  <c r="W37" i="20"/>
  <c r="S76" i="13"/>
  <c r="S80" i="13" s="1"/>
  <c r="S37" i="5"/>
  <c r="S52" i="20"/>
  <c r="S53" i="20" s="1"/>
  <c r="S46" i="20"/>
  <c r="U50" i="18"/>
  <c r="T54" i="18"/>
  <c r="T77" i="18" s="1"/>
  <c r="W37" i="10"/>
  <c r="W38" i="10" s="1"/>
  <c r="T51" i="13"/>
  <c r="V69" i="14"/>
  <c r="U73" i="14"/>
  <c r="U79" i="14" s="1"/>
  <c r="U69" i="19"/>
  <c r="T73" i="19"/>
  <c r="T79" i="19" s="1"/>
  <c r="R89" i="17"/>
  <c r="W35" i="19"/>
  <c r="V40" i="19"/>
  <c r="V78" i="19" s="1"/>
  <c r="U45" i="15"/>
  <c r="S89" i="11"/>
  <c r="V43" i="10"/>
  <c r="U47" i="10"/>
  <c r="R86" i="2"/>
  <c r="R87" i="2" s="1"/>
  <c r="R89" i="2" s="1"/>
  <c r="R8" i="5" s="1"/>
  <c r="S86" i="19"/>
  <c r="S87" i="19" s="1"/>
  <c r="V71" i="9"/>
  <c r="V70" i="9" s="1"/>
  <c r="T86" i="9"/>
  <c r="T87" i="9" s="1"/>
  <c r="T89" i="9" s="1"/>
  <c r="T14" i="5" s="1"/>
  <c r="T52" i="11"/>
  <c r="T53" i="11" s="1"/>
  <c r="T46" i="11"/>
  <c r="V43" i="14"/>
  <c r="U47" i="14"/>
  <c r="T52" i="19"/>
  <c r="T53" i="19" s="1"/>
  <c r="T46" i="19"/>
  <c r="V66" i="20"/>
  <c r="W63" i="20" s="1"/>
  <c r="T50" i="2"/>
  <c r="S54" i="2"/>
  <c r="S77" i="2" s="1"/>
  <c r="U51" i="12"/>
  <c r="O28" i="5"/>
  <c r="O27" i="5"/>
  <c r="V69" i="9"/>
  <c r="U73" i="9"/>
  <c r="U79" i="9" s="1"/>
  <c r="W44" i="12"/>
  <c r="W64" i="12"/>
  <c r="W58" i="12"/>
  <c r="W60" i="2"/>
  <c r="S52" i="17"/>
  <c r="S53" i="17" s="1"/>
  <c r="S46" i="17"/>
  <c r="T89" i="10"/>
  <c r="T15" i="5" s="1"/>
  <c r="W64" i="17"/>
  <c r="W58" i="17"/>
  <c r="W44" i="17"/>
  <c r="P19" i="5"/>
  <c r="Q17" i="5"/>
  <c r="Q10" i="5"/>
  <c r="Q12" i="5"/>
  <c r="U76" i="9" l="1"/>
  <c r="W44" i="9"/>
  <c r="V45" i="9"/>
  <c r="V46" i="9" s="1"/>
  <c r="W58" i="9"/>
  <c r="W59" i="9" s="1"/>
  <c r="U80" i="9"/>
  <c r="U85" i="9" s="1"/>
  <c r="W64" i="9"/>
  <c r="W65" i="9" s="1"/>
  <c r="U45" i="12"/>
  <c r="U52" i="12" s="1"/>
  <c r="U53" i="12" s="1"/>
  <c r="W39" i="10"/>
  <c r="W40" i="10" s="1"/>
  <c r="W78" i="10" s="1"/>
  <c r="S84" i="13"/>
  <c r="S54" i="5"/>
  <c r="S85" i="13"/>
  <c r="S88" i="13"/>
  <c r="S71" i="5" s="1"/>
  <c r="V69" i="15"/>
  <c r="U73" i="15"/>
  <c r="U79" i="15" s="1"/>
  <c r="V52" i="9"/>
  <c r="V53" i="9" s="1"/>
  <c r="U50" i="11"/>
  <c r="T54" i="11"/>
  <c r="T77" i="11" s="1"/>
  <c r="U76" i="10"/>
  <c r="U80" i="10" s="1"/>
  <c r="U39" i="5"/>
  <c r="U52" i="15"/>
  <c r="U53" i="15" s="1"/>
  <c r="U46" i="15"/>
  <c r="W37" i="19"/>
  <c r="W64" i="10"/>
  <c r="W44" i="10"/>
  <c r="W58" i="10"/>
  <c r="T43" i="20"/>
  <c r="S47" i="20"/>
  <c r="U51" i="18"/>
  <c r="W59" i="17"/>
  <c r="W60" i="17" s="1"/>
  <c r="T43" i="17"/>
  <c r="S47" i="17"/>
  <c r="W59" i="12"/>
  <c r="W60" i="12" s="1"/>
  <c r="U46" i="12"/>
  <c r="U43" i="19"/>
  <c r="T47" i="19"/>
  <c r="V51" i="14"/>
  <c r="V45" i="14" s="1"/>
  <c r="V51" i="10"/>
  <c r="V45" i="10" s="1"/>
  <c r="T50" i="20"/>
  <c r="S54" i="20"/>
  <c r="S77" i="20" s="1"/>
  <c r="S32" i="5"/>
  <c r="S76" i="2"/>
  <c r="S80" i="2" s="1"/>
  <c r="W65" i="17"/>
  <c r="W66" i="17" s="1"/>
  <c r="T50" i="17"/>
  <c r="S54" i="17"/>
  <c r="S77" i="17" s="1"/>
  <c r="W65" i="12"/>
  <c r="W66" i="12" s="1"/>
  <c r="U83" i="12"/>
  <c r="U71" i="12"/>
  <c r="U70" i="12" s="1"/>
  <c r="U72" i="12" s="1"/>
  <c r="U50" i="19"/>
  <c r="T54" i="19"/>
  <c r="T77" i="19" s="1"/>
  <c r="U43" i="11"/>
  <c r="T47" i="11"/>
  <c r="S89" i="19"/>
  <c r="T83" i="13"/>
  <c r="T71" i="13"/>
  <c r="T70" i="13" s="1"/>
  <c r="T72" i="13" s="1"/>
  <c r="T45" i="13"/>
  <c r="W60" i="9"/>
  <c r="W38" i="20"/>
  <c r="W39" i="20" s="1"/>
  <c r="W40" i="20" s="1"/>
  <c r="W78" i="20" s="1"/>
  <c r="T76" i="18"/>
  <c r="T80" i="18" s="1"/>
  <c r="T40" i="5"/>
  <c r="T89" i="15"/>
  <c r="T59" i="5"/>
  <c r="T88" i="12"/>
  <c r="T76" i="5" s="1"/>
  <c r="T85" i="12"/>
  <c r="T84" i="12"/>
  <c r="T51" i="2"/>
  <c r="V72" i="9"/>
  <c r="W69" i="9" s="1"/>
  <c r="U76" i="14"/>
  <c r="U80" i="14" s="1"/>
  <c r="U36" i="5"/>
  <c r="P9" i="5"/>
  <c r="S11" i="5"/>
  <c r="U84" i="9" l="1"/>
  <c r="U88" i="9"/>
  <c r="U72" i="5" s="1"/>
  <c r="U55" i="5"/>
  <c r="V50" i="12"/>
  <c r="U54" i="12"/>
  <c r="U77" i="12" s="1"/>
  <c r="P20" i="5"/>
  <c r="V73" i="9"/>
  <c r="V79" i="9" s="1"/>
  <c r="V52" i="10"/>
  <c r="V46" i="10"/>
  <c r="V52" i="14"/>
  <c r="V46" i="14"/>
  <c r="V69" i="12"/>
  <c r="U73" i="12"/>
  <c r="U79" i="12" s="1"/>
  <c r="T86" i="12"/>
  <c r="T87" i="12" s="1"/>
  <c r="T89" i="12" s="1"/>
  <c r="T83" i="2"/>
  <c r="T71" i="2"/>
  <c r="T70" i="2" s="1"/>
  <c r="T72" i="2" s="1"/>
  <c r="T45" i="2"/>
  <c r="T52" i="13"/>
  <c r="T53" i="13" s="1"/>
  <c r="T46" i="13"/>
  <c r="V53" i="10"/>
  <c r="T76" i="19"/>
  <c r="T80" i="19" s="1"/>
  <c r="T33" i="5"/>
  <c r="V43" i="12"/>
  <c r="U47" i="12"/>
  <c r="S76" i="17"/>
  <c r="S80" i="17" s="1"/>
  <c r="S34" i="5"/>
  <c r="T51" i="20"/>
  <c r="W65" i="10"/>
  <c r="V43" i="15"/>
  <c r="U47" i="15"/>
  <c r="U88" i="10"/>
  <c r="U73" i="5" s="1"/>
  <c r="U85" i="10"/>
  <c r="U56" i="5"/>
  <c r="U84" i="10"/>
  <c r="W43" i="9"/>
  <c r="V47" i="9"/>
  <c r="T57" i="5"/>
  <c r="T85" i="18"/>
  <c r="T84" i="18"/>
  <c r="T88" i="18"/>
  <c r="T74" i="5" s="1"/>
  <c r="U69" i="13"/>
  <c r="T73" i="13"/>
  <c r="T79" i="13" s="1"/>
  <c r="U53" i="5"/>
  <c r="U84" i="14"/>
  <c r="U88" i="14"/>
  <c r="U70" i="5" s="1"/>
  <c r="U85" i="14"/>
  <c r="T76" i="11"/>
  <c r="T80" i="11" s="1"/>
  <c r="T41" i="5"/>
  <c r="S49" i="5"/>
  <c r="S85" i="2"/>
  <c r="S84" i="2"/>
  <c r="S88" i="2"/>
  <c r="S66" i="5" s="1"/>
  <c r="V83" i="10"/>
  <c r="V71" i="10"/>
  <c r="V70" i="10" s="1"/>
  <c r="V72" i="10" s="1"/>
  <c r="U51" i="19"/>
  <c r="T51" i="17"/>
  <c r="T45" i="17" s="1"/>
  <c r="T52" i="17" s="1"/>
  <c r="U83" i="18"/>
  <c r="U71" i="18"/>
  <c r="U70" i="18" s="1"/>
  <c r="U72" i="18" s="1"/>
  <c r="U45" i="18"/>
  <c r="W59" i="10"/>
  <c r="W60" i="10" s="1"/>
  <c r="V50" i="15"/>
  <c r="U54" i="15"/>
  <c r="U77" i="15" s="1"/>
  <c r="W50" i="9"/>
  <c r="V54" i="9"/>
  <c r="V77" i="9" s="1"/>
  <c r="W44" i="20"/>
  <c r="W58" i="20"/>
  <c r="W64" i="20"/>
  <c r="U51" i="11"/>
  <c r="U86" i="9"/>
  <c r="U87" i="9" s="1"/>
  <c r="W66" i="9"/>
  <c r="V83" i="14"/>
  <c r="V71" i="14"/>
  <c r="V70" i="14" s="1"/>
  <c r="V72" i="14" s="1"/>
  <c r="V53" i="14"/>
  <c r="S76" i="20"/>
  <c r="S80" i="20" s="1"/>
  <c r="S43" i="5"/>
  <c r="S44" i="5" s="1"/>
  <c r="S45" i="5" s="1"/>
  <c r="W38" i="19"/>
  <c r="S86" i="13"/>
  <c r="S87" i="13" s="1"/>
  <c r="S89" i="13" s="1"/>
  <c r="S13" i="5" s="1"/>
  <c r="R18" i="5"/>
  <c r="U89" i="9" l="1"/>
  <c r="U14" i="5" s="1"/>
  <c r="T53" i="17"/>
  <c r="T54" i="17" s="1"/>
  <c r="T77" i="17" s="1"/>
  <c r="U69" i="2"/>
  <c r="T73" i="2"/>
  <c r="T79" i="2" s="1"/>
  <c r="W64" i="19"/>
  <c r="W44" i="19"/>
  <c r="W58" i="19"/>
  <c r="W69" i="14"/>
  <c r="V73" i="14"/>
  <c r="V79" i="14" s="1"/>
  <c r="W59" i="20"/>
  <c r="W60" i="20" s="1"/>
  <c r="U52" i="18"/>
  <c r="U53" i="18" s="1"/>
  <c r="U46" i="18"/>
  <c r="U83" i="19"/>
  <c r="U71" i="19"/>
  <c r="U70" i="19" s="1"/>
  <c r="U72" i="19" s="1"/>
  <c r="S86" i="2"/>
  <c r="S87" i="2" s="1"/>
  <c r="S89" i="2" s="1"/>
  <c r="S8" i="5" s="1"/>
  <c r="U86" i="14"/>
  <c r="U87" i="14" s="1"/>
  <c r="U89" i="14" s="1"/>
  <c r="V76" i="9"/>
  <c r="V80" i="9" s="1"/>
  <c r="V38" i="5"/>
  <c r="U76" i="15"/>
  <c r="U80" i="15" s="1"/>
  <c r="U35" i="5"/>
  <c r="S84" i="17"/>
  <c r="S51" i="5"/>
  <c r="S85" i="17"/>
  <c r="S86" i="17" s="1"/>
  <c r="S87" i="17" s="1"/>
  <c r="S88" i="17"/>
  <c r="S68" i="5" s="1"/>
  <c r="W39" i="19"/>
  <c r="W40" i="19" s="1"/>
  <c r="W78" i="19" s="1"/>
  <c r="W43" i="10"/>
  <c r="V47" i="10"/>
  <c r="U83" i="11"/>
  <c r="U71" i="11"/>
  <c r="U70" i="11" s="1"/>
  <c r="U72" i="11" s="1"/>
  <c r="V69" i="18"/>
  <c r="U73" i="18"/>
  <c r="U79" i="18" s="1"/>
  <c r="W69" i="10"/>
  <c r="V73" i="10"/>
  <c r="V79" i="10" s="1"/>
  <c r="W51" i="9"/>
  <c r="U86" i="10"/>
  <c r="U87" i="10" s="1"/>
  <c r="U89" i="10" s="1"/>
  <c r="U15" i="5" s="1"/>
  <c r="V51" i="15"/>
  <c r="T83" i="20"/>
  <c r="T71" i="20"/>
  <c r="T70" i="20" s="1"/>
  <c r="T72" i="20" s="1"/>
  <c r="U76" i="12"/>
  <c r="U42" i="5"/>
  <c r="T84" i="19"/>
  <c r="T85" i="19"/>
  <c r="T50" i="5"/>
  <c r="T88" i="19"/>
  <c r="T67" i="5" s="1"/>
  <c r="W50" i="10"/>
  <c r="V54" i="10"/>
  <c r="V77" i="10" s="1"/>
  <c r="U43" i="13"/>
  <c r="T47" i="13"/>
  <c r="T52" i="2"/>
  <c r="T53" i="2" s="1"/>
  <c r="T46" i="2"/>
  <c r="U80" i="12"/>
  <c r="W43" i="14"/>
  <c r="V47" i="14"/>
  <c r="S85" i="20"/>
  <c r="S88" i="20"/>
  <c r="S77" i="5" s="1"/>
  <c r="S78" i="5" s="1"/>
  <c r="S79" i="5" s="1"/>
  <c r="S84" i="20"/>
  <c r="S60" i="5"/>
  <c r="W50" i="14"/>
  <c r="V54" i="14"/>
  <c r="V77" i="14" s="1"/>
  <c r="U45" i="11"/>
  <c r="W65" i="20"/>
  <c r="W66" i="20" s="1"/>
  <c r="T83" i="17"/>
  <c r="T71" i="17"/>
  <c r="T70" i="17" s="1"/>
  <c r="T72" i="17" s="1"/>
  <c r="T46" i="17"/>
  <c r="U45" i="19"/>
  <c r="T58" i="5"/>
  <c r="T84" i="11"/>
  <c r="T88" i="11"/>
  <c r="T75" i="5" s="1"/>
  <c r="T85" i="11"/>
  <c r="T86" i="11" s="1"/>
  <c r="T87" i="11" s="1"/>
  <c r="T86" i="18"/>
  <c r="T87" i="18" s="1"/>
  <c r="T89" i="18" s="1"/>
  <c r="T16" i="5" s="1"/>
  <c r="W66" i="10"/>
  <c r="T45" i="20"/>
  <c r="V51" i="12"/>
  <c r="U50" i="13"/>
  <c r="T54" i="13"/>
  <c r="T77" i="13" s="1"/>
  <c r="P29" i="5"/>
  <c r="P21" i="5"/>
  <c r="P26" i="5"/>
  <c r="R12" i="5"/>
  <c r="U50" i="17" l="1"/>
  <c r="U69" i="20"/>
  <c r="T73" i="20"/>
  <c r="T79" i="20" s="1"/>
  <c r="W51" i="14"/>
  <c r="U50" i="2"/>
  <c r="T54" i="2"/>
  <c r="T77" i="2" s="1"/>
  <c r="V83" i="15"/>
  <c r="V71" i="15"/>
  <c r="V70" i="15" s="1"/>
  <c r="V72" i="15" s="1"/>
  <c r="V69" i="11"/>
  <c r="U73" i="11"/>
  <c r="U79" i="11" s="1"/>
  <c r="V76" i="10"/>
  <c r="V80" i="10" s="1"/>
  <c r="V39" i="5"/>
  <c r="S89" i="17"/>
  <c r="U85" i="15"/>
  <c r="U84" i="15"/>
  <c r="U52" i="5"/>
  <c r="U88" i="15"/>
  <c r="U69" i="5" s="1"/>
  <c r="V43" i="18"/>
  <c r="U47" i="18"/>
  <c r="V83" i="12"/>
  <c r="V71" i="12"/>
  <c r="V70" i="12" s="1"/>
  <c r="V72" i="12" s="1"/>
  <c r="U69" i="17"/>
  <c r="T73" i="17"/>
  <c r="T79" i="17" s="1"/>
  <c r="U52" i="11"/>
  <c r="U53" i="11" s="1"/>
  <c r="U46" i="11"/>
  <c r="P28" i="5"/>
  <c r="P27" i="5"/>
  <c r="V45" i="12"/>
  <c r="T52" i="20"/>
  <c r="T53" i="20" s="1"/>
  <c r="T46" i="20"/>
  <c r="T89" i="11"/>
  <c r="U52" i="19"/>
  <c r="U53" i="19" s="1"/>
  <c r="U46" i="19"/>
  <c r="S86" i="20"/>
  <c r="S87" i="20" s="1"/>
  <c r="S89" i="20" s="1"/>
  <c r="U84" i="12"/>
  <c r="U85" i="12"/>
  <c r="U86" i="12" s="1"/>
  <c r="U87" i="12" s="1"/>
  <c r="U59" i="5"/>
  <c r="U88" i="12"/>
  <c r="U76" i="5" s="1"/>
  <c r="T76" i="13"/>
  <c r="T80" i="13" s="1"/>
  <c r="T37" i="5"/>
  <c r="T86" i="19"/>
  <c r="T87" i="19"/>
  <c r="W51" i="10"/>
  <c r="V50" i="18"/>
  <c r="U54" i="18"/>
  <c r="U77" i="18" s="1"/>
  <c r="W65" i="19"/>
  <c r="U43" i="17"/>
  <c r="T47" i="17"/>
  <c r="V76" i="14"/>
  <c r="V80" i="14" s="1"/>
  <c r="V36" i="5"/>
  <c r="U43" i="2"/>
  <c r="T47" i="2"/>
  <c r="U51" i="13"/>
  <c r="U45" i="13" s="1"/>
  <c r="U52" i="13" s="1"/>
  <c r="T89" i="19"/>
  <c r="V45" i="15"/>
  <c r="W83" i="9"/>
  <c r="W71" i="9"/>
  <c r="W70" i="9" s="1"/>
  <c r="W72" i="9" s="1"/>
  <c r="W73" i="9" s="1"/>
  <c r="W79" i="9" s="1"/>
  <c r="W45" i="9"/>
  <c r="S61" i="5"/>
  <c r="S62" i="5" s="1"/>
  <c r="V84" i="9"/>
  <c r="V88" i="9"/>
  <c r="V72" i="5" s="1"/>
  <c r="V55" i="5"/>
  <c r="V85" i="9"/>
  <c r="V69" i="19"/>
  <c r="U73" i="19"/>
  <c r="U79" i="19" s="1"/>
  <c r="W59" i="19"/>
  <c r="Q19" i="5"/>
  <c r="R10" i="5"/>
  <c r="R17" i="5"/>
  <c r="Q9" i="5"/>
  <c r="Q20" i="5" l="1"/>
  <c r="V85" i="14"/>
  <c r="V84" i="14"/>
  <c r="V53" i="5"/>
  <c r="V88" i="14"/>
  <c r="V70" i="5" s="1"/>
  <c r="V88" i="10"/>
  <c r="V73" i="5" s="1"/>
  <c r="V85" i="10"/>
  <c r="V86" i="10" s="1"/>
  <c r="V87" i="10" s="1"/>
  <c r="V56" i="5"/>
  <c r="V84" i="10"/>
  <c r="W69" i="15"/>
  <c r="V73" i="15"/>
  <c r="V79" i="15" s="1"/>
  <c r="U51" i="2"/>
  <c r="U45" i="2" s="1"/>
  <c r="U52" i="2" s="1"/>
  <c r="U53" i="2" s="1"/>
  <c r="W83" i="10"/>
  <c r="W71" i="10"/>
  <c r="W70" i="10" s="1"/>
  <c r="W72" i="10" s="1"/>
  <c r="W73" i="10" s="1"/>
  <c r="W79" i="10" s="1"/>
  <c r="U89" i="12"/>
  <c r="V43" i="19"/>
  <c r="U47" i="19"/>
  <c r="U43" i="20"/>
  <c r="T47" i="20"/>
  <c r="W69" i="12"/>
  <c r="V73" i="12"/>
  <c r="V79" i="12" s="1"/>
  <c r="U86" i="15"/>
  <c r="U87" i="15" s="1"/>
  <c r="W83" i="14"/>
  <c r="W71" i="14"/>
  <c r="W70" i="14" s="1"/>
  <c r="W72" i="14" s="1"/>
  <c r="W73" i="14" s="1"/>
  <c r="W79" i="14" s="1"/>
  <c r="V86" i="9"/>
  <c r="W52" i="9"/>
  <c r="W53" i="9" s="1"/>
  <c r="W54" i="9" s="1"/>
  <c r="W77" i="9" s="1"/>
  <c r="W46" i="9"/>
  <c r="W47" i="9" s="1"/>
  <c r="U83" i="13"/>
  <c r="U71" i="13"/>
  <c r="U70" i="13" s="1"/>
  <c r="U72" i="13" s="1"/>
  <c r="U46" i="13"/>
  <c r="T76" i="17"/>
  <c r="T80" i="17" s="1"/>
  <c r="T34" i="5"/>
  <c r="W66" i="19"/>
  <c r="W45" i="10"/>
  <c r="V50" i="19"/>
  <c r="U54" i="19"/>
  <c r="U77" i="19" s="1"/>
  <c r="U50" i="20"/>
  <c r="T54" i="20"/>
  <c r="T77" i="20" s="1"/>
  <c r="U53" i="13"/>
  <c r="V43" i="11"/>
  <c r="U47" i="11"/>
  <c r="U76" i="18"/>
  <c r="U80" i="18" s="1"/>
  <c r="U40" i="5"/>
  <c r="W60" i="19"/>
  <c r="V52" i="15"/>
  <c r="V53" i="15" s="1"/>
  <c r="V46" i="15"/>
  <c r="T76" i="2"/>
  <c r="T80" i="2" s="1"/>
  <c r="T32" i="5"/>
  <c r="U51" i="17"/>
  <c r="T54" i="5"/>
  <c r="T85" i="13"/>
  <c r="T86" i="13" s="1"/>
  <c r="T87" i="13" s="1"/>
  <c r="T84" i="13"/>
  <c r="T88" i="13"/>
  <c r="T71" i="5" s="1"/>
  <c r="V52" i="12"/>
  <c r="V53" i="12" s="1"/>
  <c r="V46" i="12"/>
  <c r="V50" i="11"/>
  <c r="U54" i="11"/>
  <c r="U77" i="11" s="1"/>
  <c r="V51" i="18"/>
  <c r="W45" i="14"/>
  <c r="S18" i="5"/>
  <c r="V89" i="10" l="1"/>
  <c r="V15" i="5" s="1"/>
  <c r="T89" i="13"/>
  <c r="T13" i="5" s="1"/>
  <c r="V50" i="2"/>
  <c r="U54" i="2"/>
  <c r="U77" i="2" s="1"/>
  <c r="W52" i="10"/>
  <c r="W53" i="10" s="1"/>
  <c r="W54" i="10" s="1"/>
  <c r="W77" i="10" s="1"/>
  <c r="W46" i="10"/>
  <c r="W47" i="10" s="1"/>
  <c r="U76" i="19"/>
  <c r="U80" i="19" s="1"/>
  <c r="U33" i="5"/>
  <c r="T76" i="20"/>
  <c r="T80" i="20" s="1"/>
  <c r="T43" i="5"/>
  <c r="T44" i="5" s="1"/>
  <c r="T45" i="5" s="1"/>
  <c r="V51" i="19"/>
  <c r="V45" i="19" s="1"/>
  <c r="U46" i="2"/>
  <c r="W43" i="12"/>
  <c r="V47" i="12"/>
  <c r="U83" i="17"/>
  <c r="U71" i="17"/>
  <c r="U70" i="17" s="1"/>
  <c r="U72" i="17" s="1"/>
  <c r="W43" i="15"/>
  <c r="V47" i="15"/>
  <c r="V51" i="11"/>
  <c r="V45" i="11" s="1"/>
  <c r="V43" i="13"/>
  <c r="U47" i="13"/>
  <c r="T51" i="5"/>
  <c r="T84" i="17"/>
  <c r="T88" i="17"/>
  <c r="T68" i="5" s="1"/>
  <c r="T85" i="17"/>
  <c r="V86" i="14"/>
  <c r="V87" i="14"/>
  <c r="V89" i="14" s="1"/>
  <c r="V83" i="18"/>
  <c r="V71" i="18"/>
  <c r="V70" i="18" s="1"/>
  <c r="V72" i="18" s="1"/>
  <c r="W50" i="12"/>
  <c r="V54" i="12"/>
  <c r="V77" i="12" s="1"/>
  <c r="W50" i="15"/>
  <c r="V54" i="15"/>
  <c r="V77" i="15" s="1"/>
  <c r="V50" i="13"/>
  <c r="U54" i="13"/>
  <c r="U77" i="13" s="1"/>
  <c r="V69" i="13"/>
  <c r="U73" i="13"/>
  <c r="U79" i="13" s="1"/>
  <c r="W76" i="9"/>
  <c r="W80" i="9" s="1"/>
  <c r="W38" i="5"/>
  <c r="V87" i="9"/>
  <c r="V89" i="9" s="1"/>
  <c r="V14" i="5" s="1"/>
  <c r="W52" i="14"/>
  <c r="W53" i="14" s="1"/>
  <c r="W54" i="14" s="1"/>
  <c r="W77" i="14" s="1"/>
  <c r="W46" i="14"/>
  <c r="W47" i="14" s="1"/>
  <c r="V45" i="18"/>
  <c r="U45" i="17"/>
  <c r="T85" i="2"/>
  <c r="T88" i="2"/>
  <c r="T66" i="5" s="1"/>
  <c r="T49" i="5"/>
  <c r="T84" i="2"/>
  <c r="U88" i="18"/>
  <c r="U74" i="5" s="1"/>
  <c r="U85" i="18"/>
  <c r="U57" i="5"/>
  <c r="U84" i="18"/>
  <c r="U76" i="11"/>
  <c r="U80" i="11" s="1"/>
  <c r="U41" i="5"/>
  <c r="U89" i="15"/>
  <c r="U51" i="20"/>
  <c r="U83" i="2"/>
  <c r="U71" i="2"/>
  <c r="U70" i="2" s="1"/>
  <c r="U72" i="2" s="1"/>
  <c r="Q29" i="5"/>
  <c r="Q21" i="5"/>
  <c r="Q26" i="5"/>
  <c r="T11" i="5"/>
  <c r="S12" i="5"/>
  <c r="V52" i="11" l="1"/>
  <c r="V53" i="11" s="1"/>
  <c r="V46" i="11"/>
  <c r="V52" i="19"/>
  <c r="V53" i="19" s="1"/>
  <c r="W50" i="19" s="1"/>
  <c r="V46" i="19"/>
  <c r="W43" i="19" s="1"/>
  <c r="W69" i="18"/>
  <c r="V73" i="18"/>
  <c r="V79" i="18" s="1"/>
  <c r="V69" i="2"/>
  <c r="U73" i="2"/>
  <c r="U79" i="2" s="1"/>
  <c r="V69" i="17"/>
  <c r="U73" i="17"/>
  <c r="U79" i="17" s="1"/>
  <c r="W84" i="9"/>
  <c r="W55" i="5"/>
  <c r="W85" i="9"/>
  <c r="W88" i="9"/>
  <c r="W72" i="5" s="1"/>
  <c r="V51" i="13"/>
  <c r="V45" i="13" s="1"/>
  <c r="W76" i="10"/>
  <c r="W80" i="10" s="1"/>
  <c r="W39" i="5"/>
  <c r="U85" i="11"/>
  <c r="U88" i="11"/>
  <c r="U75" i="5" s="1"/>
  <c r="U84" i="11"/>
  <c r="U58" i="5"/>
  <c r="U86" i="18"/>
  <c r="U87" i="18" s="1"/>
  <c r="U52" i="17"/>
  <c r="U53" i="17" s="1"/>
  <c r="U46" i="17"/>
  <c r="V52" i="18"/>
  <c r="V53" i="18" s="1"/>
  <c r="V46" i="18"/>
  <c r="T86" i="17"/>
  <c r="T87" i="17" s="1"/>
  <c r="T89" i="17" s="1"/>
  <c r="V76" i="15"/>
  <c r="V80" i="15" s="1"/>
  <c r="V35" i="5"/>
  <c r="V76" i="12"/>
  <c r="V80" i="12" s="1"/>
  <c r="V42" i="5"/>
  <c r="V43" i="2"/>
  <c r="U47" i="2"/>
  <c r="T84" i="20"/>
  <c r="T85" i="20"/>
  <c r="T86" i="20" s="1"/>
  <c r="T87" i="20" s="1"/>
  <c r="T88" i="20"/>
  <c r="T77" i="5" s="1"/>
  <c r="T78" i="5" s="1"/>
  <c r="T79" i="5" s="1"/>
  <c r="T60" i="5"/>
  <c r="T61" i="5" s="1"/>
  <c r="T62" i="5" s="1"/>
  <c r="U84" i="19"/>
  <c r="U88" i="19"/>
  <c r="U67" i="5" s="1"/>
  <c r="U50" i="5"/>
  <c r="U85" i="19"/>
  <c r="U86" i="19" s="1"/>
  <c r="U87" i="19" s="1"/>
  <c r="U83" i="20"/>
  <c r="U71" i="20"/>
  <c r="U70" i="20" s="1"/>
  <c r="U72" i="20" s="1"/>
  <c r="T86" i="2"/>
  <c r="Q27" i="5"/>
  <c r="Q28" i="5"/>
  <c r="U45" i="20"/>
  <c r="V54" i="19"/>
  <c r="V77" i="19" s="1"/>
  <c r="W76" i="14"/>
  <c r="W80" i="14" s="1"/>
  <c r="W36" i="5"/>
  <c r="U76" i="13"/>
  <c r="U80" i="13" s="1"/>
  <c r="U37" i="5"/>
  <c r="V83" i="11"/>
  <c r="V70" i="11"/>
  <c r="V72" i="11" s="1"/>
  <c r="V71" i="11"/>
  <c r="W51" i="15"/>
  <c r="W51" i="12"/>
  <c r="V83" i="19"/>
  <c r="V71" i="19"/>
  <c r="V70" i="19" s="1"/>
  <c r="V72" i="19" s="1"/>
  <c r="S10" i="5"/>
  <c r="T89" i="20" l="1"/>
  <c r="W51" i="19"/>
  <c r="V47" i="19"/>
  <c r="V76" i="19" s="1"/>
  <c r="W43" i="11"/>
  <c r="W51" i="11" s="1"/>
  <c r="V47" i="11"/>
  <c r="W50" i="11"/>
  <c r="W45" i="11" s="1"/>
  <c r="V54" i="11"/>
  <c r="V77" i="11" s="1"/>
  <c r="U89" i="18"/>
  <c r="U16" i="5" s="1"/>
  <c r="U88" i="13"/>
  <c r="U71" i="5" s="1"/>
  <c r="U54" i="5"/>
  <c r="U85" i="13"/>
  <c r="U84" i="13"/>
  <c r="V52" i="13"/>
  <c r="V53" i="13" s="1"/>
  <c r="V46" i="13"/>
  <c r="W69" i="19"/>
  <c r="V73" i="19"/>
  <c r="V79" i="19" s="1"/>
  <c r="W83" i="12"/>
  <c r="W71" i="12"/>
  <c r="W70" i="12" s="1"/>
  <c r="W72" i="12" s="1"/>
  <c r="W73" i="12" s="1"/>
  <c r="W79" i="12" s="1"/>
  <c r="W45" i="12"/>
  <c r="V85" i="15"/>
  <c r="V84" i="15"/>
  <c r="V88" i="15"/>
  <c r="V69" i="5" s="1"/>
  <c r="V52" i="5"/>
  <c r="W43" i="18"/>
  <c r="V47" i="18"/>
  <c r="W84" i="10"/>
  <c r="W56" i="5"/>
  <c r="W85" i="10"/>
  <c r="W88" i="10"/>
  <c r="W73" i="5" s="1"/>
  <c r="U76" i="2"/>
  <c r="U80" i="2" s="1"/>
  <c r="U32" i="5"/>
  <c r="V88" i="12"/>
  <c r="V76" i="5" s="1"/>
  <c r="V85" i="12"/>
  <c r="V86" i="12" s="1"/>
  <c r="V87" i="12" s="1"/>
  <c r="V59" i="5"/>
  <c r="V84" i="12"/>
  <c r="W50" i="18"/>
  <c r="V54" i="18"/>
  <c r="V77" i="18" s="1"/>
  <c r="U86" i="11"/>
  <c r="U87" i="11" s="1"/>
  <c r="U89" i="11" s="1"/>
  <c r="W83" i="11"/>
  <c r="W71" i="11"/>
  <c r="W70" i="11" s="1"/>
  <c r="W69" i="11"/>
  <c r="V73" i="11"/>
  <c r="V79" i="11" s="1"/>
  <c r="V69" i="20"/>
  <c r="U73" i="20"/>
  <c r="U79" i="20" s="1"/>
  <c r="V50" i="17"/>
  <c r="U54" i="17"/>
  <c r="U77" i="17" s="1"/>
  <c r="W86" i="9"/>
  <c r="W87" i="9" s="1"/>
  <c r="W89" i="9" s="1"/>
  <c r="W14" i="5" s="1"/>
  <c r="W83" i="15"/>
  <c r="W71" i="15"/>
  <c r="W70" i="15" s="1"/>
  <c r="W72" i="15" s="1"/>
  <c r="W73" i="15" s="1"/>
  <c r="W79" i="15" s="1"/>
  <c r="V33" i="5"/>
  <c r="W45" i="15"/>
  <c r="W53" i="5"/>
  <c r="W85" i="14"/>
  <c r="W84" i="14"/>
  <c r="W88" i="14"/>
  <c r="W70" i="5" s="1"/>
  <c r="U52" i="20"/>
  <c r="U53" i="20" s="1"/>
  <c r="U46" i="20"/>
  <c r="W83" i="19"/>
  <c r="W71" i="19"/>
  <c r="W70" i="19" s="1"/>
  <c r="W45" i="19"/>
  <c r="T87" i="2"/>
  <c r="T89" i="2" s="1"/>
  <c r="T8" i="5" s="1"/>
  <c r="U89" i="19"/>
  <c r="V51" i="2"/>
  <c r="V43" i="17"/>
  <c r="U47" i="17"/>
  <c r="V83" i="13"/>
  <c r="V71" i="13"/>
  <c r="V70" i="13" s="1"/>
  <c r="V72" i="13" s="1"/>
  <c r="S17" i="5"/>
  <c r="R19" i="5"/>
  <c r="R9" i="5"/>
  <c r="V41" i="5" l="1"/>
  <c r="V76" i="11"/>
  <c r="V80" i="11" s="1"/>
  <c r="R20" i="5"/>
  <c r="U34" i="5"/>
  <c r="U76" i="17"/>
  <c r="U80" i="17" s="1"/>
  <c r="V50" i="20"/>
  <c r="U54" i="20"/>
  <c r="U77" i="20" s="1"/>
  <c r="W86" i="14"/>
  <c r="W87" i="14"/>
  <c r="W52" i="11"/>
  <c r="W53" i="11" s="1"/>
  <c r="W54" i="11" s="1"/>
  <c r="W77" i="11" s="1"/>
  <c r="W46" i="11"/>
  <c r="W47" i="11" s="1"/>
  <c r="W51" i="18"/>
  <c r="W45" i="18" s="1"/>
  <c r="W52" i="18" s="1"/>
  <c r="W53" i="18" s="1"/>
  <c r="W54" i="18" s="1"/>
  <c r="W77" i="18" s="1"/>
  <c r="W43" i="13"/>
  <c r="V47" i="13"/>
  <c r="W52" i="19"/>
  <c r="W53" i="19" s="1"/>
  <c r="W54" i="19" s="1"/>
  <c r="W77" i="19" s="1"/>
  <c r="W46" i="19"/>
  <c r="W47" i="19" s="1"/>
  <c r="V86" i="15"/>
  <c r="V87" i="15" s="1"/>
  <c r="V89" i="15" s="1"/>
  <c r="V80" i="19"/>
  <c r="W50" i="13"/>
  <c r="V54" i="13"/>
  <c r="V77" i="13" s="1"/>
  <c r="W69" i="13"/>
  <c r="V73" i="13"/>
  <c r="V79" i="13" s="1"/>
  <c r="U86" i="13"/>
  <c r="U87" i="13" s="1"/>
  <c r="V51" i="17"/>
  <c r="U85" i="2"/>
  <c r="U86" i="2" s="1"/>
  <c r="U87" i="2" s="1"/>
  <c r="U84" i="2"/>
  <c r="U88" i="2"/>
  <c r="U66" i="5" s="1"/>
  <c r="U49" i="5"/>
  <c r="V83" i="2"/>
  <c r="V71" i="2"/>
  <c r="V70" i="2" s="1"/>
  <c r="V72" i="2" s="1"/>
  <c r="V45" i="2"/>
  <c r="V43" i="20"/>
  <c r="U47" i="20"/>
  <c r="W52" i="15"/>
  <c r="W53" i="15" s="1"/>
  <c r="W54" i="15" s="1"/>
  <c r="W77" i="15" s="1"/>
  <c r="W46" i="15"/>
  <c r="W47" i="15" s="1"/>
  <c r="W72" i="11"/>
  <c r="W73" i="11" s="1"/>
  <c r="W79" i="11" s="1"/>
  <c r="V89" i="12"/>
  <c r="W86" i="10"/>
  <c r="W87" i="10" s="1"/>
  <c r="W89" i="10" s="1"/>
  <c r="W15" i="5" s="1"/>
  <c r="V76" i="18"/>
  <c r="V80" i="18" s="1"/>
  <c r="V40" i="5"/>
  <c r="W52" i="12"/>
  <c r="W53" i="12" s="1"/>
  <c r="W54" i="12" s="1"/>
  <c r="W77" i="12" s="1"/>
  <c r="W46" i="12"/>
  <c r="W47" i="12" s="1"/>
  <c r="W72" i="19"/>
  <c r="W73" i="19" s="1"/>
  <c r="W79" i="19" s="1"/>
  <c r="U11" i="5"/>
  <c r="T18" i="5"/>
  <c r="V88" i="11" l="1"/>
  <c r="V75" i="5" s="1"/>
  <c r="V84" i="11"/>
  <c r="V58" i="5"/>
  <c r="V85" i="11"/>
  <c r="V51" i="20"/>
  <c r="V83" i="17"/>
  <c r="V71" i="17"/>
  <c r="V70" i="17" s="1"/>
  <c r="V72" i="17" s="1"/>
  <c r="V45" i="17"/>
  <c r="W76" i="19"/>
  <c r="W80" i="19" s="1"/>
  <c r="W33" i="5"/>
  <c r="W51" i="13"/>
  <c r="R21" i="5"/>
  <c r="R26" i="5"/>
  <c r="R29" i="5"/>
  <c r="W76" i="15"/>
  <c r="W80" i="15" s="1"/>
  <c r="W35" i="5"/>
  <c r="W69" i="2"/>
  <c r="V73" i="2"/>
  <c r="V79" i="2" s="1"/>
  <c r="V76" i="13"/>
  <c r="V80" i="13" s="1"/>
  <c r="V37" i="5"/>
  <c r="W76" i="11"/>
  <c r="W80" i="11" s="1"/>
  <c r="W41" i="5"/>
  <c r="V52" i="2"/>
  <c r="V53" i="2" s="1"/>
  <c r="V46" i="2"/>
  <c r="W76" i="12"/>
  <c r="W80" i="12" s="1"/>
  <c r="W42" i="5"/>
  <c r="V84" i="18"/>
  <c r="V88" i="18"/>
  <c r="V74" i="5" s="1"/>
  <c r="V85" i="18"/>
  <c r="V57" i="5"/>
  <c r="U76" i="20"/>
  <c r="U80" i="20" s="1"/>
  <c r="U43" i="5"/>
  <c r="U44" i="5" s="1"/>
  <c r="U45" i="5" s="1"/>
  <c r="U89" i="2"/>
  <c r="U8" i="5" s="1"/>
  <c r="U89" i="13"/>
  <c r="U13" i="5" s="1"/>
  <c r="V85" i="19"/>
  <c r="V84" i="19"/>
  <c r="V88" i="19"/>
  <c r="V67" i="5" s="1"/>
  <c r="V50" i="5"/>
  <c r="V86" i="11"/>
  <c r="W83" i="18"/>
  <c r="W71" i="18"/>
  <c r="W70" i="18" s="1"/>
  <c r="W72" i="18" s="1"/>
  <c r="W73" i="18" s="1"/>
  <c r="W79" i="18" s="1"/>
  <c r="W46" i="18"/>
  <c r="W47" i="18" s="1"/>
  <c r="W89" i="14"/>
  <c r="U51" i="5"/>
  <c r="U85" i="17"/>
  <c r="U86" i="17" s="1"/>
  <c r="U87" i="17" s="1"/>
  <c r="U84" i="17"/>
  <c r="U88" i="17"/>
  <c r="U68" i="5" s="1"/>
  <c r="T12" i="5"/>
  <c r="V87" i="11" l="1"/>
  <c r="V89" i="11" s="1"/>
  <c r="U89" i="17"/>
  <c r="W58" i="5"/>
  <c r="W85" i="11"/>
  <c r="W86" i="11" s="1"/>
  <c r="W87" i="11" s="1"/>
  <c r="W84" i="11"/>
  <c r="W88" i="11"/>
  <c r="W75" i="5" s="1"/>
  <c r="W84" i="19"/>
  <c r="W50" i="5"/>
  <c r="W85" i="19"/>
  <c r="W88" i="19"/>
  <c r="W67" i="5" s="1"/>
  <c r="W40" i="5"/>
  <c r="W76" i="18"/>
  <c r="W80" i="18" s="1"/>
  <c r="V86" i="19"/>
  <c r="V87" i="19" s="1"/>
  <c r="V89" i="19" s="1"/>
  <c r="U85" i="20"/>
  <c r="U86" i="20" s="1"/>
  <c r="U87" i="20" s="1"/>
  <c r="U84" i="20"/>
  <c r="U60" i="5"/>
  <c r="U61" i="5" s="1"/>
  <c r="U62" i="5" s="1"/>
  <c r="U88" i="20"/>
  <c r="U77" i="5" s="1"/>
  <c r="U78" i="5" s="1"/>
  <c r="U79" i="5" s="1"/>
  <c r="W85" i="12"/>
  <c r="W86" i="12" s="1"/>
  <c r="W87" i="12" s="1"/>
  <c r="W84" i="12"/>
  <c r="W59" i="5"/>
  <c r="W88" i="12"/>
  <c r="W76" i="5" s="1"/>
  <c r="W85" i="15"/>
  <c r="W84" i="15"/>
  <c r="W88" i="15"/>
  <c r="W69" i="5" s="1"/>
  <c r="W52" i="5"/>
  <c r="V86" i="18"/>
  <c r="V87" i="18" s="1"/>
  <c r="V89" i="18" s="1"/>
  <c r="V16" i="5" s="1"/>
  <c r="W43" i="2"/>
  <c r="V47" i="2"/>
  <c r="V83" i="20"/>
  <c r="V71" i="20"/>
  <c r="V70" i="20" s="1"/>
  <c r="V72" i="20" s="1"/>
  <c r="V45" i="20"/>
  <c r="W50" i="2"/>
  <c r="V54" i="2"/>
  <c r="V77" i="2" s="1"/>
  <c r="R27" i="5"/>
  <c r="R28" i="5"/>
  <c r="V84" i="13"/>
  <c r="V88" i="13"/>
  <c r="V71" i="5" s="1"/>
  <c r="V54" i="5"/>
  <c r="V85" i="13"/>
  <c r="W69" i="17"/>
  <c r="V73" i="17"/>
  <c r="V79" i="17" s="1"/>
  <c r="W83" i="13"/>
  <c r="W71" i="13"/>
  <c r="W70" i="13" s="1"/>
  <c r="W72" i="13" s="1"/>
  <c r="W73" i="13" s="1"/>
  <c r="W79" i="13" s="1"/>
  <c r="W45" i="13"/>
  <c r="V52" i="17"/>
  <c r="V53" i="17" s="1"/>
  <c r="V46" i="17"/>
  <c r="U12" i="5"/>
  <c r="S9" i="5"/>
  <c r="T17" i="5"/>
  <c r="T10" i="5"/>
  <c r="W69" i="20" l="1"/>
  <c r="V73" i="20"/>
  <c r="V79" i="20" s="1"/>
  <c r="W57" i="5"/>
  <c r="W85" i="18"/>
  <c r="W86" i="18" s="1"/>
  <c r="W87" i="18" s="1"/>
  <c r="W84" i="18"/>
  <c r="W88" i="18"/>
  <c r="W74" i="5" s="1"/>
  <c r="W50" i="17"/>
  <c r="V54" i="17"/>
  <c r="V77" i="17" s="1"/>
  <c r="W52" i="13"/>
  <c r="W53" i="13" s="1"/>
  <c r="W54" i="13" s="1"/>
  <c r="W77" i="13" s="1"/>
  <c r="W46" i="13"/>
  <c r="W47" i="13" s="1"/>
  <c r="W43" i="17"/>
  <c r="V47" i="17"/>
  <c r="V86" i="13"/>
  <c r="V87" i="13" s="1"/>
  <c r="V89" i="13" s="1"/>
  <c r="V13" i="5" s="1"/>
  <c r="V52" i="20"/>
  <c r="V53" i="20" s="1"/>
  <c r="V46" i="20"/>
  <c r="W89" i="12"/>
  <c r="V32" i="5"/>
  <c r="V76" i="2"/>
  <c r="V80" i="2" s="1"/>
  <c r="U89" i="20"/>
  <c r="W89" i="11"/>
  <c r="W51" i="2"/>
  <c r="W45" i="2" s="1"/>
  <c r="W52" i="2" s="1"/>
  <c r="W86" i="15"/>
  <c r="W87" i="15" s="1"/>
  <c r="W89" i="15" s="1"/>
  <c r="W86" i="19"/>
  <c r="W87" i="19"/>
  <c r="V11" i="5"/>
  <c r="S19" i="5"/>
  <c r="V12" i="5"/>
  <c r="U18" i="5"/>
  <c r="U17" i="5"/>
  <c r="S20" i="5" l="1"/>
  <c r="W51" i="17"/>
  <c r="W45" i="17" s="1"/>
  <c r="W76" i="13"/>
  <c r="W80" i="13" s="1"/>
  <c r="W37" i="5"/>
  <c r="W43" i="20"/>
  <c r="V47" i="20"/>
  <c r="W89" i="19"/>
  <c r="W83" i="2"/>
  <c r="W71" i="2"/>
  <c r="W70" i="2" s="1"/>
  <c r="W72" i="2" s="1"/>
  <c r="W73" i="2" s="1"/>
  <c r="W79" i="2" s="1"/>
  <c r="W46" i="2"/>
  <c r="W47" i="2" s="1"/>
  <c r="V84" i="2"/>
  <c r="V49" i="5"/>
  <c r="V85" i="2"/>
  <c r="V88" i="2"/>
  <c r="V66" i="5" s="1"/>
  <c r="W53" i="2"/>
  <c r="W54" i="2" s="1"/>
  <c r="W77" i="2" s="1"/>
  <c r="W50" i="20"/>
  <c r="V54" i="20"/>
  <c r="V77" i="20" s="1"/>
  <c r="V76" i="17"/>
  <c r="V80" i="17" s="1"/>
  <c r="V34" i="5"/>
  <c r="W89" i="18"/>
  <c r="W16" i="5" s="1"/>
  <c r="V18" i="5"/>
  <c r="W12" i="5"/>
  <c r="V17" i="5"/>
  <c r="T9" i="5"/>
  <c r="W11" i="5"/>
  <c r="W52" i="17" l="1"/>
  <c r="W53" i="17" s="1"/>
  <c r="W54" i="17" s="1"/>
  <c r="W77" i="17" s="1"/>
  <c r="W46" i="17"/>
  <c r="W47" i="17" s="1"/>
  <c r="V84" i="17"/>
  <c r="V51" i="5"/>
  <c r="V85" i="17"/>
  <c r="V86" i="17" s="1"/>
  <c r="V87" i="17" s="1"/>
  <c r="V88" i="17"/>
  <c r="V68" i="5" s="1"/>
  <c r="V76" i="20"/>
  <c r="V80" i="20" s="1"/>
  <c r="V43" i="5"/>
  <c r="V44" i="5" s="1"/>
  <c r="V45" i="5" s="1"/>
  <c r="W85" i="13"/>
  <c r="W84" i="13"/>
  <c r="W88" i="13"/>
  <c r="W71" i="5" s="1"/>
  <c r="W54" i="5"/>
  <c r="S29" i="5"/>
  <c r="S26" i="5"/>
  <c r="S21" i="5"/>
  <c r="V86" i="2"/>
  <c r="V87" i="2" s="1"/>
  <c r="V89" i="2" s="1"/>
  <c r="V8" i="5" s="1"/>
  <c r="W76" i="2"/>
  <c r="W80" i="2" s="1"/>
  <c r="W32" i="5"/>
  <c r="W51" i="20"/>
  <c r="W45" i="20" s="1"/>
  <c r="W52" i="20" s="1"/>
  <c r="W83" i="17"/>
  <c r="W71" i="17"/>
  <c r="W70" i="17" s="1"/>
  <c r="W72" i="17" s="1"/>
  <c r="W73" i="17" s="1"/>
  <c r="W79" i="17" s="1"/>
  <c r="U9" i="5"/>
  <c r="U10" i="5"/>
  <c r="W17" i="5"/>
  <c r="W18" i="5"/>
  <c r="V89" i="17" l="1"/>
  <c r="W85" i="2"/>
  <c r="W86" i="2" s="1"/>
  <c r="W87" i="2" s="1"/>
  <c r="W84" i="2"/>
  <c r="W88" i="2"/>
  <c r="W66" i="5" s="1"/>
  <c r="W49" i="5"/>
  <c r="V88" i="20"/>
  <c r="V77" i="5" s="1"/>
  <c r="V85" i="20"/>
  <c r="V86" i="20" s="1"/>
  <c r="V87" i="20" s="1"/>
  <c r="V60" i="5"/>
  <c r="V61" i="5" s="1"/>
  <c r="V62" i="5" s="1"/>
  <c r="V84" i="20"/>
  <c r="W83" i="20"/>
  <c r="W71" i="20"/>
  <c r="W70" i="20" s="1"/>
  <c r="W72" i="20" s="1"/>
  <c r="W73" i="20" s="1"/>
  <c r="W79" i="20" s="1"/>
  <c r="W53" i="20"/>
  <c r="W54" i="20" s="1"/>
  <c r="W77" i="20" s="1"/>
  <c r="W86" i="13"/>
  <c r="W87" i="13" s="1"/>
  <c r="W76" i="17"/>
  <c r="W80" i="17" s="1"/>
  <c r="W34" i="5"/>
  <c r="W46" i="20"/>
  <c r="W47" i="20" s="1"/>
  <c r="S28" i="5"/>
  <c r="S27" i="5"/>
  <c r="V78" i="5"/>
  <c r="V79" i="5" s="1"/>
  <c r="V9" i="5"/>
  <c r="W84" i="17" l="1"/>
  <c r="W85" i="17"/>
  <c r="W86" i="17" s="1"/>
  <c r="W87" i="17" s="1"/>
  <c r="W51" i="5"/>
  <c r="W88" i="17"/>
  <c r="W68" i="5" s="1"/>
  <c r="W89" i="13"/>
  <c r="W13" i="5" s="1"/>
  <c r="W89" i="2"/>
  <c r="W8" i="5" s="1"/>
  <c r="W76" i="20"/>
  <c r="W80" i="20" s="1"/>
  <c r="W43" i="5"/>
  <c r="W44" i="5" s="1"/>
  <c r="W45" i="5" s="1"/>
  <c r="V89" i="20"/>
  <c r="T19" i="5"/>
  <c r="W9" i="5"/>
  <c r="T20" i="5" l="1"/>
  <c r="W60" i="5"/>
  <c r="W61" i="5" s="1"/>
  <c r="W62" i="5" s="1"/>
  <c r="W85" i="20"/>
  <c r="W84" i="20"/>
  <c r="W88" i="20"/>
  <c r="W77" i="5" s="1"/>
  <c r="W78" i="5" s="1"/>
  <c r="W79" i="5" s="1"/>
  <c r="W89" i="17"/>
  <c r="V10" i="5"/>
  <c r="T26" i="5" l="1"/>
  <c r="T21" i="5"/>
  <c r="T29" i="5"/>
  <c r="W86" i="20"/>
  <c r="W87" i="20" s="1"/>
  <c r="W10" i="5"/>
  <c r="T28" i="5" l="1"/>
  <c r="T27" i="5"/>
  <c r="W89" i="20"/>
  <c r="U19" i="5"/>
  <c r="U20" i="5" l="1"/>
  <c r="U26" i="5" s="1"/>
  <c r="V19" i="5"/>
  <c r="V20" i="5" l="1"/>
  <c r="V26" i="5" s="1"/>
  <c r="U29" i="5"/>
  <c r="U21" i="5"/>
  <c r="U28" i="5"/>
  <c r="U27" i="5"/>
  <c r="W19" i="5"/>
  <c r="V27" i="5" l="1"/>
  <c r="W20" i="5"/>
  <c r="V29" i="5"/>
  <c r="V28" i="5"/>
  <c r="V21" i="5"/>
  <c r="W29" i="5" l="1"/>
  <c r="W26" i="5"/>
  <c r="W21" i="5"/>
  <c r="W28" i="5" l="1"/>
  <c r="W27" i="5"/>
</calcChain>
</file>

<file path=xl/sharedStrings.xml><?xml version="1.0" encoding="utf-8"?>
<sst xmlns="http://schemas.openxmlformats.org/spreadsheetml/2006/main" count="1157" uniqueCount="164">
  <si>
    <t>($ million)</t>
  </si>
  <si>
    <t>Line</t>
  </si>
  <si>
    <t>Column</t>
  </si>
  <si>
    <t>Reference</t>
  </si>
  <si>
    <t>Amortization</t>
  </si>
  <si>
    <t>Total</t>
  </si>
  <si>
    <t>Per Cent Increase</t>
  </si>
  <si>
    <t>Construction Work in Progress</t>
  </si>
  <si>
    <t xml:space="preserve"> </t>
  </si>
  <si>
    <t>Opening Balance</t>
  </si>
  <si>
    <t>Capital Expenditures</t>
  </si>
  <si>
    <t>Capital Additions</t>
  </si>
  <si>
    <t>Closing Balance</t>
  </si>
  <si>
    <t>Gross Property</t>
  </si>
  <si>
    <t>Retirements</t>
  </si>
  <si>
    <t>Accumulated Depreciation</t>
  </si>
  <si>
    <t>Mid-Year Balance</t>
  </si>
  <si>
    <t>Revenue Requirements</t>
  </si>
  <si>
    <t>Income Taxes</t>
  </si>
  <si>
    <t>Operations &amp; Maintenance</t>
  </si>
  <si>
    <t>CWIP in Rate Base</t>
  </si>
  <si>
    <t>Mid-Year Rate Base</t>
  </si>
  <si>
    <t>Project:</t>
  </si>
  <si>
    <t>In-Service Year (yyyy)</t>
  </si>
  <si>
    <t>Debt (% of Capital)</t>
  </si>
  <si>
    <t>Cost of Debt (%)</t>
  </si>
  <si>
    <t>Equity (% of Capital)</t>
  </si>
  <si>
    <t>Cost of Equity (%)</t>
  </si>
  <si>
    <t>O&amp;M (% of Capital Additions)</t>
  </si>
  <si>
    <t>O&amp;M Escalation Rate (%)</t>
  </si>
  <si>
    <t>CWIP Carrying Cost (IDC or AFUDC)</t>
  </si>
  <si>
    <t>CWIP in Rate Base (Y or N)</t>
  </si>
  <si>
    <t>Capital Expenditures (nominal $ millions)</t>
  </si>
  <si>
    <t>AFUDC</t>
  </si>
  <si>
    <t>Cost of Debt</t>
  </si>
  <si>
    <t>Cost of Equity</t>
  </si>
  <si>
    <t>Deferred Income Tax Account</t>
  </si>
  <si>
    <t>Y</t>
  </si>
  <si>
    <t>SCE</t>
  </si>
  <si>
    <t>Anaheim</t>
  </si>
  <si>
    <t>Azusa</t>
  </si>
  <si>
    <t>Banning</t>
  </si>
  <si>
    <t>Pasadena</t>
  </si>
  <si>
    <t>Riverside</t>
  </si>
  <si>
    <t>Vernon</t>
  </si>
  <si>
    <t>HV Base TRR</t>
  </si>
  <si>
    <t>HV TRBAA</t>
  </si>
  <si>
    <t>HV Standby Credit</t>
  </si>
  <si>
    <t>HV TRBAA Escalation</t>
  </si>
  <si>
    <t>HV Standby Credit Escalation</t>
  </si>
  <si>
    <t>Gross Load Growth</t>
  </si>
  <si>
    <t>Gross Load (GWh)</t>
  </si>
  <si>
    <t>TAC Rate ($/MWh)</t>
  </si>
  <si>
    <t>HV Revenue Requirements</t>
  </si>
  <si>
    <t>Existing Facilities</t>
  </si>
  <si>
    <t>Summary</t>
  </si>
  <si>
    <t>Rate Base</t>
  </si>
  <si>
    <t>Return</t>
  </si>
  <si>
    <t>Subtotal</t>
  </si>
  <si>
    <t>Other PTOs</t>
  </si>
  <si>
    <t>Gross Plant</t>
  </si>
  <si>
    <t>HV Gross Plant</t>
  </si>
  <si>
    <t>HV Rate Base</t>
  </si>
  <si>
    <t>Total HV Base TRR</t>
  </si>
  <si>
    <t>Forecast Assumptions:</t>
  </si>
  <si>
    <t>Average Return Rate</t>
  </si>
  <si>
    <t>Reliability</t>
  </si>
  <si>
    <t>WOD</t>
  </si>
  <si>
    <t>Depreciation Rate (%)</t>
  </si>
  <si>
    <t>Depreciation</t>
  </si>
  <si>
    <t>Income Taxes - Federal</t>
  </si>
  <si>
    <t>Income Taxes - State</t>
  </si>
  <si>
    <t>Cumulative Per Cent Increase</t>
  </si>
  <si>
    <t>Deferred Income Taxes</t>
  </si>
  <si>
    <t>Deferred Income Taxes - Federal</t>
  </si>
  <si>
    <t>Deferred Income Taxes - State</t>
  </si>
  <si>
    <t>Depreciation - Federal Income Tax</t>
  </si>
  <si>
    <t>Depreciation - State Income Tax</t>
  </si>
  <si>
    <t>Federal Income Tax (MACRS 15-year)</t>
  </si>
  <si>
    <t>Federal Income Tax Rate (%)</t>
  </si>
  <si>
    <t>State Income Tax Declining Balance (%)</t>
  </si>
  <si>
    <t>State Income Tax Rate</t>
  </si>
  <si>
    <t>Deferred Federal Income Tax (Y or N)</t>
  </si>
  <si>
    <t>Deferred State Income Tax (Y or N)</t>
  </si>
  <si>
    <t>Links</t>
  </si>
  <si>
    <t>PG&amp;E</t>
  </si>
  <si>
    <t>SDG&amp;E</t>
  </si>
  <si>
    <t>Trans Bay Cable</t>
  </si>
  <si>
    <t>Citizens Sunrise</t>
  </si>
  <si>
    <t>Colton</t>
  </si>
  <si>
    <t>Line 141</t>
  </si>
  <si>
    <t xml:space="preserve">HV Total </t>
  </si>
  <si>
    <r>
      <t xml:space="preserve">Gross Load </t>
    </r>
    <r>
      <rPr>
        <b/>
        <sz val="10"/>
        <color theme="1"/>
        <rFont val="Arial"/>
        <family val="2"/>
      </rPr>
      <t xml:space="preserve">(GWh) </t>
    </r>
  </si>
  <si>
    <t xml:space="preserve">TAC Rate ($/MWh) </t>
  </si>
  <si>
    <t xml:space="preserve">HV Utility Specific Rates ($/MWh) </t>
  </si>
  <si>
    <t>DATC Path 15</t>
  </si>
  <si>
    <t>Startrans IO</t>
  </si>
  <si>
    <t>Tariff Filing, Exhibit DAT-3, Page 1, Line 11</t>
  </si>
  <si>
    <t>Tariff Filing, Exhibit DAT-3, Page 1, Line 18</t>
  </si>
  <si>
    <t>Tariff Filing, Exhibit DAT-3, Page 1, Line 20</t>
  </si>
  <si>
    <t>Tariff Filing, Exhibit DAT-3, Page 1, Line 1</t>
  </si>
  <si>
    <t>Tariff Filing, Exhibit DAT-3, Page 1, Line 10</t>
  </si>
  <si>
    <t>Tariff Filing, Exhibit DAT-3, Page 1, Line 14</t>
  </si>
  <si>
    <t>Non-ISO Capital (% of Gross Plant)</t>
  </si>
  <si>
    <t>Tariff Filing, Statement BK, Period II, Line 1</t>
  </si>
  <si>
    <t>DATC Path 15 Tariff Filing</t>
  </si>
  <si>
    <t>Trans Bay Cable Tariff Filing</t>
  </si>
  <si>
    <t>Operations and Maintenance Costs</t>
  </si>
  <si>
    <t>New Project 10</t>
  </si>
  <si>
    <t>New Project 11</t>
  </si>
  <si>
    <t>New Project 12</t>
  </si>
  <si>
    <t>ClrdoRvr</t>
  </si>
  <si>
    <t>Tariff Filing, Statement BK, Period II, Line 20</t>
  </si>
  <si>
    <t>Tariff Filing, Statement BK, Period II, Line 16</t>
  </si>
  <si>
    <t>Tariff Filing, Statement BK, Period II, Line 11</t>
  </si>
  <si>
    <t>Tariff Filing, Statement BK, Period II, Line 13</t>
  </si>
  <si>
    <t>Tariff Filing, Statement BK, Period II, Line 9</t>
  </si>
  <si>
    <t>TAC Rate excluding existing facilities</t>
  </si>
  <si>
    <t>GWT/VEA</t>
  </si>
  <si>
    <t>Docket</t>
  </si>
  <si>
    <t>https://elibrary.ferc.gov/idmws/common/OpenNat.asp?fileID=14495819</t>
  </si>
  <si>
    <t>ER17-998-000</t>
  </si>
  <si>
    <t>PG&amp;E TO20 Filing</t>
  </si>
  <si>
    <t>ER19-13-000</t>
  </si>
  <si>
    <t>SCE TO2019 Annual Update</t>
  </si>
  <si>
    <t>https://elibrary.ferc.gov/idmws/common/OpenNat.asp?fileID=15107081</t>
  </si>
  <si>
    <t>SDG&amp;E T05 First Cycle Filing</t>
  </si>
  <si>
    <t>https://elibrary.ferc.gov/idmws/common/opennat.asp?fileID=15088629</t>
  </si>
  <si>
    <t>ER16-2632-004</t>
  </si>
  <si>
    <t>https://elibrary.ferc.gov/idmws/common/opennat.asp?fileID=14660354</t>
  </si>
  <si>
    <t>Tehachapi (Completed)</t>
  </si>
  <si>
    <t>N</t>
  </si>
  <si>
    <t>Red Bluff 2nd 'AA' Bank</t>
  </si>
  <si>
    <t>Calcite</t>
  </si>
  <si>
    <t>CAISO January 01, 2020 TAC Rates (updated as of January 16, 2020)</t>
  </si>
  <si>
    <t>http://www.caiso.com/Documents/HighVoltageAccessChargeRatesEffectiveJan01_2020_RevisedJan16_2020.pdf</t>
  </si>
  <si>
    <t>https://www.pge.com/en_US/about-pge/company-information/regulation/contracts-and-tariffs/contracts-and-tariffs.page</t>
  </si>
  <si>
    <t>ER19-1553-000</t>
  </si>
  <si>
    <t>https://www.sce.com/regulatory/open-access-information</t>
  </si>
  <si>
    <t>https://www.sdge.com/docket-no-er19-221-000-to5-cycle-1-formula-rate-filing</t>
  </si>
  <si>
    <t>ER19-221-000</t>
  </si>
  <si>
    <t>T05 Filing Cycle 1, Statement AV, Page 1, Line 32</t>
  </si>
  <si>
    <t>T05 Filing Cycle 1, Statement AV, Page 2, Line 27</t>
  </si>
  <si>
    <t>TO20 Filing Model, 26-WholesaleTRRs, Line 17. HV only</t>
  </si>
  <si>
    <t>TO20 Filing Model, 26-WholesaleTRRs, Line 2. HV only</t>
  </si>
  <si>
    <t>TO20 Filing Model, 26-WholesaleTRRs, Line 21 &amp; 22. HV only</t>
  </si>
  <si>
    <t>TO20 Filing Model, 26-WholesaleTRRs, Line 24. HV only</t>
  </si>
  <si>
    <t>TO20 Filing Model, 26-WholesaleTRRs, Line 25 &amp; 26. HV only</t>
  </si>
  <si>
    <t>TO20 Filing Model, 26-WholesaleTRRs, Line 35. HV only</t>
  </si>
  <si>
    <t>TO2020 Annual Update, Attachment 1, Schedule 1, Line 1. HV only</t>
  </si>
  <si>
    <t>TO2020 Annual Update, Attachment 1, Schedule 1, Line 18. HV only</t>
  </si>
  <si>
    <t>TO2020 Annual Update, Attachment 1, Schedule 1, Line 69. HV only</t>
  </si>
  <si>
    <t>TO2020 Annual Update, Attachment 1, Schedule 1, Line 73. HV only</t>
  </si>
  <si>
    <t>TO2020 Annual Update, Attachment 1, Schedule 1, Line 74. HV only</t>
  </si>
  <si>
    <t>TO2020 Annual Update, Attachment 1, Schedule 1, Line 89. HV only</t>
  </si>
  <si>
    <t>T05 Filing Cycle 1, Statement BK-1, Page 3, Line 1</t>
  </si>
  <si>
    <t>T05 Filing Cycle 1, Statement BK-1, Page 1, Line 18</t>
  </si>
  <si>
    <t>T05 Filing Cycle 1, Statement BK-1, Page 1, Line 8</t>
  </si>
  <si>
    <t>T05 Filing Cycle 1, Statement BK-2, Page 2, Line 30</t>
  </si>
  <si>
    <t>January 1, 2020 ISO Access Charge Rate</t>
  </si>
  <si>
    <t>CAISO January 01, 2020 TAC Rates</t>
  </si>
  <si>
    <t>2019-20 Policy and Econ</t>
  </si>
  <si>
    <t>CW-Lugo(Completed)</t>
  </si>
  <si>
    <t>South CC(Completed)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</si>
</sst>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"/>
    <numFmt numFmtId="165" formatCode="#,##0.0_);\(#,##0.0\)"/>
    <numFmt numFmtId="166" formatCode="0.0%"/>
    <numFmt numFmtId="167" formatCode="#,##0.000_);\(#,##0.000\)"/>
    <numFmt numFmtId="168" formatCode="#,##0.0000_);\(#,##0.0000\)"/>
    <numFmt numFmtId="169" formatCode="0.000%"/>
    <numFmt numFmtId="170" formatCode="#,##0.000000"/>
    <numFmt numFmtId="171" formatCode="#,##0.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164" fontId="4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165" fontId="8" fillId="0" borderId="0" xfId="0" applyNumberFormat="1" applyFont="1" applyFill="1" applyBorder="1"/>
    <xf numFmtId="1" fontId="8" fillId="0" borderId="0" xfId="0" applyNumberFormat="1" applyFont="1" applyFill="1"/>
    <xf numFmtId="165" fontId="8" fillId="2" borderId="0" xfId="0" applyNumberFormat="1" applyFont="1" applyFill="1" applyBorder="1"/>
    <xf numFmtId="166" fontId="8" fillId="0" borderId="0" xfId="1" applyNumberFormat="1" applyFont="1" applyFill="1" applyBorder="1"/>
    <xf numFmtId="1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right"/>
    </xf>
    <xf numFmtId="165" fontId="8" fillId="0" borderId="1" xfId="0" applyNumberFormat="1" applyFont="1" applyFill="1" applyBorder="1"/>
    <xf numFmtId="1" fontId="8" fillId="2" borderId="0" xfId="0" applyNumberFormat="1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6" fontId="4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/>
    <xf numFmtId="1" fontId="8" fillId="0" borderId="0" xfId="0" applyNumberFormat="1" applyFont="1" applyFill="1" applyAlignment="1">
      <alignment horizontal="center"/>
    </xf>
    <xf numFmtId="165" fontId="4" fillId="2" borderId="0" xfId="0" applyNumberFormat="1" applyFont="1" applyFill="1" applyBorder="1"/>
    <xf numFmtId="164" fontId="5" fillId="0" borderId="0" xfId="0" applyNumberFormat="1" applyFont="1" applyFill="1" applyAlignment="1">
      <alignment horizontal="center" vertical="center"/>
    </xf>
    <xf numFmtId="37" fontId="8" fillId="0" borderId="1" xfId="0" applyNumberFormat="1" applyFont="1" applyFill="1" applyBorder="1"/>
    <xf numFmtId="168" fontId="8" fillId="0" borderId="1" xfId="0" applyNumberFormat="1" applyFont="1" applyFill="1" applyBorder="1"/>
    <xf numFmtId="166" fontId="0" fillId="0" borderId="0" xfId="1" applyNumberFormat="1" applyFont="1" applyFill="1"/>
    <xf numFmtId="10" fontId="0" fillId="0" borderId="0" xfId="1" applyNumberFormat="1" applyFont="1" applyFill="1"/>
    <xf numFmtId="169" fontId="0" fillId="0" borderId="0" xfId="1" applyNumberFormat="1" applyFont="1" applyFill="1"/>
    <xf numFmtId="166" fontId="8" fillId="4" borderId="0" xfId="1" applyNumberFormat="1" applyFont="1" applyFill="1" applyBorder="1"/>
    <xf numFmtId="10" fontId="0" fillId="4" borderId="0" xfId="1" applyNumberFormat="1" applyFont="1" applyFill="1"/>
    <xf numFmtId="9" fontId="8" fillId="2" borderId="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Border="1" applyAlignment="1">
      <alignment horizontal="center" vertical="center"/>
    </xf>
    <xf numFmtId="10" fontId="8" fillId="4" borderId="0" xfId="1" applyNumberFormat="1" applyFont="1" applyFill="1" applyBorder="1"/>
    <xf numFmtId="166" fontId="8" fillId="0" borderId="0" xfId="1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/>
    <xf numFmtId="164" fontId="9" fillId="0" borderId="0" xfId="0" applyNumberFormat="1" applyFont="1" applyFill="1"/>
    <xf numFmtId="169" fontId="9" fillId="0" borderId="0" xfId="1" applyNumberFormat="1" applyFont="1" applyFill="1"/>
    <xf numFmtId="164" fontId="13" fillId="0" borderId="0" xfId="0" applyNumberFormat="1" applyFont="1" applyFill="1"/>
    <xf numFmtId="165" fontId="8" fillId="6" borderId="0" xfId="0" applyNumberFormat="1" applyFont="1" applyFill="1" applyBorder="1"/>
    <xf numFmtId="1" fontId="11" fillId="6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5" fontId="3" fillId="6" borderId="0" xfId="0" applyNumberFormat="1" applyFont="1" applyFill="1" applyBorder="1"/>
    <xf numFmtId="1" fontId="14" fillId="0" borderId="0" xfId="0" applyNumberFormat="1" applyFont="1" applyFill="1"/>
    <xf numFmtId="1" fontId="13" fillId="0" borderId="0" xfId="0" applyNumberFormat="1" applyFont="1" applyFill="1"/>
    <xf numFmtId="165" fontId="3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165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wrapText="1"/>
    </xf>
    <xf numFmtId="164" fontId="0" fillId="0" borderId="0" xfId="0" applyNumberFormat="1" applyFill="1" applyBorder="1"/>
    <xf numFmtId="165" fontId="0" fillId="0" borderId="0" xfId="0" applyNumberForma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0" fillId="7" borderId="0" xfId="0" applyNumberFormat="1" applyFill="1"/>
    <xf numFmtId="164" fontId="4" fillId="7" borderId="0" xfId="0" applyNumberFormat="1" applyFont="1" applyFill="1"/>
    <xf numFmtId="165" fontId="3" fillId="0" borderId="0" xfId="0" applyNumberFormat="1" applyFont="1" applyFill="1" applyBorder="1"/>
    <xf numFmtId="164" fontId="15" fillId="0" borderId="0" xfId="2" applyNumberFormat="1" applyFill="1"/>
    <xf numFmtId="164" fontId="3" fillId="0" borderId="0" xfId="4" applyNumberFormat="1" applyFill="1"/>
    <xf numFmtId="170" fontId="3" fillId="0" borderId="0" xfId="4" applyNumberFormat="1" applyFill="1"/>
    <xf numFmtId="164" fontId="5" fillId="0" borderId="0" xfId="4" applyNumberFormat="1" applyFont="1" applyFill="1" applyAlignment="1">
      <alignment horizontal="center"/>
    </xf>
    <xf numFmtId="164" fontId="4" fillId="0" borderId="0" xfId="4" applyNumberFormat="1" applyFont="1" applyFill="1"/>
    <xf numFmtId="0" fontId="15" fillId="0" borderId="0" xfId="2"/>
    <xf numFmtId="0" fontId="9" fillId="0" borderId="0" xfId="4" applyFont="1"/>
    <xf numFmtId="3" fontId="5" fillId="0" borderId="0" xfId="4" applyNumberFormat="1" applyFont="1" applyFill="1" applyAlignment="1">
      <alignment horizontal="center"/>
    </xf>
    <xf numFmtId="170" fontId="15" fillId="0" borderId="0" xfId="2" applyNumberFormat="1" applyFill="1"/>
    <xf numFmtId="165" fontId="3" fillId="0" borderId="1" xfId="4" applyNumberFormat="1" applyFont="1" applyFill="1" applyBorder="1"/>
    <xf numFmtId="165" fontId="3" fillId="0" borderId="0" xfId="4" applyNumberFormat="1" applyFont="1" applyFill="1" applyBorder="1"/>
    <xf numFmtId="165" fontId="3" fillId="0" borderId="2" xfId="4" applyNumberFormat="1" applyFont="1" applyFill="1" applyBorder="1"/>
    <xf numFmtId="1" fontId="3" fillId="0" borderId="0" xfId="4" applyNumberFormat="1" applyFont="1" applyFill="1"/>
    <xf numFmtId="164" fontId="9" fillId="0" borderId="0" xfId="4" applyNumberFormat="1" applyFont="1" applyFill="1"/>
    <xf numFmtId="165" fontId="3" fillId="5" borderId="1" xfId="4" applyNumberFormat="1" applyFont="1" applyFill="1" applyBorder="1"/>
    <xf numFmtId="165" fontId="3" fillId="3" borderId="0" xfId="4" applyNumberFormat="1" applyFont="1" applyFill="1" applyBorder="1"/>
    <xf numFmtId="165" fontId="3" fillId="5" borderId="0" xfId="4" applyNumberFormat="1" applyFont="1" applyFill="1" applyBorder="1"/>
    <xf numFmtId="1" fontId="4" fillId="0" borderId="0" xfId="4" applyNumberFormat="1" applyFont="1" applyFill="1"/>
    <xf numFmtId="168" fontId="3" fillId="0" borderId="0" xfId="4" applyNumberFormat="1" applyFont="1" applyFill="1" applyBorder="1"/>
    <xf numFmtId="164" fontId="6" fillId="0" borderId="0" xfId="4" applyNumberFormat="1" applyFont="1" applyFill="1" applyAlignment="1">
      <alignment horizontal="right"/>
    </xf>
    <xf numFmtId="170" fontId="3" fillId="0" borderId="0" xfId="4" applyNumberFormat="1" applyFont="1" applyFill="1" applyBorder="1"/>
    <xf numFmtId="37" fontId="3" fillId="4" borderId="1" xfId="4" applyNumberFormat="1" applyFont="1" applyFill="1" applyBorder="1"/>
    <xf numFmtId="37" fontId="3" fillId="0" borderId="1" xfId="4" applyNumberFormat="1" applyFont="1" applyFill="1" applyBorder="1"/>
    <xf numFmtId="165" fontId="9" fillId="0" borderId="0" xfId="4" applyNumberFormat="1" applyFont="1" applyFill="1" applyBorder="1"/>
    <xf numFmtId="37" fontId="3" fillId="5" borderId="0" xfId="4" applyNumberFormat="1" applyFont="1" applyFill="1" applyBorder="1"/>
    <xf numFmtId="165" fontId="3" fillId="4" borderId="1" xfId="4" applyNumberFormat="1" applyFont="1" applyFill="1" applyBorder="1"/>
    <xf numFmtId="166" fontId="3" fillId="7" borderId="0" xfId="1" applyNumberFormat="1" applyFont="1" applyFill="1" applyBorder="1"/>
    <xf numFmtId="170" fontId="5" fillId="0" borderId="0" xfId="4" applyNumberFormat="1" applyFont="1" applyFill="1" applyAlignment="1">
      <alignment horizontal="center"/>
    </xf>
    <xf numFmtId="1" fontId="4" fillId="0" borderId="0" xfId="4" applyNumberFormat="1" applyFont="1" applyFill="1" applyAlignment="1">
      <alignment horizontal="center" vertical="center"/>
    </xf>
    <xf numFmtId="164" fontId="6" fillId="0" borderId="0" xfId="4" applyNumberFormat="1" applyFont="1" applyFill="1" applyAlignment="1">
      <alignment horizontal="center"/>
    </xf>
    <xf numFmtId="170" fontId="3" fillId="0" borderId="0" xfId="1" applyNumberFormat="1" applyFont="1" applyFill="1" applyBorder="1"/>
    <xf numFmtId="166" fontId="3" fillId="2" borderId="0" xfId="1" applyNumberFormat="1" applyFont="1" applyFill="1" applyBorder="1" applyAlignment="1">
      <alignment horizontal="center" vertical="center"/>
    </xf>
    <xf numFmtId="164" fontId="6" fillId="7" borderId="0" xfId="4" applyNumberFormat="1" applyFont="1" applyFill="1" applyAlignment="1">
      <alignment horizontal="right"/>
    </xf>
    <xf numFmtId="1" fontId="3" fillId="7" borderId="0" xfId="4" applyNumberFormat="1" applyFont="1" applyFill="1"/>
    <xf numFmtId="166" fontId="4" fillId="0" borderId="0" xfId="4" applyNumberFormat="1" applyFont="1" applyFill="1"/>
    <xf numFmtId="164" fontId="5" fillId="0" borderId="0" xfId="4" applyNumberFormat="1" applyFont="1" applyFill="1" applyAlignment="1">
      <alignment horizontal="right"/>
    </xf>
    <xf numFmtId="1" fontId="4" fillId="0" borderId="0" xfId="4" applyNumberFormat="1" applyFont="1" applyFill="1" applyAlignment="1">
      <alignment horizontal="right" vertical="center"/>
    </xf>
    <xf numFmtId="164" fontId="6" fillId="0" borderId="0" xfId="4" applyNumberFormat="1" applyFont="1" applyFill="1" applyAlignment="1">
      <alignment horizontal="left"/>
    </xf>
    <xf numFmtId="1" fontId="4" fillId="0" borderId="0" xfId="4" applyNumberFormat="1" applyFont="1" applyFill="1" applyAlignment="1">
      <alignment horizontal="center"/>
    </xf>
    <xf numFmtId="1" fontId="6" fillId="0" borderId="0" xfId="4" applyNumberFormat="1" applyFont="1" applyFill="1" applyAlignment="1">
      <alignment horizontal="right"/>
    </xf>
    <xf numFmtId="165" fontId="4" fillId="0" borderId="0" xfId="4" applyNumberFormat="1" applyFont="1" applyFill="1" applyBorder="1"/>
    <xf numFmtId="0" fontId="16" fillId="0" borderId="0" xfId="0" applyFont="1"/>
    <xf numFmtId="2" fontId="4" fillId="0" borderId="0" xfId="0" applyNumberFormat="1" applyFont="1" applyFill="1"/>
    <xf numFmtId="171" fontId="5" fillId="0" borderId="0" xfId="4" applyNumberFormat="1" applyFont="1" applyFill="1" applyAlignment="1">
      <alignment horizontal="center"/>
    </xf>
    <xf numFmtId="165" fontId="3" fillId="2" borderId="0" xfId="0" applyNumberFormat="1" applyFont="1" applyFill="1" applyBorder="1"/>
    <xf numFmtId="165" fontId="12" fillId="2" borderId="0" xfId="0" applyNumberFormat="1" applyFont="1" applyFill="1" applyBorder="1"/>
    <xf numFmtId="10" fontId="3" fillId="2" borderId="0" xfId="1" applyNumberFormat="1" applyFont="1" applyFill="1" applyBorder="1" applyAlignment="1">
      <alignment horizontal="center" vertical="center"/>
    </xf>
    <xf numFmtId="10" fontId="3" fillId="4" borderId="0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/>
    </xf>
  </cellXfs>
  <cellStyles count="7">
    <cellStyle name="Comma 2" xfId="6"/>
    <cellStyle name="Hyperlink" xfId="2" builtinId="8"/>
    <cellStyle name="Normal" xfId="0" builtinId="0"/>
    <cellStyle name="Normal 2" xfId="3"/>
    <cellStyle name="Normal 3" xfId="4"/>
    <cellStyle name="Normal 4" xfId="5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iso.com/Documents/HighVoltageAccessChargeRatesEffectiveJan01_2020_RevisedJan16_202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ce.com/regulatory/open-access-information" TargetMode="External"/><Relationship Id="rId1" Type="http://schemas.openxmlformats.org/officeDocument/2006/relationships/hyperlink" Target="https://elibrary.ferc.gov/idmws/common/opennat.asp?fileID=14660354" TargetMode="External"/><Relationship Id="rId6" Type="http://schemas.openxmlformats.org/officeDocument/2006/relationships/hyperlink" Target="https://elibrary.ferc.gov/idmws/common/OpenNat.asp?fileID=14495819" TargetMode="External"/><Relationship Id="rId5" Type="http://schemas.openxmlformats.org/officeDocument/2006/relationships/hyperlink" Target="https://www.sdge.com/docket-no-er19-221-000-to5-cycle-1-formula-rate-filing" TargetMode="External"/><Relationship Id="rId4" Type="http://schemas.openxmlformats.org/officeDocument/2006/relationships/hyperlink" Target="https://www.pge.com/en_US/about-pge/company-information/regulation/contracts-and-tariffs/contracts-and-tariffs.pag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opLeftCell="A4" zoomScale="90" zoomScaleNormal="90" workbookViewId="0">
      <selection activeCell="H41" sqref="H4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3.7109375" style="1" customWidth="1"/>
    <col min="4" max="4" width="16.85546875" style="3" bestFit="1" customWidth="1"/>
    <col min="5" max="5" width="30.855468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3" x14ac:dyDescent="0.2">
      <c r="A1" s="1" t="s">
        <v>55</v>
      </c>
      <c r="B1" s="1"/>
      <c r="D1" s="1"/>
      <c r="E1" s="1"/>
    </row>
    <row r="2" spans="1:23" x14ac:dyDescent="0.2">
      <c r="A2" s="1" t="s">
        <v>0</v>
      </c>
      <c r="B2" s="1"/>
    </row>
    <row r="3" spans="1:23" s="5" customFormat="1" x14ac:dyDescent="0.2">
      <c r="A3" s="4"/>
      <c r="E3" s="6"/>
      <c r="F3" s="4" t="s">
        <v>3</v>
      </c>
      <c r="H3" s="5">
        <v>2019</v>
      </c>
      <c r="I3" s="5">
        <f>H3+1</f>
        <v>2020</v>
      </c>
      <c r="J3" s="5">
        <f t="shared" ref="J3:W3" si="0">I3+1</f>
        <v>2021</v>
      </c>
      <c r="K3" s="5">
        <f t="shared" si="0"/>
        <v>2022</v>
      </c>
      <c r="L3" s="5">
        <f t="shared" si="0"/>
        <v>2023</v>
      </c>
      <c r="M3" s="5">
        <f t="shared" si="0"/>
        <v>2024</v>
      </c>
      <c r="N3" s="5">
        <f t="shared" si="0"/>
        <v>2025</v>
      </c>
      <c r="O3" s="5">
        <f t="shared" si="0"/>
        <v>2026</v>
      </c>
      <c r="P3" s="5">
        <f t="shared" si="0"/>
        <v>2027</v>
      </c>
      <c r="Q3" s="5">
        <f t="shared" si="0"/>
        <v>2028</v>
      </c>
      <c r="R3" s="5">
        <f t="shared" si="0"/>
        <v>2029</v>
      </c>
      <c r="S3" s="5">
        <f t="shared" si="0"/>
        <v>2030</v>
      </c>
      <c r="T3" s="5">
        <f t="shared" si="0"/>
        <v>2031</v>
      </c>
      <c r="U3" s="5">
        <f t="shared" si="0"/>
        <v>2032</v>
      </c>
      <c r="V3" s="5">
        <f t="shared" si="0"/>
        <v>2033</v>
      </c>
      <c r="W3" s="5">
        <f t="shared" si="0"/>
        <v>2034</v>
      </c>
    </row>
    <row r="4" spans="1:23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1">J4+1</f>
        <v>3</v>
      </c>
      <c r="L4" s="10">
        <f t="shared" si="1"/>
        <v>4</v>
      </c>
      <c r="M4" s="10">
        <f t="shared" si="1"/>
        <v>5</v>
      </c>
      <c r="N4" s="10">
        <f t="shared" si="1"/>
        <v>6</v>
      </c>
      <c r="O4" s="10">
        <f t="shared" si="1"/>
        <v>7</v>
      </c>
      <c r="P4" s="10">
        <f t="shared" si="1"/>
        <v>8</v>
      </c>
      <c r="Q4" s="10">
        <f t="shared" si="1"/>
        <v>9</v>
      </c>
      <c r="R4" s="10">
        <f t="shared" si="1"/>
        <v>10</v>
      </c>
      <c r="S4" s="10">
        <f t="shared" si="1"/>
        <v>11</v>
      </c>
      <c r="T4" s="10">
        <f t="shared" si="1"/>
        <v>12</v>
      </c>
      <c r="U4" s="10">
        <f t="shared" si="1"/>
        <v>13</v>
      </c>
      <c r="V4" s="10">
        <f t="shared" si="1"/>
        <v>14</v>
      </c>
      <c r="W4" s="10">
        <f t="shared" si="1"/>
        <v>15</v>
      </c>
    </row>
    <row r="5" spans="1:23" s="8" customFormat="1" x14ac:dyDescent="0.2">
      <c r="A5" s="4"/>
      <c r="E5" s="9"/>
      <c r="F5" s="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s="8" customFormat="1" x14ac:dyDescent="0.2">
      <c r="A6" s="4"/>
      <c r="C6" s="8" t="s">
        <v>53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8" customFormat="1" x14ac:dyDescent="0.2">
      <c r="A7" s="10">
        <v>1</v>
      </c>
      <c r="D7" s="13" t="s">
        <v>54</v>
      </c>
      <c r="E7" s="9"/>
      <c r="F7" s="17"/>
      <c r="I7" s="12">
        <f>Existing!I83</f>
        <v>2442.1528270000008</v>
      </c>
      <c r="J7" s="12">
        <f>Existing!J83</f>
        <v>2440.8927556056565</v>
      </c>
      <c r="K7" s="12">
        <f>Existing!K83</f>
        <v>2439.6095322802253</v>
      </c>
      <c r="L7" s="12">
        <f>Existing!L83</f>
        <v>2438.302714480054</v>
      </c>
      <c r="M7" s="12">
        <f>Existing!M83</f>
        <v>2436.9718510155649</v>
      </c>
      <c r="N7" s="12">
        <f>Existing!N83</f>
        <v>2435.6164818803886</v>
      </c>
      <c r="O7" s="12">
        <f>Existing!O83</f>
        <v>2434.2361380770967</v>
      </c>
      <c r="P7" s="12">
        <f>Existing!P83</f>
        <v>2432.8303414394736</v>
      </c>
      <c r="Q7" s="12">
        <f>Existing!Q83</f>
        <v>2431.3986044512503</v>
      </c>
      <c r="R7" s="12">
        <f>Existing!R83</f>
        <v>2429.9404300612359</v>
      </c>
      <c r="S7" s="12">
        <f>Existing!S83</f>
        <v>2428.4553114947735</v>
      </c>
      <c r="T7" s="12">
        <f>Existing!T83</f>
        <v>2426.9427320614491</v>
      </c>
      <c r="U7" s="12">
        <f>Existing!U83</f>
        <v>2425.4021649589686</v>
      </c>
      <c r="V7" s="12">
        <f>Existing!V83</f>
        <v>2423.8330730731454</v>
      </c>
      <c r="W7" s="12">
        <f>Existing!W83</f>
        <v>2422.2349087738999</v>
      </c>
    </row>
    <row r="8" spans="1:23" s="8" customFormat="1" x14ac:dyDescent="0.2">
      <c r="A8" s="10">
        <f t="shared" ref="A8:A20" si="2">A7+1</f>
        <v>2</v>
      </c>
      <c r="D8" s="13" t="str">
        <f>Reliability!E1</f>
        <v>Reliability</v>
      </c>
      <c r="E8" s="9"/>
      <c r="F8" s="17"/>
      <c r="I8" s="12">
        <f>Reliability!I89</f>
        <v>10.783616286402813</v>
      </c>
      <c r="J8" s="12">
        <f>Reliability!J89</f>
        <v>43.870200983345285</v>
      </c>
      <c r="K8" s="12">
        <f>Reliability!K89</f>
        <v>89.4982471006835</v>
      </c>
      <c r="L8" s="12">
        <f>Reliability!L89</f>
        <v>150.33660940911946</v>
      </c>
      <c r="M8" s="12">
        <f>Reliability!M89</f>
        <v>220.74584248440217</v>
      </c>
      <c r="N8" s="12">
        <f>Reliability!N89</f>
        <v>307.53217358934211</v>
      </c>
      <c r="O8" s="12">
        <f>Reliability!O89</f>
        <v>383.27345854285727</v>
      </c>
      <c r="P8" s="12">
        <f>Reliability!P89</f>
        <v>388.99432597793646</v>
      </c>
      <c r="Q8" s="12">
        <f>Reliability!Q89</f>
        <v>379.38950836548844</v>
      </c>
      <c r="R8" s="12">
        <f>Reliability!R89</f>
        <v>370.18622219013002</v>
      </c>
      <c r="S8" s="12">
        <f>Reliability!S89</f>
        <v>361.29204685423264</v>
      </c>
      <c r="T8" s="12">
        <f>Reliability!T89</f>
        <v>352.60571920023386</v>
      </c>
      <c r="U8" s="12">
        <f>Reliability!U89</f>
        <v>344.03442560811749</v>
      </c>
      <c r="V8" s="12">
        <f>Reliability!V89</f>
        <v>335.5313574240036</v>
      </c>
      <c r="W8" s="12">
        <f>Reliability!W89</f>
        <v>327.08853190694771</v>
      </c>
    </row>
    <row r="9" spans="1:23" s="8" customFormat="1" x14ac:dyDescent="0.2">
      <c r="A9" s="10">
        <f t="shared" si="2"/>
        <v>3</v>
      </c>
      <c r="D9" s="13" t="str">
        <f>'South CC'!E1</f>
        <v>South CC(Completed)</v>
      </c>
      <c r="E9" s="9"/>
      <c r="F9" s="17"/>
      <c r="I9" s="12">
        <f ca="1">IFERROR(OFFSET(INDIRECT("'"&amp;$D9&amp;"'!G89"),0,MATCH(Summary!I$3,INDIRECT("'"&amp;$D9&amp;"'!$H$3:$W$3"),0)),H9)</f>
        <v>0</v>
      </c>
      <c r="J9" s="12">
        <f ca="1">IFERROR(OFFSET(INDIRECT("'"&amp;$D9&amp;"'!G89"),0,MATCH(Summary!J$3,INDIRECT("'"&amp;$D9&amp;"'!$H$3:$W$3"),0)),I9)</f>
        <v>0</v>
      </c>
      <c r="K9" s="12">
        <f ca="1">IFERROR(OFFSET(INDIRECT("'"&amp;$D9&amp;"'!G89"),0,MATCH(Summary!K$3,INDIRECT("'"&amp;$D9&amp;"'!$H$3:$W$3"),0)),J9)</f>
        <v>0</v>
      </c>
      <c r="L9" s="12">
        <f ca="1">IFERROR(OFFSET(INDIRECT("'"&amp;$D9&amp;"'!G89"),0,MATCH(Summary!L$3,INDIRECT("'"&amp;$D9&amp;"'!$H$3:$W$3"),0)),K9)</f>
        <v>0</v>
      </c>
      <c r="M9" s="12">
        <f ca="1">IFERROR(OFFSET(INDIRECT("'"&amp;$D9&amp;"'!G89"),0,MATCH(Summary!M$3,INDIRECT("'"&amp;$D9&amp;"'!$H$3:$W$3"),0)),L9)</f>
        <v>0</v>
      </c>
      <c r="N9" s="12">
        <f ca="1">IFERROR(OFFSET(INDIRECT("'"&amp;$D9&amp;"'!G89"),0,MATCH(Summary!N$3,INDIRECT("'"&amp;$D9&amp;"'!$H$3:$W$3"),0)),M9)</f>
        <v>0</v>
      </c>
      <c r="O9" s="12">
        <f ca="1">IFERROR(OFFSET(INDIRECT("'"&amp;$D9&amp;"'!G89"),0,MATCH(Summary!O$3,INDIRECT("'"&amp;$D9&amp;"'!$H$3:$W$3"),0)),N9)</f>
        <v>0</v>
      </c>
      <c r="P9" s="12">
        <f ca="1">IFERROR(OFFSET(INDIRECT("'"&amp;$D9&amp;"'!G89"),0,MATCH(Summary!P$3,INDIRECT("'"&amp;$D9&amp;"'!$H$3:$W$3"),0)),O9)</f>
        <v>0</v>
      </c>
      <c r="Q9" s="12">
        <f ca="1">IFERROR(OFFSET(INDIRECT("'"&amp;$D9&amp;"'!G89"),0,MATCH(Summary!Q$3,INDIRECT("'"&amp;$D9&amp;"'!$H$3:$W$3"),0)),P9)</f>
        <v>0</v>
      </c>
      <c r="R9" s="12">
        <f ca="1">IFERROR(OFFSET(INDIRECT("'"&amp;$D9&amp;"'!G89"),0,MATCH(Summary!R$3,INDIRECT("'"&amp;$D9&amp;"'!$H$3:$W$3"),0)),Q9)</f>
        <v>0</v>
      </c>
      <c r="S9" s="12">
        <f ca="1">IFERROR(OFFSET(INDIRECT("'"&amp;$D9&amp;"'!G89"),0,MATCH(Summary!S$3,INDIRECT("'"&amp;$D9&amp;"'!$H$3:$W$3"),0)),R9)</f>
        <v>0</v>
      </c>
      <c r="T9" s="12">
        <f ca="1">IFERROR(OFFSET(INDIRECT("'"&amp;$D9&amp;"'!G89"),0,MATCH(Summary!T$3,INDIRECT("'"&amp;$D9&amp;"'!$H$3:$W$3"),0)),S9)</f>
        <v>0</v>
      </c>
      <c r="U9" s="12">
        <f ca="1">IFERROR(OFFSET(INDIRECT("'"&amp;$D9&amp;"'!G89"),0,MATCH(Summary!U$3,INDIRECT("'"&amp;$D9&amp;"'!$H$3:$W$3"),0)),T9)</f>
        <v>0</v>
      </c>
      <c r="V9" s="12">
        <f ca="1">IFERROR(OFFSET(INDIRECT("'"&amp;$D9&amp;"'!G89"),0,MATCH(Summary!V$3,INDIRECT("'"&amp;$D9&amp;"'!$H$3:$W$3"),0)),U9)</f>
        <v>0</v>
      </c>
      <c r="W9" s="12">
        <f ca="1">IFERROR(OFFSET(INDIRECT("'"&amp;$D9&amp;"'!G89"),0,MATCH(Summary!W$3,INDIRECT("'"&amp;$D9&amp;"'!$H$3:$W$3"),0)),V9)</f>
        <v>0</v>
      </c>
    </row>
    <row r="10" spans="1:23" s="8" customFormat="1" x14ac:dyDescent="0.2">
      <c r="A10" s="10">
        <f t="shared" si="2"/>
        <v>4</v>
      </c>
      <c r="D10" s="13" t="str">
        <f>Tehachapi!E1</f>
        <v>Tehachapi (Completed)</v>
      </c>
      <c r="E10" s="9"/>
      <c r="F10" s="17"/>
      <c r="I10" s="12">
        <f ca="1">IFERROR(OFFSET(INDIRECT("'"&amp;$D10&amp;"'!G89"),0,MATCH(Summary!I$3,INDIRECT("'"&amp;$D10&amp;"'!$H$3:$W$3"),0)),H10)</f>
        <v>0</v>
      </c>
      <c r="J10" s="12">
        <f ca="1">IFERROR(OFFSET(INDIRECT("'"&amp;$D10&amp;"'!G89"),0,MATCH(Summary!J$3,INDIRECT("'"&amp;$D10&amp;"'!$H$3:$W$3"),0)),I10)</f>
        <v>0</v>
      </c>
      <c r="K10" s="12">
        <f ca="1">IFERROR(OFFSET(INDIRECT("'"&amp;$D10&amp;"'!G89"),0,MATCH(Summary!K$3,INDIRECT("'"&amp;$D10&amp;"'!$H$3:$W$3"),0)),J10)</f>
        <v>0</v>
      </c>
      <c r="L10" s="12">
        <f ca="1">IFERROR(OFFSET(INDIRECT("'"&amp;$D10&amp;"'!G89"),0,MATCH(Summary!L$3,INDIRECT("'"&amp;$D10&amp;"'!$H$3:$W$3"),0)),K10)</f>
        <v>0</v>
      </c>
      <c r="M10" s="12">
        <f ca="1">IFERROR(OFFSET(INDIRECT("'"&amp;$D10&amp;"'!G89"),0,MATCH(Summary!M$3,INDIRECT("'"&amp;$D10&amp;"'!$H$3:$W$3"),0)),L10)</f>
        <v>0</v>
      </c>
      <c r="N10" s="12">
        <f ca="1">IFERROR(OFFSET(INDIRECT("'"&amp;$D10&amp;"'!G89"),0,MATCH(Summary!N$3,INDIRECT("'"&amp;$D10&amp;"'!$H$3:$W$3"),0)),M10)</f>
        <v>0</v>
      </c>
      <c r="O10" s="12">
        <f ca="1">IFERROR(OFFSET(INDIRECT("'"&amp;$D10&amp;"'!G89"),0,MATCH(Summary!O$3,INDIRECT("'"&amp;$D10&amp;"'!$H$3:$W$3"),0)),N10)</f>
        <v>0</v>
      </c>
      <c r="P10" s="12">
        <f ca="1">IFERROR(OFFSET(INDIRECT("'"&amp;$D10&amp;"'!G89"),0,MATCH(Summary!P$3,INDIRECT("'"&amp;$D10&amp;"'!$H$3:$W$3"),0)),O10)</f>
        <v>0</v>
      </c>
      <c r="Q10" s="12">
        <f ca="1">IFERROR(OFFSET(INDIRECT("'"&amp;$D10&amp;"'!G89"),0,MATCH(Summary!Q$3,INDIRECT("'"&amp;$D10&amp;"'!$H$3:$W$3"),0)),P10)</f>
        <v>0</v>
      </c>
      <c r="R10" s="12">
        <f ca="1">IFERROR(OFFSET(INDIRECT("'"&amp;$D10&amp;"'!G89"),0,MATCH(Summary!R$3,INDIRECT("'"&amp;$D10&amp;"'!$H$3:$W$3"),0)),Q10)</f>
        <v>0</v>
      </c>
      <c r="S10" s="12">
        <f ca="1">IFERROR(OFFSET(INDIRECT("'"&amp;$D10&amp;"'!G89"),0,MATCH(Summary!S$3,INDIRECT("'"&amp;$D10&amp;"'!$H$3:$W$3"),0)),R10)</f>
        <v>0</v>
      </c>
      <c r="T10" s="12">
        <f ca="1">IFERROR(OFFSET(INDIRECT("'"&amp;$D10&amp;"'!G89"),0,MATCH(Summary!T$3,INDIRECT("'"&amp;$D10&amp;"'!$H$3:$W$3"),0)),S10)</f>
        <v>0</v>
      </c>
      <c r="U10" s="12">
        <f ca="1">IFERROR(OFFSET(INDIRECT("'"&amp;$D10&amp;"'!G89"),0,MATCH(Summary!U$3,INDIRECT("'"&amp;$D10&amp;"'!$H$3:$W$3"),0)),T10)</f>
        <v>0</v>
      </c>
      <c r="V10" s="12">
        <f ca="1">IFERROR(OFFSET(INDIRECT("'"&amp;$D10&amp;"'!G89"),0,MATCH(Summary!V$3,INDIRECT("'"&amp;$D10&amp;"'!$H$3:$W$3"),0)),U10)</f>
        <v>0</v>
      </c>
      <c r="W10" s="12">
        <f ca="1">IFERROR(OFFSET(INDIRECT("'"&amp;$D10&amp;"'!G89"),0,MATCH(Summary!W$3,INDIRECT("'"&amp;$D10&amp;"'!$H$3:$W$3"),0)),V10)</f>
        <v>0</v>
      </c>
    </row>
    <row r="11" spans="1:23" s="8" customFormat="1" x14ac:dyDescent="0.2">
      <c r="A11" s="10">
        <f t="shared" si="2"/>
        <v>5</v>
      </c>
      <c r="D11" s="13" t="str">
        <f>WOD!E1</f>
        <v>WOD</v>
      </c>
      <c r="E11" s="9"/>
      <c r="F11" s="17"/>
      <c r="I11" s="12">
        <f ca="1">IFERROR(OFFSET(INDIRECT("'"&amp;$D11&amp;"'!G89"),0,MATCH(Summary!I$3,INDIRECT("'"&amp;$D11&amp;"'!$H$3:$W$3"),0)),H11)</f>
        <v>0</v>
      </c>
      <c r="J11" s="12">
        <f ca="1">IFERROR(OFFSET(INDIRECT("'"&amp;$D11&amp;"'!G89"),0,MATCH(Summary!J$3,INDIRECT("'"&amp;$D11&amp;"'!$H$3:$W$3"),0)),I11)</f>
        <v>4.7774065685292273</v>
      </c>
      <c r="K11" s="12">
        <f ca="1">IFERROR(OFFSET(INDIRECT("'"&amp;$D11&amp;"'!G89"),0,MATCH(Summary!K$3,INDIRECT("'"&amp;$D11&amp;"'!$H$3:$W$3"),0)),J11)</f>
        <v>18.206743025035419</v>
      </c>
      <c r="L11" s="12">
        <f ca="1">IFERROR(OFFSET(INDIRECT("'"&amp;$D11&amp;"'!G89"),0,MATCH(Summary!L$3,INDIRECT("'"&amp;$D11&amp;"'!$H$3:$W$3"),0)),K11)</f>
        <v>30.561622904208757</v>
      </c>
      <c r="M11" s="12">
        <f ca="1">IFERROR(OFFSET(INDIRECT("'"&amp;$D11&amp;"'!G89"),0,MATCH(Summary!M$3,INDIRECT("'"&amp;$D11&amp;"'!$H$3:$W$3"),0)),L11)</f>
        <v>29.753599809300429</v>
      </c>
      <c r="N11" s="12">
        <f ca="1">IFERROR(OFFSET(INDIRECT("'"&amp;$D11&amp;"'!G89"),0,MATCH(Summary!N$3,INDIRECT("'"&amp;$D11&amp;"'!$H$3:$W$3"),0)),M11)</f>
        <v>28.99285195009897</v>
      </c>
      <c r="O11" s="12">
        <f ca="1">IFERROR(OFFSET(INDIRECT("'"&amp;$D11&amp;"'!G89"),0,MATCH(Summary!O$3,INDIRECT("'"&amp;$D11&amp;"'!$H$3:$W$3"),0)),N11)</f>
        <v>28.275035139393889</v>
      </c>
      <c r="P11" s="12">
        <f ca="1">IFERROR(OFFSET(INDIRECT("'"&amp;$D11&amp;"'!G89"),0,MATCH(Summary!P$3,INDIRECT("'"&amp;$D11&amp;"'!$H$3:$W$3"),0)),O11)</f>
        <v>27.596234421309337</v>
      </c>
      <c r="Q11" s="12">
        <f ca="1">IFERROR(OFFSET(INDIRECT("'"&amp;$D11&amp;"'!G89"),0,MATCH(Summary!Q$3,INDIRECT("'"&amp;$D11&amp;"'!$H$3:$W$3"),0)),P11)</f>
        <v>26.946061794069557</v>
      </c>
      <c r="R11" s="12">
        <f ca="1">IFERROR(OFFSET(INDIRECT("'"&amp;$D11&amp;"'!G89"),0,MATCH(Summary!R$3,INDIRECT("'"&amp;$D11&amp;"'!$H$3:$W$3"),0)),Q11)</f>
        <v>26.308304032190769</v>
      </c>
      <c r="S11" s="12">
        <f ca="1">IFERROR(OFFSET(INDIRECT("'"&amp;$D11&amp;"'!G89"),0,MATCH(Summary!S$3,INDIRECT("'"&amp;$D11&amp;"'!$H$3:$W$3"),0)),R11)</f>
        <v>25.675225492395214</v>
      </c>
      <c r="T11" s="12">
        <f ca="1">IFERROR(OFFSET(INDIRECT("'"&amp;$D11&amp;"'!G89"),0,MATCH(Summary!T$3,INDIRECT("'"&amp;$D11&amp;"'!$H$3:$W$3"),0)),S11)</f>
        <v>25.046720833762272</v>
      </c>
      <c r="U11" s="12">
        <f ca="1">IFERROR(OFFSET(INDIRECT("'"&amp;$D11&amp;"'!G89"),0,MATCH(Summary!U$3,INDIRECT("'"&amp;$D11&amp;"'!$H$3:$W$3"),0)),T11)</f>
        <v>24.422692554821055</v>
      </c>
      <c r="V11" s="12">
        <f ca="1">IFERROR(OFFSET(INDIRECT("'"&amp;$D11&amp;"'!G89"),0,MATCH(Summary!V$3,INDIRECT("'"&amp;$D11&amp;"'!$H$3:$W$3"),0)),U11)</f>
        <v>23.803050653025942</v>
      </c>
      <c r="W11" s="12">
        <f ca="1">IFERROR(OFFSET(INDIRECT("'"&amp;$D11&amp;"'!G89"),0,MATCH(Summary!W$3,INDIRECT("'"&amp;$D11&amp;"'!$H$3:$W$3"),0)),V11)</f>
        <v>23.187712302287395</v>
      </c>
    </row>
    <row r="12" spans="1:23" s="8" customFormat="1" x14ac:dyDescent="0.2">
      <c r="A12" s="10">
        <f t="shared" si="2"/>
        <v>6</v>
      </c>
      <c r="D12" s="13" t="str">
        <f>'CW-Lugo'!E1</f>
        <v>CW-Lugo(Completed)</v>
      </c>
      <c r="E12" s="9"/>
      <c r="F12" s="17"/>
      <c r="I12" s="12">
        <f ca="1">IFERROR(OFFSET(INDIRECT("'"&amp;$D12&amp;"'!G89"),0,MATCH(Summary!I$3,INDIRECT("'"&amp;$D12&amp;"'!$H$3:$W$3"),0)),H12)</f>
        <v>0</v>
      </c>
      <c r="J12" s="12">
        <f ca="1">IFERROR(OFFSET(INDIRECT("'"&amp;$D12&amp;"'!G89"),0,MATCH(Summary!J$3,INDIRECT("'"&amp;$D12&amp;"'!$H$3:$W$3"),0)),I12)</f>
        <v>0</v>
      </c>
      <c r="K12" s="12">
        <f ca="1">IFERROR(OFFSET(INDIRECT("'"&amp;$D12&amp;"'!G89"),0,MATCH(Summary!K$3,INDIRECT("'"&amp;$D12&amp;"'!$H$3:$W$3"),0)),J12)</f>
        <v>0</v>
      </c>
      <c r="L12" s="12">
        <f ca="1">IFERROR(OFFSET(INDIRECT("'"&amp;$D12&amp;"'!G89"),0,MATCH(Summary!L$3,INDIRECT("'"&amp;$D12&amp;"'!$H$3:$W$3"),0)),K12)</f>
        <v>0</v>
      </c>
      <c r="M12" s="12">
        <f ca="1">IFERROR(OFFSET(INDIRECT("'"&amp;$D12&amp;"'!G89"),0,MATCH(Summary!M$3,INDIRECT("'"&amp;$D12&amp;"'!$H$3:$W$3"),0)),L12)</f>
        <v>0</v>
      </c>
      <c r="N12" s="12">
        <f ca="1">IFERROR(OFFSET(INDIRECT("'"&amp;$D12&amp;"'!G89"),0,MATCH(Summary!N$3,INDIRECT("'"&amp;$D12&amp;"'!$H$3:$W$3"),0)),M12)</f>
        <v>0</v>
      </c>
      <c r="O12" s="12">
        <f ca="1">IFERROR(OFFSET(INDIRECT("'"&amp;$D12&amp;"'!G89"),0,MATCH(Summary!O$3,INDIRECT("'"&amp;$D12&amp;"'!$H$3:$W$3"),0)),N12)</f>
        <v>0</v>
      </c>
      <c r="P12" s="12">
        <f ca="1">IFERROR(OFFSET(INDIRECT("'"&amp;$D12&amp;"'!G89"),0,MATCH(Summary!P$3,INDIRECT("'"&amp;$D12&amp;"'!$H$3:$W$3"),0)),O12)</f>
        <v>0</v>
      </c>
      <c r="Q12" s="12">
        <f ca="1">IFERROR(OFFSET(INDIRECT("'"&amp;$D12&amp;"'!G89"),0,MATCH(Summary!Q$3,INDIRECT("'"&amp;$D12&amp;"'!$H$3:$W$3"),0)),P12)</f>
        <v>0</v>
      </c>
      <c r="R12" s="12">
        <f ca="1">IFERROR(OFFSET(INDIRECT("'"&amp;$D12&amp;"'!G89"),0,MATCH(Summary!R$3,INDIRECT("'"&amp;$D12&amp;"'!$H$3:$W$3"),0)),Q12)</f>
        <v>0</v>
      </c>
      <c r="S12" s="12">
        <f ca="1">IFERROR(OFFSET(INDIRECT("'"&amp;$D12&amp;"'!G89"),0,MATCH(Summary!S$3,INDIRECT("'"&amp;$D12&amp;"'!$H$3:$W$3"),0)),R12)</f>
        <v>0</v>
      </c>
      <c r="T12" s="12">
        <f ca="1">IFERROR(OFFSET(INDIRECT("'"&amp;$D12&amp;"'!G89"),0,MATCH(Summary!T$3,INDIRECT("'"&amp;$D12&amp;"'!$H$3:$W$3"),0)),S12)</f>
        <v>0</v>
      </c>
      <c r="U12" s="12">
        <f ca="1">IFERROR(OFFSET(INDIRECT("'"&amp;$D12&amp;"'!G89"),0,MATCH(Summary!U$3,INDIRECT("'"&amp;$D12&amp;"'!$H$3:$W$3"),0)),T12)</f>
        <v>0</v>
      </c>
      <c r="V12" s="12">
        <f ca="1">IFERROR(OFFSET(INDIRECT("'"&amp;$D12&amp;"'!G89"),0,MATCH(Summary!V$3,INDIRECT("'"&amp;$D12&amp;"'!$H$3:$W$3"),0)),U12)</f>
        <v>0</v>
      </c>
      <c r="W12" s="12">
        <f ca="1">IFERROR(OFFSET(INDIRECT("'"&amp;$D12&amp;"'!G89"),0,MATCH(Summary!W$3,INDIRECT("'"&amp;$D12&amp;"'!$H$3:$W$3"),0)),V12)</f>
        <v>0</v>
      </c>
    </row>
    <row r="13" spans="1:23" s="8" customFormat="1" x14ac:dyDescent="0.2">
      <c r="A13" s="10">
        <f t="shared" si="2"/>
        <v>7</v>
      </c>
      <c r="D13" s="13" t="str">
        <f>'2019-20 Policy and Econ'!E1</f>
        <v>2019-20 Policy and Econ</v>
      </c>
      <c r="E13" s="9"/>
      <c r="F13" s="17"/>
      <c r="I13" s="12">
        <f>'2019-20 Policy and Econ'!I89</f>
        <v>20.464143743201038</v>
      </c>
      <c r="J13" s="12">
        <f>'2019-20 Policy and Econ'!J89</f>
        <v>69.273453139192867</v>
      </c>
      <c r="K13" s="12">
        <f>'2019-20 Policy and Econ'!K89</f>
        <v>102.33571423279537</v>
      </c>
      <c r="L13" s="12">
        <f>'2019-20 Policy and Econ'!L89</f>
        <v>106.66291016899926</v>
      </c>
      <c r="M13" s="12">
        <f>'2019-20 Policy and Econ'!M89</f>
        <v>108.85584994090341</v>
      </c>
      <c r="N13" s="12">
        <f>'2019-20 Policy and Econ'!N89</f>
        <v>112.46249401930613</v>
      </c>
      <c r="O13" s="12">
        <f>'2019-20 Policy and Econ'!O89</f>
        <v>109.74584322137062</v>
      </c>
      <c r="P13" s="12">
        <f>'2019-20 Policy and Econ'!P89</f>
        <v>107.12915616974881</v>
      </c>
      <c r="Q13" s="12">
        <f>'2019-20 Policy and Econ'!Q89</f>
        <v>104.56753567211882</v>
      </c>
      <c r="R13" s="12">
        <f>'2019-20 Policy and Econ'!R89</f>
        <v>102.03986047537562</v>
      </c>
      <c r="S13" s="12">
        <f>'2019-20 Policy and Econ'!S89</f>
        <v>99.538936368632548</v>
      </c>
      <c r="T13" s="12">
        <f>'2019-20 Policy and Econ'!T89</f>
        <v>97.058560895929475</v>
      </c>
      <c r="U13" s="12">
        <f>'2019-20 Policy and Econ'!U89</f>
        <v>94.595635380516669</v>
      </c>
      <c r="V13" s="12">
        <f>'2019-20 Policy and Econ'!V89</f>
        <v>92.149830086170425</v>
      </c>
      <c r="W13" s="12">
        <f>'2019-20 Policy and Econ'!W89</f>
        <v>89.720842618711032</v>
      </c>
    </row>
    <row r="14" spans="1:23" s="8" customFormat="1" x14ac:dyDescent="0.2">
      <c r="A14" s="10">
        <f t="shared" si="2"/>
        <v>8</v>
      </c>
      <c r="D14" s="13" t="str">
        <f>ClrdoRvr!E1</f>
        <v>ClrdoRvr</v>
      </c>
      <c r="E14" s="9"/>
      <c r="F14" s="17"/>
      <c r="I14" s="12">
        <f>ClrdoRvr!I89</f>
        <v>0</v>
      </c>
      <c r="J14" s="12">
        <f>ClrdoRvr!J89</f>
        <v>0.71009440134726542</v>
      </c>
      <c r="K14" s="12">
        <f>ClrdoRvr!K89</f>
        <v>2.6129341539512918</v>
      </c>
      <c r="L14" s="12">
        <f>ClrdoRvr!L89</f>
        <v>4.3303607110124913</v>
      </c>
      <c r="M14" s="12">
        <f>ClrdoRvr!M89</f>
        <v>4.2158696882435436</v>
      </c>
      <c r="N14" s="12">
        <f>ClrdoRvr!N89</f>
        <v>4.1080772241195529</v>
      </c>
      <c r="O14" s="12">
        <f>ClrdoRvr!O89</f>
        <v>4.0063677787630532</v>
      </c>
      <c r="P14" s="12">
        <f>ClrdoRvr!P89</f>
        <v>3.9101866312692257</v>
      </c>
      <c r="Q14" s="12">
        <f>ClrdoRvr!Q89</f>
        <v>3.8180618769916266</v>
      </c>
      <c r="R14" s="12">
        <f>ClrdoRvr!R89</f>
        <v>3.7276962192567806</v>
      </c>
      <c r="S14" s="12">
        <f>ClrdoRvr!S89</f>
        <v>3.6379935734153421</v>
      </c>
      <c r="T14" s="12">
        <f>ClrdoRvr!T89</f>
        <v>3.5489390134214873</v>
      </c>
      <c r="U14" s="12">
        <f>ClrdoRvr!U89</f>
        <v>3.4605187240226654</v>
      </c>
      <c r="V14" s="12">
        <f>ClrdoRvr!V89</f>
        <v>3.3727199525097475</v>
      </c>
      <c r="W14" s="12">
        <f>ClrdoRvr!W89</f>
        <v>3.2855309630254714</v>
      </c>
    </row>
    <row r="15" spans="1:23" s="8" customFormat="1" x14ac:dyDescent="0.2">
      <c r="A15" s="10">
        <f t="shared" si="2"/>
        <v>9</v>
      </c>
      <c r="D15" s="13" t="str">
        <f>'Red Bluff 2AA Bank'!E1</f>
        <v>Red Bluff 2nd 'AA' Bank</v>
      </c>
      <c r="E15" s="9"/>
      <c r="F15" s="17"/>
      <c r="I15" s="12">
        <f>'Red Bluff 2AA Bank'!I89</f>
        <v>0</v>
      </c>
      <c r="J15" s="12">
        <f>'Red Bluff 2AA Bank'!J89</f>
        <v>0</v>
      </c>
      <c r="K15" s="12">
        <f>'Red Bluff 2AA Bank'!K89</f>
        <v>2.2886196849776699</v>
      </c>
      <c r="L15" s="12">
        <f>'Red Bluff 2AA Bank'!L89</f>
        <v>5.2082939473566041</v>
      </c>
      <c r="M15" s="12">
        <f>'Red Bluff 2AA Bank'!M89</f>
        <v>5.070591122878791</v>
      </c>
      <c r="N15" s="12">
        <f>'Red Bluff 2AA Bank'!N89</f>
        <v>4.940944916492354</v>
      </c>
      <c r="O15" s="12">
        <f>'Red Bluff 2AA Bank'!O89</f>
        <v>4.8186149943470484</v>
      </c>
      <c r="P15" s="12">
        <f>'Red Bluff 2AA Bank'!P89</f>
        <v>4.7029341719462767</v>
      </c>
      <c r="Q15" s="12">
        <f>'Red Bluff 2AA Bank'!Q89</f>
        <v>4.5921321320872117</v>
      </c>
      <c r="R15" s="12">
        <f>'Red Bluff 2AA Bank'!R89</f>
        <v>4.4834458263408132</v>
      </c>
      <c r="S15" s="12">
        <f>'Red Bluff 2AA Bank'!S89</f>
        <v>4.3755569508922356</v>
      </c>
      <c r="T15" s="12">
        <f>'Red Bluff 2AA Bank'!T89</f>
        <v>4.2684475536032398</v>
      </c>
      <c r="U15" s="12">
        <f>'Red Bluff 2AA Bank'!U89</f>
        <v>4.1621010183300324</v>
      </c>
      <c r="V15" s="12">
        <f>'Red Bluff 2AA Bank'!V89</f>
        <v>4.0565020068912911</v>
      </c>
      <c r="W15" s="12">
        <f>'Red Bluff 2AA Bank'!W89</f>
        <v>3.9516364041131529</v>
      </c>
    </row>
    <row r="16" spans="1:23" s="8" customFormat="1" x14ac:dyDescent="0.2">
      <c r="A16" s="10">
        <f t="shared" si="2"/>
        <v>10</v>
      </c>
      <c r="D16" s="13" t="str">
        <f>Calcite!E1</f>
        <v>Calcite</v>
      </c>
      <c r="E16" s="9"/>
      <c r="F16" s="17"/>
      <c r="I16" s="12">
        <f>Calcite!I89</f>
        <v>0</v>
      </c>
      <c r="J16" s="12">
        <f>Calcite!J89</f>
        <v>0.9589034468573262</v>
      </c>
      <c r="K16" s="12">
        <f>Calcite!K89</f>
        <v>3.0112358961637207</v>
      </c>
      <c r="L16" s="12">
        <f>Calcite!L89</f>
        <v>5.72371014147644</v>
      </c>
      <c r="M16" s="12">
        <f>Calcite!M89</f>
        <v>8.3550859664898294</v>
      </c>
      <c r="N16" s="12">
        <f>Calcite!N89</f>
        <v>8.1341846602330055</v>
      </c>
      <c r="O16" s="12">
        <f>Calcite!O89</f>
        <v>7.9262076891678959</v>
      </c>
      <c r="P16" s="12">
        <f>Calcite!P89</f>
        <v>7.7299674181446418</v>
      </c>
      <c r="Q16" s="12">
        <f>Calcite!Q89</f>
        <v>7.5443935573752761</v>
      </c>
      <c r="R16" s="12">
        <f>Calcite!R89</f>
        <v>7.3666461841198201</v>
      </c>
      <c r="S16" s="12">
        <f>Calcite!S89</f>
        <v>7.1922928474859997</v>
      </c>
      <c r="T16" s="12">
        <f>Calcite!T89</f>
        <v>7.019218739474435</v>
      </c>
      <c r="U16" s="12">
        <f>Calcite!U89</f>
        <v>6.8473950614689576</v>
      </c>
      <c r="V16" s="12">
        <f>Calcite!V89</f>
        <v>6.6767951580405116</v>
      </c>
      <c r="W16" s="12">
        <f>Calcite!W89</f>
        <v>6.507394423852916</v>
      </c>
    </row>
    <row r="17" spans="1:25" s="8" customFormat="1" x14ac:dyDescent="0.2">
      <c r="A17" s="10">
        <f t="shared" si="2"/>
        <v>11</v>
      </c>
      <c r="D17" s="13" t="str">
        <f>'New Project 10'!E1</f>
        <v>New Project 10</v>
      </c>
      <c r="E17" s="9"/>
      <c r="F17" s="17"/>
      <c r="I17" s="12">
        <f ca="1">IFERROR(OFFSET(INDIRECT("'"&amp;$D17&amp;"'!G89"),0,MATCH(Summary!I$3,INDIRECT("'"&amp;$D17&amp;"'!$H$3:$W$3"),0)),H17)</f>
        <v>0</v>
      </c>
      <c r="J17" s="12">
        <f ca="1">IFERROR(OFFSET(INDIRECT("'"&amp;$D17&amp;"'!G89"),0,MATCH(Summary!J$3,INDIRECT("'"&amp;$D17&amp;"'!$H$3:$W$3"),0)),I17)</f>
        <v>0</v>
      </c>
      <c r="K17" s="12">
        <f ca="1">IFERROR(OFFSET(INDIRECT("'"&amp;$D17&amp;"'!G89"),0,MATCH(Summary!K$3,INDIRECT("'"&amp;$D17&amp;"'!$H$3:$W$3"),0)),J17)</f>
        <v>0</v>
      </c>
      <c r="L17" s="12">
        <f ca="1">IFERROR(OFFSET(INDIRECT("'"&amp;$D17&amp;"'!G89"),0,MATCH(Summary!L$3,INDIRECT("'"&amp;$D17&amp;"'!$H$3:$W$3"),0)),K17)</f>
        <v>0</v>
      </c>
      <c r="M17" s="12">
        <f ca="1">IFERROR(OFFSET(INDIRECT("'"&amp;$D17&amp;"'!G89"),0,MATCH(Summary!M$3,INDIRECT("'"&amp;$D17&amp;"'!$H$3:$W$3"),0)),L17)</f>
        <v>0</v>
      </c>
      <c r="N17" s="12">
        <f ca="1">IFERROR(OFFSET(INDIRECT("'"&amp;$D17&amp;"'!G89"),0,MATCH(Summary!N$3,INDIRECT("'"&amp;$D17&amp;"'!$H$3:$W$3"),0)),M17)</f>
        <v>0</v>
      </c>
      <c r="O17" s="12">
        <f ca="1">IFERROR(OFFSET(INDIRECT("'"&amp;$D17&amp;"'!G89"),0,MATCH(Summary!O$3,INDIRECT("'"&amp;$D17&amp;"'!$H$3:$W$3"),0)),N17)</f>
        <v>0</v>
      </c>
      <c r="P17" s="12">
        <f ca="1">IFERROR(OFFSET(INDIRECT("'"&amp;$D17&amp;"'!G89"),0,MATCH(Summary!P$3,INDIRECT("'"&amp;$D17&amp;"'!$H$3:$W$3"),0)),O17)</f>
        <v>0</v>
      </c>
      <c r="Q17" s="12">
        <f ca="1">IFERROR(OFFSET(INDIRECT("'"&amp;$D17&amp;"'!G89"),0,MATCH(Summary!Q$3,INDIRECT("'"&amp;$D17&amp;"'!$H$3:$W$3"),0)),P17)</f>
        <v>0</v>
      </c>
      <c r="R17" s="12">
        <f ca="1">IFERROR(OFFSET(INDIRECT("'"&amp;$D17&amp;"'!G89"),0,MATCH(Summary!R$3,INDIRECT("'"&amp;$D17&amp;"'!$H$3:$W$3"),0)),Q17)</f>
        <v>0</v>
      </c>
      <c r="S17" s="12">
        <f ca="1">IFERROR(OFFSET(INDIRECT("'"&amp;$D17&amp;"'!G89"),0,MATCH(Summary!S$3,INDIRECT("'"&amp;$D17&amp;"'!$H$3:$W$3"),0)),R17)</f>
        <v>0</v>
      </c>
      <c r="T17" s="12">
        <f ca="1">IFERROR(OFFSET(INDIRECT("'"&amp;$D17&amp;"'!G89"),0,MATCH(Summary!T$3,INDIRECT("'"&amp;$D17&amp;"'!$H$3:$W$3"),0)),S17)</f>
        <v>0</v>
      </c>
      <c r="U17" s="12">
        <f ca="1">IFERROR(OFFSET(INDIRECT("'"&amp;$D17&amp;"'!G89"),0,MATCH(Summary!U$3,INDIRECT("'"&amp;$D17&amp;"'!$H$3:$W$3"),0)),T17)</f>
        <v>0</v>
      </c>
      <c r="V17" s="12">
        <f ca="1">IFERROR(OFFSET(INDIRECT("'"&amp;$D17&amp;"'!G89"),0,MATCH(Summary!V$3,INDIRECT("'"&amp;$D17&amp;"'!$H$3:$W$3"),0)),U17)</f>
        <v>0</v>
      </c>
      <c r="W17" s="12">
        <f ca="1">IFERROR(OFFSET(INDIRECT("'"&amp;$D17&amp;"'!G89"),0,MATCH(Summary!W$3,INDIRECT("'"&amp;$D17&amp;"'!$H$3:$W$3"),0)),V17)</f>
        <v>0</v>
      </c>
    </row>
    <row r="18" spans="1:25" s="8" customFormat="1" x14ac:dyDescent="0.2">
      <c r="A18" s="10">
        <f>A17+1</f>
        <v>12</v>
      </c>
      <c r="D18" s="13" t="str">
        <f>'New Project 11'!E1</f>
        <v>New Project 11</v>
      </c>
      <c r="E18" s="9"/>
      <c r="F18" s="17"/>
      <c r="I18" s="12">
        <f ca="1">IFERROR(OFFSET(INDIRECT("'"&amp;$D18&amp;"'!G89"),0,MATCH(Summary!I$3,INDIRECT("'"&amp;$D18&amp;"'!$H$3:$W$3"),0)),H18)</f>
        <v>0</v>
      </c>
      <c r="J18" s="12">
        <f ca="1">IFERROR(OFFSET(INDIRECT("'"&amp;$D18&amp;"'!G89"),0,MATCH(Summary!J$3,INDIRECT("'"&amp;$D18&amp;"'!$H$3:$W$3"),0)),I18)</f>
        <v>0</v>
      </c>
      <c r="K18" s="12">
        <f ca="1">IFERROR(OFFSET(INDIRECT("'"&amp;$D18&amp;"'!G89"),0,MATCH(Summary!K$3,INDIRECT("'"&amp;$D18&amp;"'!$H$3:$W$3"),0)),J18)</f>
        <v>0</v>
      </c>
      <c r="L18" s="12">
        <f ca="1">IFERROR(OFFSET(INDIRECT("'"&amp;$D18&amp;"'!G89"),0,MATCH(Summary!L$3,INDIRECT("'"&amp;$D18&amp;"'!$H$3:$W$3"),0)),K18)</f>
        <v>0</v>
      </c>
      <c r="M18" s="12">
        <f ca="1">IFERROR(OFFSET(INDIRECT("'"&amp;$D18&amp;"'!G89"),0,MATCH(Summary!M$3,INDIRECT("'"&amp;$D18&amp;"'!$H$3:$W$3"),0)),L18)</f>
        <v>0</v>
      </c>
      <c r="N18" s="12">
        <f ca="1">IFERROR(OFFSET(INDIRECT("'"&amp;$D18&amp;"'!G89"),0,MATCH(Summary!N$3,INDIRECT("'"&amp;$D18&amp;"'!$H$3:$W$3"),0)),M18)</f>
        <v>0</v>
      </c>
      <c r="O18" s="12">
        <f ca="1">IFERROR(OFFSET(INDIRECT("'"&amp;$D18&amp;"'!G89"),0,MATCH(Summary!O$3,INDIRECT("'"&amp;$D18&amp;"'!$H$3:$W$3"),0)),N18)</f>
        <v>0</v>
      </c>
      <c r="P18" s="12">
        <f ca="1">IFERROR(OFFSET(INDIRECT("'"&amp;$D18&amp;"'!G89"),0,MATCH(Summary!P$3,INDIRECT("'"&amp;$D18&amp;"'!$H$3:$W$3"),0)),O18)</f>
        <v>0</v>
      </c>
      <c r="Q18" s="12">
        <f ca="1">IFERROR(OFFSET(INDIRECT("'"&amp;$D18&amp;"'!G89"),0,MATCH(Summary!Q$3,INDIRECT("'"&amp;$D18&amp;"'!$H$3:$W$3"),0)),P18)</f>
        <v>0</v>
      </c>
      <c r="R18" s="12">
        <f ca="1">IFERROR(OFFSET(INDIRECT("'"&amp;$D18&amp;"'!G89"),0,MATCH(Summary!R$3,INDIRECT("'"&amp;$D18&amp;"'!$H$3:$W$3"),0)),Q18)</f>
        <v>0</v>
      </c>
      <c r="S18" s="12">
        <f ca="1">IFERROR(OFFSET(INDIRECT("'"&amp;$D18&amp;"'!G89"),0,MATCH(Summary!S$3,INDIRECT("'"&amp;$D18&amp;"'!$H$3:$W$3"),0)),R18)</f>
        <v>0</v>
      </c>
      <c r="T18" s="12">
        <f ca="1">IFERROR(OFFSET(INDIRECT("'"&amp;$D18&amp;"'!G89"),0,MATCH(Summary!T$3,INDIRECT("'"&amp;$D18&amp;"'!$H$3:$W$3"),0)),S18)</f>
        <v>0</v>
      </c>
      <c r="U18" s="12">
        <f ca="1">IFERROR(OFFSET(INDIRECT("'"&amp;$D18&amp;"'!G89"),0,MATCH(Summary!U$3,INDIRECT("'"&amp;$D18&amp;"'!$H$3:$W$3"),0)),T18)</f>
        <v>0</v>
      </c>
      <c r="V18" s="12">
        <f ca="1">IFERROR(OFFSET(INDIRECT("'"&amp;$D18&amp;"'!G89"),0,MATCH(Summary!V$3,INDIRECT("'"&amp;$D18&amp;"'!$H$3:$W$3"),0)),U18)</f>
        <v>0</v>
      </c>
      <c r="W18" s="12">
        <f ca="1">IFERROR(OFFSET(INDIRECT("'"&amp;$D18&amp;"'!G89"),0,MATCH(Summary!W$3,INDIRECT("'"&amp;$D18&amp;"'!$H$3:$W$3"),0)),V18)</f>
        <v>0</v>
      </c>
    </row>
    <row r="19" spans="1:25" s="8" customFormat="1" x14ac:dyDescent="0.2">
      <c r="A19" s="10">
        <f t="shared" si="2"/>
        <v>13</v>
      </c>
      <c r="D19" s="13" t="str">
        <f>'New Project 12'!E1</f>
        <v>New Project 12</v>
      </c>
      <c r="E19" s="9"/>
      <c r="F19" s="17"/>
      <c r="I19" s="12">
        <f ca="1">IFERROR(OFFSET(INDIRECT("'"&amp;$D19&amp;"'!G89"),0,MATCH(Summary!I$3,INDIRECT("'"&amp;$D19&amp;"'!$H$3:$W$3"),0)),H19)</f>
        <v>0</v>
      </c>
      <c r="J19" s="12">
        <f ca="1">IFERROR(OFFSET(INDIRECT("'"&amp;$D19&amp;"'!G89"),0,MATCH(Summary!J$3,INDIRECT("'"&amp;$D19&amp;"'!$H$3:$W$3"),0)),I19)</f>
        <v>0</v>
      </c>
      <c r="K19" s="12">
        <f ca="1">IFERROR(OFFSET(INDIRECT("'"&amp;$D19&amp;"'!G89"),0,MATCH(Summary!K$3,INDIRECT("'"&amp;$D19&amp;"'!$H$3:$W$3"),0)),J19)</f>
        <v>0</v>
      </c>
      <c r="L19" s="12">
        <f ca="1">IFERROR(OFFSET(INDIRECT("'"&amp;$D19&amp;"'!G89"),0,MATCH(Summary!L$3,INDIRECT("'"&amp;$D19&amp;"'!$H$3:$W$3"),0)),K19)</f>
        <v>0</v>
      </c>
      <c r="M19" s="12">
        <f ca="1">IFERROR(OFFSET(INDIRECT("'"&amp;$D19&amp;"'!G89"),0,MATCH(Summary!M$3,INDIRECT("'"&amp;$D19&amp;"'!$H$3:$W$3"),0)),L19)</f>
        <v>0</v>
      </c>
      <c r="N19" s="12">
        <f ca="1">IFERROR(OFFSET(INDIRECT("'"&amp;$D19&amp;"'!G89"),0,MATCH(Summary!N$3,INDIRECT("'"&amp;$D19&amp;"'!$H$3:$W$3"),0)),M19)</f>
        <v>0</v>
      </c>
      <c r="O19" s="12">
        <f ca="1">IFERROR(OFFSET(INDIRECT("'"&amp;$D19&amp;"'!G89"),0,MATCH(Summary!O$3,INDIRECT("'"&amp;$D19&amp;"'!$H$3:$W$3"),0)),N19)</f>
        <v>0</v>
      </c>
      <c r="P19" s="12">
        <f ca="1">IFERROR(OFFSET(INDIRECT("'"&amp;$D19&amp;"'!G89"),0,MATCH(Summary!P$3,INDIRECT("'"&amp;$D19&amp;"'!$H$3:$W$3"),0)),O19)</f>
        <v>0</v>
      </c>
      <c r="Q19" s="12">
        <f ca="1">IFERROR(OFFSET(INDIRECT("'"&amp;$D19&amp;"'!G89"),0,MATCH(Summary!Q$3,INDIRECT("'"&amp;$D19&amp;"'!$H$3:$W$3"),0)),P19)</f>
        <v>0</v>
      </c>
      <c r="R19" s="12">
        <f ca="1">IFERROR(OFFSET(INDIRECT("'"&amp;$D19&amp;"'!G89"),0,MATCH(Summary!R$3,INDIRECT("'"&amp;$D19&amp;"'!$H$3:$W$3"),0)),Q19)</f>
        <v>0</v>
      </c>
      <c r="S19" s="12">
        <f ca="1">IFERROR(OFFSET(INDIRECT("'"&amp;$D19&amp;"'!G89"),0,MATCH(Summary!S$3,INDIRECT("'"&amp;$D19&amp;"'!$H$3:$W$3"),0)),R19)</f>
        <v>0</v>
      </c>
      <c r="T19" s="12">
        <f ca="1">IFERROR(OFFSET(INDIRECT("'"&amp;$D19&amp;"'!G89"),0,MATCH(Summary!T$3,INDIRECT("'"&amp;$D19&amp;"'!$H$3:$W$3"),0)),S19)</f>
        <v>0</v>
      </c>
      <c r="U19" s="12">
        <f ca="1">IFERROR(OFFSET(INDIRECT("'"&amp;$D19&amp;"'!G89"),0,MATCH(Summary!U$3,INDIRECT("'"&amp;$D19&amp;"'!$H$3:$W$3"),0)),T19)</f>
        <v>0</v>
      </c>
      <c r="V19" s="12">
        <f ca="1">IFERROR(OFFSET(INDIRECT("'"&amp;$D19&amp;"'!G89"),0,MATCH(Summary!V$3,INDIRECT("'"&amp;$D19&amp;"'!$H$3:$W$3"),0)),U19)</f>
        <v>0</v>
      </c>
      <c r="W19" s="12">
        <f ca="1">IFERROR(OFFSET(INDIRECT("'"&amp;$D19&amp;"'!G89"),0,MATCH(Summary!W$3,INDIRECT("'"&amp;$D19&amp;"'!$H$3:$W$3"),0)),V19)</f>
        <v>0</v>
      </c>
    </row>
    <row r="20" spans="1:25" s="8" customFormat="1" x14ac:dyDescent="0.2">
      <c r="A20" s="10">
        <f t="shared" si="2"/>
        <v>14</v>
      </c>
      <c r="D20" s="13" t="s">
        <v>5</v>
      </c>
      <c r="E20" s="9"/>
      <c r="F20" s="17"/>
      <c r="I20" s="20">
        <f ca="1">SUM(I7:I19)</f>
        <v>2473.4005870296046</v>
      </c>
      <c r="J20" s="20">
        <f ca="1">SUM(J7:J19)</f>
        <v>2560.4828141449289</v>
      </c>
      <c r="K20" s="20">
        <f ca="1">SUM(K7:K19)</f>
        <v>2657.5630263738321</v>
      </c>
      <c r="L20" s="20">
        <f ca="1">SUM(L7:L19)</f>
        <v>2741.126221762227</v>
      </c>
      <c r="M20" s="20">
        <f t="shared" ref="M20:W20" ca="1" si="3">SUM(M7:M19)</f>
        <v>2813.9686900277825</v>
      </c>
      <c r="N20" s="20">
        <f t="shared" ca="1" si="3"/>
        <v>2901.7872082399808</v>
      </c>
      <c r="O20" s="20">
        <f t="shared" ca="1" si="3"/>
        <v>2972.2816654429967</v>
      </c>
      <c r="P20" s="20">
        <f t="shared" ca="1" si="3"/>
        <v>2972.8931462298287</v>
      </c>
      <c r="Q20" s="20">
        <f t="shared" ca="1" si="3"/>
        <v>2958.2562978493811</v>
      </c>
      <c r="R20" s="20">
        <f t="shared" ca="1" si="3"/>
        <v>2944.0526049886498</v>
      </c>
      <c r="S20" s="20">
        <f t="shared" ca="1" si="3"/>
        <v>2930.1673635818274</v>
      </c>
      <c r="T20" s="20">
        <f t="shared" ca="1" si="3"/>
        <v>2916.4903382978746</v>
      </c>
      <c r="U20" s="20">
        <f t="shared" ca="1" si="3"/>
        <v>2902.9249333062453</v>
      </c>
      <c r="V20" s="20">
        <f t="shared" ca="1" si="3"/>
        <v>2889.4233283537865</v>
      </c>
      <c r="W20" s="20">
        <f t="shared" ca="1" si="3"/>
        <v>2875.9765573928375</v>
      </c>
    </row>
    <row r="21" spans="1:25" s="8" customFormat="1" x14ac:dyDescent="0.2">
      <c r="A21" s="10">
        <f>A20+1</f>
        <v>15</v>
      </c>
      <c r="B21" s="3"/>
      <c r="C21" s="1"/>
      <c r="D21" s="11" t="s">
        <v>6</v>
      </c>
      <c r="E21" s="3"/>
      <c r="F21" s="2"/>
      <c r="G21" s="3"/>
      <c r="H21" s="3"/>
      <c r="I21" s="3"/>
      <c r="J21" s="33">
        <f t="shared" ref="J21:W21" ca="1" si="4">J20/I20-1</f>
        <v>3.5207490275525721E-2</v>
      </c>
      <c r="K21" s="33">
        <f t="shared" ca="1" si="4"/>
        <v>3.7914807196752554E-2</v>
      </c>
      <c r="L21" s="33">
        <f t="shared" ca="1" si="4"/>
        <v>3.1443542282575399E-2</v>
      </c>
      <c r="M21" s="33">
        <f t="shared" ca="1" si="4"/>
        <v>2.6573919758691833E-2</v>
      </c>
      <c r="N21" s="33">
        <f t="shared" ca="1" si="4"/>
        <v>3.120806515133312E-2</v>
      </c>
      <c r="O21" s="33">
        <f t="shared" ca="1" si="4"/>
        <v>2.4293461975033237E-2</v>
      </c>
      <c r="P21" s="33">
        <f t="shared" ca="1" si="4"/>
        <v>2.0572773904348196E-4</v>
      </c>
      <c r="Q21" s="33">
        <f t="shared" ca="1" si="4"/>
        <v>-4.9234357444060128E-3</v>
      </c>
      <c r="R21" s="33">
        <f t="shared" ca="1" si="4"/>
        <v>-4.8013733194981478E-3</v>
      </c>
      <c r="S21" s="33">
        <f t="shared" ca="1" si="4"/>
        <v>-4.7163700075515402E-3</v>
      </c>
      <c r="T21" s="33">
        <f t="shared" ca="1" si="4"/>
        <v>-4.6676600981706562E-3</v>
      </c>
      <c r="U21" s="33">
        <f t="shared" ca="1" si="4"/>
        <v>-4.6512771921426443E-3</v>
      </c>
      <c r="V21" s="33">
        <f t="shared" ca="1" si="4"/>
        <v>-4.6510348226888043E-3</v>
      </c>
      <c r="W21" s="33">
        <f t="shared" ca="1" si="4"/>
        <v>-4.6537905432535442E-3</v>
      </c>
      <c r="Y21" s="23"/>
    </row>
    <row r="22" spans="1:25" s="8" customFormat="1" x14ac:dyDescent="0.2">
      <c r="A22" s="10"/>
      <c r="E22" s="9"/>
      <c r="F22" s="1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5" s="8" customFormat="1" x14ac:dyDescent="0.2">
      <c r="A23" s="10">
        <f>A21+1</f>
        <v>16</v>
      </c>
      <c r="C23" s="8" t="s">
        <v>51</v>
      </c>
      <c r="E23" s="9"/>
      <c r="F23" s="17"/>
      <c r="I23" s="31">
        <f>Existing!I101</f>
        <v>199298.73199999999</v>
      </c>
      <c r="J23" s="31">
        <f>Existing!J101</f>
        <v>199199.08263399999</v>
      </c>
      <c r="K23" s="31">
        <f>Existing!K101</f>
        <v>199099.48309268299</v>
      </c>
      <c r="L23" s="31">
        <f>Existing!L101</f>
        <v>198999.93335113666</v>
      </c>
      <c r="M23" s="31">
        <f>Existing!M101</f>
        <v>198900.4333844611</v>
      </c>
      <c r="N23" s="31">
        <f>Existing!N101</f>
        <v>198800.98316776886</v>
      </c>
      <c r="O23" s="31">
        <f>Existing!O101</f>
        <v>198701.582676185</v>
      </c>
      <c r="P23" s="31">
        <f>Existing!P101</f>
        <v>198602.23188484693</v>
      </c>
      <c r="Q23" s="31">
        <f>Existing!Q101</f>
        <v>198502.93076890451</v>
      </c>
      <c r="R23" s="31">
        <f>Existing!R101</f>
        <v>198403.67930352007</v>
      </c>
      <c r="S23" s="31">
        <f>Existing!S101</f>
        <v>198304.47746386833</v>
      </c>
      <c r="T23" s="31">
        <f>Existing!T101</f>
        <v>198205.32522513642</v>
      </c>
      <c r="U23" s="31">
        <f>Existing!U101</f>
        <v>198106.22256252385</v>
      </c>
      <c r="V23" s="31">
        <f>Existing!V101</f>
        <v>198007.1694512426</v>
      </c>
      <c r="W23" s="31">
        <f>Existing!W101</f>
        <v>197908.165866517</v>
      </c>
    </row>
    <row r="24" spans="1:25" s="8" customFormat="1" x14ac:dyDescent="0.2">
      <c r="A24" s="10">
        <f>A23+1</f>
        <v>17</v>
      </c>
      <c r="B24" s="3"/>
      <c r="C24" s="1"/>
      <c r="D24" s="11" t="s">
        <v>6</v>
      </c>
      <c r="E24" s="3"/>
      <c r="F24" s="2"/>
      <c r="G24" s="3"/>
      <c r="H24" s="3"/>
      <c r="I24" s="3"/>
      <c r="J24" s="33">
        <f t="shared" ref="J24:W24" si="5">J23/I23-1</f>
        <v>-4.9999999999994493E-4</v>
      </c>
      <c r="K24" s="33">
        <f t="shared" si="5"/>
        <v>-5.0000000000005596E-4</v>
      </c>
      <c r="L24" s="33">
        <f t="shared" si="5"/>
        <v>-4.9999999999994493E-4</v>
      </c>
      <c r="M24" s="33">
        <f t="shared" si="5"/>
        <v>-4.9999999999994493E-4</v>
      </c>
      <c r="N24" s="33">
        <f t="shared" si="5"/>
        <v>-5.0000000000005596E-4</v>
      </c>
      <c r="O24" s="33">
        <f t="shared" si="5"/>
        <v>-4.9999999999983391E-4</v>
      </c>
      <c r="P24" s="33">
        <f t="shared" si="5"/>
        <v>-4.9999999999994493E-4</v>
      </c>
      <c r="Q24" s="33">
        <f t="shared" si="5"/>
        <v>-4.9999999999994493E-4</v>
      </c>
      <c r="R24" s="33">
        <f t="shared" si="5"/>
        <v>-4.9999999999994493E-4</v>
      </c>
      <c r="S24" s="33">
        <f t="shared" si="5"/>
        <v>-4.9999999999983391E-4</v>
      </c>
      <c r="T24" s="33">
        <f t="shared" si="5"/>
        <v>-4.9999999999994493E-4</v>
      </c>
      <c r="U24" s="33">
        <f t="shared" si="5"/>
        <v>-4.9999999999994493E-4</v>
      </c>
      <c r="V24" s="33">
        <f t="shared" si="5"/>
        <v>-4.9999999999994493E-4</v>
      </c>
      <c r="W24" s="33">
        <f t="shared" si="5"/>
        <v>-4.9999999999994493E-4</v>
      </c>
    </row>
    <row r="25" spans="1:25" s="8" customFormat="1" x14ac:dyDescent="0.2">
      <c r="A25" s="10"/>
      <c r="B25" s="3"/>
      <c r="C25" s="1"/>
      <c r="D25" s="11"/>
      <c r="E25" s="3"/>
      <c r="F25" s="2"/>
      <c r="G25" s="3"/>
      <c r="H25" s="3"/>
      <c r="I25" s="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5" s="8" customFormat="1" x14ac:dyDescent="0.2">
      <c r="A26" s="10">
        <f>A24+1</f>
        <v>18</v>
      </c>
      <c r="C26" s="8" t="s">
        <v>52</v>
      </c>
      <c r="E26" s="9"/>
      <c r="F26" s="17"/>
      <c r="I26" s="32">
        <f ca="1">1000*I20/I23</f>
        <v>12.410518432348104</v>
      </c>
      <c r="J26" s="32">
        <f t="shared" ref="J26:W26" ca="1" si="6">1000*J20/J23</f>
        <v>12.853888583661062</v>
      </c>
      <c r="K26" s="32">
        <f t="shared" ca="1" si="6"/>
        <v>13.34791524866344</v>
      </c>
      <c r="L26" s="32">
        <f ca="1">1000*L20/L23</f>
        <v>13.774508240289167</v>
      </c>
      <c r="M26" s="32">
        <f ca="1">1000*M20/M23</f>
        <v>14.147624729346726</v>
      </c>
      <c r="N26" s="32">
        <f t="shared" ca="1" si="6"/>
        <v>14.596442945109343</v>
      </c>
      <c r="O26" s="32">
        <f t="shared" ca="1" si="6"/>
        <v>14.958520336935564</v>
      </c>
      <c r="P26" s="32">
        <f t="shared" ca="1" si="6"/>
        <v>14.969082260634233</v>
      </c>
      <c r="Q26" s="32">
        <f t="shared" ca="1" si="6"/>
        <v>14.902834363152849</v>
      </c>
      <c r="R26" s="32">
        <f t="shared" ca="1" si="6"/>
        <v>14.838699641677545</v>
      </c>
      <c r="S26" s="32">
        <f t="shared" ca="1" si="6"/>
        <v>14.776102895184062</v>
      </c>
      <c r="T26" s="32">
        <f t="shared" ca="1" si="6"/>
        <v>14.714490314450972</v>
      </c>
      <c r="U26" s="32">
        <f t="shared" ca="1" si="6"/>
        <v>14.653375829171948</v>
      </c>
      <c r="V26" s="32">
        <f t="shared" ca="1" si="6"/>
        <v>14.592518727284164</v>
      </c>
      <c r="W26" s="32">
        <f t="shared" ca="1" si="6"/>
        <v>14.531874138698226</v>
      </c>
      <c r="Y26" s="105"/>
    </row>
    <row r="27" spans="1:25" x14ac:dyDescent="0.2">
      <c r="A27" s="10">
        <f>A26+1</f>
        <v>19</v>
      </c>
      <c r="D27" s="11" t="s">
        <v>6</v>
      </c>
      <c r="J27" s="33">
        <f ca="1">J26/I26-1</f>
        <v>3.5725352952001632E-2</v>
      </c>
      <c r="K27" s="33">
        <f t="shared" ref="K27:W27" ca="1" si="7">K26/J26-1</f>
        <v>3.8434024208856776E-2</v>
      </c>
      <c r="L27" s="33">
        <f t="shared" ca="1" si="7"/>
        <v>3.195952204359731E-2</v>
      </c>
      <c r="M27" s="33">
        <f t="shared" ca="1" si="7"/>
        <v>2.7087463490437225E-2</v>
      </c>
      <c r="N27" s="33">
        <f t="shared" ca="1" si="7"/>
        <v>3.1723927114890582E-2</v>
      </c>
      <c r="O27" s="33">
        <f t="shared" ca="1" si="7"/>
        <v>2.4805864907486708E-2</v>
      </c>
      <c r="P27" s="33">
        <f t="shared" ca="1" si="7"/>
        <v>7.0608077943301595E-4</v>
      </c>
      <c r="Q27" s="33">
        <f t="shared" ca="1" si="7"/>
        <v>-4.4256485686903213E-3</v>
      </c>
      <c r="R27" s="33">
        <f t="shared" ca="1" si="7"/>
        <v>-4.303525082039128E-3</v>
      </c>
      <c r="S27" s="33">
        <f t="shared" ca="1" si="7"/>
        <v>-4.2184792471752219E-3</v>
      </c>
      <c r="T27" s="33">
        <f t="shared" ca="1" si="7"/>
        <v>-4.1697449706560308E-3</v>
      </c>
      <c r="U27" s="33">
        <f t="shared" ca="1" si="7"/>
        <v>-4.1533538690772254E-3</v>
      </c>
      <c r="V27" s="33">
        <f t="shared" ca="1" si="7"/>
        <v>-4.1531113783780382E-3</v>
      </c>
      <c r="W27" s="33">
        <f t="shared" ca="1" si="7"/>
        <v>-4.155868477492386E-3</v>
      </c>
    </row>
    <row r="28" spans="1:25" x14ac:dyDescent="0.2">
      <c r="A28" s="10">
        <f>A27+1</f>
        <v>20</v>
      </c>
      <c r="D28" s="3" t="s">
        <v>72</v>
      </c>
      <c r="J28" s="33">
        <f ca="1">J26/$I26-1</f>
        <v>3.5725352952001632E-2</v>
      </c>
      <c r="K28" s="33">
        <f t="shared" ref="K28:W28" ca="1" si="8">K26/$I26-1</f>
        <v>7.5532446241085793E-2</v>
      </c>
      <c r="L28" s="33">
        <f t="shared" ca="1" si="8"/>
        <v>0.10990594916533181</v>
      </c>
      <c r="M28" s="33">
        <f t="shared" ca="1" si="8"/>
        <v>0.13997048604116658</v>
      </c>
      <c r="N28" s="33">
        <f t="shared" ca="1" si="8"/>
        <v>0.17613482665346303</v>
      </c>
      <c r="O28" s="33">
        <f t="shared" ca="1" si="8"/>
        <v>0.20530986827641917</v>
      </c>
      <c r="P28" s="33">
        <f t="shared" ca="1" si="8"/>
        <v>0.20616091440767015</v>
      </c>
      <c r="Q28" s="33">
        <f t="shared" ca="1" si="8"/>
        <v>0.20082287008321154</v>
      </c>
      <c r="R28" s="33">
        <f t="shared" ca="1" si="8"/>
        <v>0.19565509874272213</v>
      </c>
      <c r="S28" s="33">
        <f t="shared" ca="1" si="8"/>
        <v>0.19061125252189681</v>
      </c>
      <c r="T28" s="33">
        <f t="shared" ca="1" si="8"/>
        <v>0.18564670723968701</v>
      </c>
      <c r="U28" s="33">
        <f t="shared" ca="1" si="8"/>
        <v>0.18072229690081443</v>
      </c>
      <c r="V28" s="33">
        <f t="shared" ca="1" si="8"/>
        <v>0.17581862569485107</v>
      </c>
      <c r="W28" s="33">
        <f t="shared" ca="1" si="8"/>
        <v>0.17093207813307743</v>
      </c>
    </row>
    <row r="29" spans="1:25" x14ac:dyDescent="0.2">
      <c r="A29" s="10"/>
      <c r="D29" s="3" t="s">
        <v>117</v>
      </c>
      <c r="I29" s="3">
        <f ca="1">1000*(I20-I7)/I23</f>
        <v>0.1567885541268963</v>
      </c>
      <c r="J29" s="3">
        <f t="shared" ref="J29:W29" ca="1" si="9">1000*(J20-J7)/J23</f>
        <v>0.60035446427733863</v>
      </c>
      <c r="K29" s="3">
        <f t="shared" ca="1" si="9"/>
        <v>1.094696433702679</v>
      </c>
      <c r="L29" s="3">
        <f t="shared" ca="1" si="9"/>
        <v>1.5217266769021429</v>
      </c>
      <c r="M29" s="3">
        <f t="shared" ca="1" si="9"/>
        <v>1.8954048143450155</v>
      </c>
      <c r="N29" s="3">
        <f t="shared" ca="1" si="9"/>
        <v>2.3449115740347675</v>
      </c>
      <c r="O29" s="3">
        <f t="shared" ca="1" si="9"/>
        <v>2.7078069541234027</v>
      </c>
      <c r="P29" s="3">
        <f t="shared" ca="1" si="9"/>
        <v>2.7193189102904598</v>
      </c>
      <c r="Q29" s="3">
        <f t="shared" ca="1" si="9"/>
        <v>2.6541557414660755</v>
      </c>
      <c r="R29" s="3">
        <f t="shared" ca="1" si="9"/>
        <v>2.5912431499867479</v>
      </c>
      <c r="S29" s="3">
        <f t="shared" ca="1" si="9"/>
        <v>2.5300086942235955</v>
      </c>
      <c r="T29" s="3">
        <f t="shared" ca="1" si="9"/>
        <v>2.4699013796948228</v>
      </c>
      <c r="U29" s="3">
        <f t="shared" ca="1" si="9"/>
        <v>2.4104380072996792</v>
      </c>
      <c r="V29" s="3">
        <f t="shared" ca="1" si="9"/>
        <v>2.3513807937913493</v>
      </c>
      <c r="W29" s="3">
        <f t="shared" ca="1" si="9"/>
        <v>2.2926878566747599</v>
      </c>
    </row>
    <row r="30" spans="1:25" x14ac:dyDescent="0.2">
      <c r="C30" s="1" t="s">
        <v>61</v>
      </c>
    </row>
    <row r="31" spans="1:25" x14ac:dyDescent="0.2">
      <c r="A31" s="10">
        <f>A28+1</f>
        <v>21</v>
      </c>
      <c r="D31" s="3" t="str">
        <f t="shared" ref="D31:D44" si="10">D7</f>
        <v>Existing Facilities</v>
      </c>
      <c r="I31" s="12">
        <f>Existing!I169</f>
        <v>17915.676768110934</v>
      </c>
      <c r="J31" s="12">
        <f>Existing!J169</f>
        <v>18273.990303473154</v>
      </c>
      <c r="K31" s="12">
        <f>Existing!K169</f>
        <v>18639.470109542617</v>
      </c>
      <c r="L31" s="12">
        <f>Existing!L169</f>
        <v>19012.259511733471</v>
      </c>
      <c r="M31" s="12">
        <f>Existing!M169</f>
        <v>19392.504701968141</v>
      </c>
      <c r="N31" s="12">
        <f>Existing!N169</f>
        <v>19780.354796007505</v>
      </c>
      <c r="O31" s="12">
        <f>Existing!O169</f>
        <v>20175.961891927655</v>
      </c>
      <c r="P31" s="12">
        <f>Existing!P169</f>
        <v>20579.481129766209</v>
      </c>
      <c r="Q31" s="12">
        <f>Existing!Q169</f>
        <v>20991.070752361535</v>
      </c>
      <c r="R31" s="12">
        <f>Existing!R169</f>
        <v>21410.892167408765</v>
      </c>
      <c r="S31" s="12">
        <f>Existing!S169</f>
        <v>21839.11001075694</v>
      </c>
      <c r="T31" s="12">
        <f>Existing!T169</f>
        <v>22275.892210972081</v>
      </c>
      <c r="U31" s="12">
        <f>Existing!U169</f>
        <v>22721.410055191522</v>
      </c>
      <c r="V31" s="12">
        <f>Existing!V169</f>
        <v>23175.838256295352</v>
      </c>
      <c r="W31" s="12">
        <f>Existing!W169</f>
        <v>23639.355021421259</v>
      </c>
    </row>
    <row r="32" spans="1:25" x14ac:dyDescent="0.2">
      <c r="A32" s="10">
        <f t="shared" ref="A32:A45" si="11">A31+1</f>
        <v>22</v>
      </c>
      <c r="D32" s="3" t="str">
        <f t="shared" si="10"/>
        <v>Reliability</v>
      </c>
      <c r="I32" s="12">
        <f>Reliability!I$47</f>
        <v>83.521851822542445</v>
      </c>
      <c r="J32" s="12">
        <f>Reliability!J$47</f>
        <v>316.75589670373671</v>
      </c>
      <c r="K32" s="12">
        <f>Reliability!K$47</f>
        <v>633.90108375180102</v>
      </c>
      <c r="L32" s="12">
        <f>Reliability!L$47</f>
        <v>1072.6817161086385</v>
      </c>
      <c r="M32" s="12">
        <f>Reliability!M$47</f>
        <v>1566.218339250426</v>
      </c>
      <c r="N32" s="12">
        <f>Reliability!N$47</f>
        <v>2215.170469804676</v>
      </c>
      <c r="O32" s="12">
        <f>Reliability!O$47</f>
        <v>2733.4327681405066</v>
      </c>
      <c r="P32" s="12">
        <f>Reliability!P$47</f>
        <v>2824.9587104494017</v>
      </c>
      <c r="Q32" s="12">
        <f>Reliability!Q$47</f>
        <v>2824.9855002023533</v>
      </c>
      <c r="R32" s="12">
        <f>Reliability!R$47</f>
        <v>2824.9855002023533</v>
      </c>
      <c r="S32" s="12">
        <f>Reliability!S$47</f>
        <v>2824.9855002023533</v>
      </c>
      <c r="T32" s="12">
        <f>Reliability!T$47</f>
        <v>2824.9855002023533</v>
      </c>
      <c r="U32" s="12">
        <f>Reliability!U$47</f>
        <v>2824.9855002023533</v>
      </c>
      <c r="V32" s="12">
        <f>Reliability!V$47</f>
        <v>2824.9855002023533</v>
      </c>
      <c r="W32" s="12">
        <f>Reliability!W$47</f>
        <v>2824.9855002023533</v>
      </c>
    </row>
    <row r="33" spans="1:23" x14ac:dyDescent="0.2">
      <c r="A33" s="10">
        <f t="shared" si="11"/>
        <v>23</v>
      </c>
      <c r="D33" s="3" t="str">
        <f t="shared" si="10"/>
        <v>South CC(Completed)</v>
      </c>
      <c r="I33" s="12">
        <f>'South CC'!I$47</f>
        <v>0</v>
      </c>
      <c r="J33" s="12">
        <f>'South CC'!J$47</f>
        <v>0</v>
      </c>
      <c r="K33" s="12">
        <f>'South CC'!K$47</f>
        <v>0</v>
      </c>
      <c r="L33" s="12">
        <f>'South CC'!L$47</f>
        <v>0</v>
      </c>
      <c r="M33" s="12">
        <f>'South CC'!M$47</f>
        <v>0</v>
      </c>
      <c r="N33" s="12">
        <f>'South CC'!N$47</f>
        <v>0</v>
      </c>
      <c r="O33" s="12">
        <f>'South CC'!O$47</f>
        <v>0</v>
      </c>
      <c r="P33" s="12">
        <f>'South CC'!P$47</f>
        <v>0</v>
      </c>
      <c r="Q33" s="12">
        <f>'South CC'!Q$47</f>
        <v>0</v>
      </c>
      <c r="R33" s="12">
        <f>'South CC'!R$47</f>
        <v>0</v>
      </c>
      <c r="S33" s="12">
        <f>'South CC'!S$47</f>
        <v>0</v>
      </c>
      <c r="T33" s="12">
        <f>'South CC'!T$47</f>
        <v>0</v>
      </c>
      <c r="U33" s="12">
        <f>'South CC'!U$47</f>
        <v>0</v>
      </c>
      <c r="V33" s="12">
        <f>'South CC'!V$47</f>
        <v>0</v>
      </c>
      <c r="W33" s="12">
        <f>'South CC'!W$47</f>
        <v>0</v>
      </c>
    </row>
    <row r="34" spans="1:23" x14ac:dyDescent="0.2">
      <c r="A34" s="10">
        <f t="shared" si="11"/>
        <v>24</v>
      </c>
      <c r="D34" s="3" t="str">
        <f t="shared" si="10"/>
        <v>Tehachapi (Completed)</v>
      </c>
      <c r="I34" s="12">
        <f>Tehachapi!I$47</f>
        <v>0</v>
      </c>
      <c r="J34" s="12">
        <f>Tehachapi!J$47</f>
        <v>0</v>
      </c>
      <c r="K34" s="12">
        <f>Tehachapi!K$47</f>
        <v>0</v>
      </c>
      <c r="L34" s="12">
        <f>Tehachapi!L$47</f>
        <v>0</v>
      </c>
      <c r="M34" s="12">
        <f>Tehachapi!M$47</f>
        <v>0</v>
      </c>
      <c r="N34" s="12">
        <f>Tehachapi!N$47</f>
        <v>0</v>
      </c>
      <c r="O34" s="12">
        <f>Tehachapi!O$47</f>
        <v>0</v>
      </c>
      <c r="P34" s="12">
        <f>Tehachapi!P$47</f>
        <v>0</v>
      </c>
      <c r="Q34" s="12">
        <f>Tehachapi!Q$47</f>
        <v>0</v>
      </c>
      <c r="R34" s="12">
        <f>Tehachapi!R$47</f>
        <v>0</v>
      </c>
      <c r="S34" s="12">
        <f>Tehachapi!S$47</f>
        <v>0</v>
      </c>
      <c r="T34" s="12">
        <f>Tehachapi!T$47</f>
        <v>0</v>
      </c>
      <c r="U34" s="12">
        <f>Tehachapi!U$47</f>
        <v>0</v>
      </c>
      <c r="V34" s="12">
        <f>Tehachapi!V$47</f>
        <v>0</v>
      </c>
      <c r="W34" s="12">
        <f>Tehachapi!W$47</f>
        <v>0</v>
      </c>
    </row>
    <row r="35" spans="1:23" x14ac:dyDescent="0.2">
      <c r="A35" s="10">
        <f t="shared" si="11"/>
        <v>25</v>
      </c>
      <c r="D35" s="3" t="str">
        <f t="shared" si="10"/>
        <v>WOD</v>
      </c>
      <c r="I35" s="12">
        <f>WOD!I$47</f>
        <v>0</v>
      </c>
      <c r="J35" s="12">
        <f>WOD!J$47</f>
        <v>0</v>
      </c>
      <c r="K35" s="12">
        <f>WOD!K$47</f>
        <v>104.01362769274998</v>
      </c>
      <c r="L35" s="12">
        <f>WOD!L$47</f>
        <v>208.02725538549996</v>
      </c>
      <c r="M35" s="12">
        <f>WOD!M$47</f>
        <v>208.02725538549996</v>
      </c>
      <c r="N35" s="12">
        <f>WOD!N$47</f>
        <v>208.02725538549996</v>
      </c>
      <c r="O35" s="12">
        <f>WOD!O$47</f>
        <v>208.02725538549996</v>
      </c>
      <c r="P35" s="12">
        <f>WOD!P$47</f>
        <v>208.02725538549996</v>
      </c>
      <c r="Q35" s="12">
        <f>WOD!Q$47</f>
        <v>208.02725538549996</v>
      </c>
      <c r="R35" s="12">
        <f>WOD!R$47</f>
        <v>208.02725538549996</v>
      </c>
      <c r="S35" s="12">
        <f>WOD!S$47</f>
        <v>208.02725538549996</v>
      </c>
      <c r="T35" s="12">
        <f>WOD!T$47</f>
        <v>208.02725538549996</v>
      </c>
      <c r="U35" s="12">
        <f>WOD!U$47</f>
        <v>208.02725538549996</v>
      </c>
      <c r="V35" s="12">
        <f>WOD!V$47</f>
        <v>208.02725538549996</v>
      </c>
      <c r="W35" s="12">
        <f>WOD!W$47</f>
        <v>208.02725538549996</v>
      </c>
    </row>
    <row r="36" spans="1:23" x14ac:dyDescent="0.2">
      <c r="A36" s="10">
        <f t="shared" si="11"/>
        <v>26</v>
      </c>
      <c r="D36" s="3" t="str">
        <f t="shared" si="10"/>
        <v>CW-Lugo(Completed)</v>
      </c>
      <c r="I36" s="12">
        <f>'CW-Lugo'!I$47</f>
        <v>0</v>
      </c>
      <c r="J36" s="12">
        <f>'CW-Lugo'!J$47</f>
        <v>0</v>
      </c>
      <c r="K36" s="12">
        <f>'CW-Lugo'!K$47</f>
        <v>0</v>
      </c>
      <c r="L36" s="12">
        <f>'CW-Lugo'!L$47</f>
        <v>0</v>
      </c>
      <c r="M36" s="12">
        <f>'CW-Lugo'!M$47</f>
        <v>0</v>
      </c>
      <c r="N36" s="12">
        <f>'CW-Lugo'!N$47</f>
        <v>0</v>
      </c>
      <c r="O36" s="12">
        <f>'CW-Lugo'!O$47</f>
        <v>0</v>
      </c>
      <c r="P36" s="12">
        <f>'CW-Lugo'!P$47</f>
        <v>0</v>
      </c>
      <c r="Q36" s="12">
        <f>'CW-Lugo'!Q$47</f>
        <v>0</v>
      </c>
      <c r="R36" s="12">
        <f>'CW-Lugo'!R$47</f>
        <v>0</v>
      </c>
      <c r="S36" s="12">
        <f>'CW-Lugo'!S$47</f>
        <v>0</v>
      </c>
      <c r="T36" s="12">
        <f>'CW-Lugo'!T$47</f>
        <v>0</v>
      </c>
      <c r="U36" s="12">
        <f>'CW-Lugo'!U$47</f>
        <v>0</v>
      </c>
      <c r="V36" s="12">
        <f>'CW-Lugo'!V$47</f>
        <v>0</v>
      </c>
      <c r="W36" s="12">
        <f>'CW-Lugo'!W$47</f>
        <v>0</v>
      </c>
    </row>
    <row r="37" spans="1:23" x14ac:dyDescent="0.2">
      <c r="A37" s="10">
        <f t="shared" si="11"/>
        <v>27</v>
      </c>
      <c r="D37" s="3" t="str">
        <f t="shared" si="10"/>
        <v>2019-20 Policy and Econ</v>
      </c>
      <c r="I37" s="12">
        <f>'2019-20 Policy and Econ'!I$47</f>
        <v>158.5</v>
      </c>
      <c r="J37" s="12">
        <f>'2019-20 Policy and Econ'!J$47</f>
        <v>492.83638187500003</v>
      </c>
      <c r="K37" s="12">
        <f>'2019-20 Policy and Econ'!K$47</f>
        <v>709.96431350000012</v>
      </c>
      <c r="L37" s="12">
        <f>'2019-20 Policy and Econ'!L$47</f>
        <v>751.65253825000013</v>
      </c>
      <c r="M37" s="12">
        <f>'2019-20 Policy and Econ'!M$47</f>
        <v>789.4453507500001</v>
      </c>
      <c r="N37" s="12">
        <f>'2019-20 Policy and Econ'!N$47</f>
        <v>826.84148825000011</v>
      </c>
      <c r="O37" s="12">
        <f>'2019-20 Policy and Econ'!O$47</f>
        <v>826.84148825000011</v>
      </c>
      <c r="P37" s="12">
        <f>'2019-20 Policy and Econ'!P$47</f>
        <v>826.84148825000011</v>
      </c>
      <c r="Q37" s="12">
        <f>'2019-20 Policy and Econ'!Q$47</f>
        <v>826.84148825000011</v>
      </c>
      <c r="R37" s="12">
        <f>'2019-20 Policy and Econ'!R$47</f>
        <v>826.84148825000011</v>
      </c>
      <c r="S37" s="12">
        <f>'2019-20 Policy and Econ'!S$47</f>
        <v>826.84148825000011</v>
      </c>
      <c r="T37" s="12">
        <f>'2019-20 Policy and Econ'!T$47</f>
        <v>826.84148825000011</v>
      </c>
      <c r="U37" s="12">
        <f>'2019-20 Policy and Econ'!U$47</f>
        <v>826.84148825000011</v>
      </c>
      <c r="V37" s="12">
        <f>'2019-20 Policy and Econ'!V$47</f>
        <v>826.84148825000011</v>
      </c>
      <c r="W37" s="12">
        <f>'2019-20 Policy and Econ'!W$47</f>
        <v>826.84148825000011</v>
      </c>
    </row>
    <row r="38" spans="1:23" x14ac:dyDescent="0.2">
      <c r="A38" s="10">
        <f t="shared" si="11"/>
        <v>28</v>
      </c>
      <c r="D38" s="3" t="str">
        <f t="shared" si="10"/>
        <v>ClrdoRvr</v>
      </c>
      <c r="I38" s="12">
        <f>ClrdoRvr!I47</f>
        <v>0</v>
      </c>
      <c r="J38" s="12">
        <f>ClrdoRvr!J47</f>
        <v>0</v>
      </c>
      <c r="K38" s="12">
        <f>ClrdoRvr!K47</f>
        <v>14.737978025</v>
      </c>
      <c r="L38" s="12">
        <f>ClrdoRvr!L47</f>
        <v>29.475956050000001</v>
      </c>
      <c r="M38" s="12">
        <f>ClrdoRvr!M47</f>
        <v>29.475956050000001</v>
      </c>
      <c r="N38" s="12">
        <f>ClrdoRvr!N47</f>
        <v>29.475956050000001</v>
      </c>
      <c r="O38" s="12">
        <f>ClrdoRvr!O47</f>
        <v>29.475956050000001</v>
      </c>
      <c r="P38" s="12">
        <f>ClrdoRvr!P47</f>
        <v>29.475956050000001</v>
      </c>
      <c r="Q38" s="12">
        <f>ClrdoRvr!Q47</f>
        <v>29.475956050000001</v>
      </c>
      <c r="R38" s="12">
        <f>ClrdoRvr!R47</f>
        <v>29.475956050000001</v>
      </c>
      <c r="S38" s="12">
        <f>ClrdoRvr!S47</f>
        <v>29.475956050000001</v>
      </c>
      <c r="T38" s="12">
        <f>ClrdoRvr!T47</f>
        <v>29.475956050000001</v>
      </c>
      <c r="U38" s="12">
        <f>ClrdoRvr!U47</f>
        <v>29.475956050000001</v>
      </c>
      <c r="V38" s="12">
        <f>ClrdoRvr!V47</f>
        <v>29.475956050000001</v>
      </c>
      <c r="W38" s="12">
        <f>ClrdoRvr!W47</f>
        <v>29.475956050000001</v>
      </c>
    </row>
    <row r="39" spans="1:23" x14ac:dyDescent="0.2">
      <c r="A39" s="10">
        <f t="shared" si="11"/>
        <v>29</v>
      </c>
      <c r="D39" s="3" t="str">
        <f t="shared" si="10"/>
        <v>Red Bluff 2nd 'AA' Bank</v>
      </c>
      <c r="I39" s="12">
        <f>'Red Bluff 2AA Bank'!I$47</f>
        <v>0</v>
      </c>
      <c r="J39" s="12">
        <f>'Red Bluff 2AA Bank'!J$47</f>
        <v>0</v>
      </c>
      <c r="K39" s="12">
        <f>'Red Bluff 2AA Bank'!K$47</f>
        <v>17.725941755539061</v>
      </c>
      <c r="L39" s="12">
        <f>'Red Bluff 2AA Bank'!L$47</f>
        <v>35.451883511078123</v>
      </c>
      <c r="M39" s="12">
        <f>'Red Bluff 2AA Bank'!M$47</f>
        <v>35.451883511078123</v>
      </c>
      <c r="N39" s="12">
        <f>'Red Bluff 2AA Bank'!N$47</f>
        <v>35.451883511078123</v>
      </c>
      <c r="O39" s="12">
        <f>'Red Bluff 2AA Bank'!O$47</f>
        <v>35.451883511078123</v>
      </c>
      <c r="P39" s="12">
        <f>'Red Bluff 2AA Bank'!P$47</f>
        <v>35.451883511078123</v>
      </c>
      <c r="Q39" s="12">
        <f>'Red Bluff 2AA Bank'!Q$47</f>
        <v>35.451883511078123</v>
      </c>
      <c r="R39" s="12">
        <f>'Red Bluff 2AA Bank'!R$47</f>
        <v>35.451883511078123</v>
      </c>
      <c r="S39" s="12">
        <f>'Red Bluff 2AA Bank'!S$47</f>
        <v>35.451883511078123</v>
      </c>
      <c r="T39" s="12">
        <f>'Red Bluff 2AA Bank'!T$47</f>
        <v>35.451883511078123</v>
      </c>
      <c r="U39" s="12">
        <f>'Red Bluff 2AA Bank'!U$47</f>
        <v>35.451883511078123</v>
      </c>
      <c r="V39" s="12">
        <f>'Red Bluff 2AA Bank'!V$47</f>
        <v>35.451883511078123</v>
      </c>
      <c r="W39" s="12">
        <f>'Red Bluff 2AA Bank'!W$47</f>
        <v>35.451883511078123</v>
      </c>
    </row>
    <row r="40" spans="1:23" x14ac:dyDescent="0.2">
      <c r="A40" s="10">
        <f t="shared" si="11"/>
        <v>30</v>
      </c>
      <c r="D40" s="3" t="str">
        <f t="shared" si="10"/>
        <v>Calcite</v>
      </c>
      <c r="I40" s="12">
        <f>Calcite!I$47</f>
        <v>0</v>
      </c>
      <c r="J40" s="12">
        <f>Calcite!J$47</f>
        <v>0</v>
      </c>
      <c r="K40" s="12">
        <f>Calcite!K$47</f>
        <v>0</v>
      </c>
      <c r="L40" s="12">
        <f>Calcite!L$47</f>
        <v>28.435754337499993</v>
      </c>
      <c r="M40" s="12">
        <f>Calcite!M$47</f>
        <v>56.871508674999987</v>
      </c>
      <c r="N40" s="12">
        <f>Calcite!N$47</f>
        <v>56.871508674999987</v>
      </c>
      <c r="O40" s="12">
        <f>Calcite!O$47</f>
        <v>56.871508674999987</v>
      </c>
      <c r="P40" s="12">
        <f>Calcite!P$47</f>
        <v>56.871508674999987</v>
      </c>
      <c r="Q40" s="12">
        <f>Calcite!Q$47</f>
        <v>56.871508674999987</v>
      </c>
      <c r="R40" s="12">
        <f>Calcite!R$47</f>
        <v>56.871508674999987</v>
      </c>
      <c r="S40" s="12">
        <f>Calcite!S$47</f>
        <v>56.871508674999987</v>
      </c>
      <c r="T40" s="12">
        <f>Calcite!T$47</f>
        <v>56.871508674999987</v>
      </c>
      <c r="U40" s="12">
        <f>Calcite!U$47</f>
        <v>56.871508674999987</v>
      </c>
      <c r="V40" s="12">
        <f>Calcite!V$47</f>
        <v>56.871508674999987</v>
      </c>
      <c r="W40" s="12">
        <f>Calcite!W$47</f>
        <v>56.871508674999987</v>
      </c>
    </row>
    <row r="41" spans="1:23" x14ac:dyDescent="0.2">
      <c r="A41" s="10">
        <f t="shared" si="11"/>
        <v>31</v>
      </c>
      <c r="D41" s="3" t="str">
        <f t="shared" si="10"/>
        <v>New Project 10</v>
      </c>
      <c r="I41" s="12">
        <f>'New Project 10'!I$47</f>
        <v>0</v>
      </c>
      <c r="J41" s="12">
        <f>'New Project 10'!J$47</f>
        <v>0</v>
      </c>
      <c r="K41" s="12">
        <f>'New Project 10'!K$47</f>
        <v>0</v>
      </c>
      <c r="L41" s="12">
        <f>'New Project 10'!L$47</f>
        <v>0</v>
      </c>
      <c r="M41" s="12">
        <f>'New Project 10'!M$47</f>
        <v>0</v>
      </c>
      <c r="N41" s="12">
        <f>'New Project 10'!N$47</f>
        <v>0</v>
      </c>
      <c r="O41" s="12">
        <f>'New Project 10'!O$47</f>
        <v>0</v>
      </c>
      <c r="P41" s="12">
        <f>'New Project 10'!P$47</f>
        <v>0</v>
      </c>
      <c r="Q41" s="12">
        <f>'New Project 10'!Q$47</f>
        <v>0</v>
      </c>
      <c r="R41" s="12">
        <f>'New Project 10'!R$47</f>
        <v>0</v>
      </c>
      <c r="S41" s="12">
        <f>'New Project 10'!S$47</f>
        <v>0</v>
      </c>
      <c r="T41" s="12">
        <f>'New Project 10'!T$47</f>
        <v>0</v>
      </c>
      <c r="U41" s="12">
        <f>'New Project 10'!U$47</f>
        <v>0</v>
      </c>
      <c r="V41" s="12">
        <f>'New Project 10'!V$47</f>
        <v>0</v>
      </c>
      <c r="W41" s="12">
        <f>'New Project 10'!W$47</f>
        <v>0</v>
      </c>
    </row>
    <row r="42" spans="1:23" x14ac:dyDescent="0.2">
      <c r="A42" s="10">
        <f t="shared" si="11"/>
        <v>32</v>
      </c>
      <c r="D42" s="3" t="str">
        <f t="shared" si="10"/>
        <v>New Project 11</v>
      </c>
      <c r="I42" s="12">
        <f>'New Project 11'!I$47</f>
        <v>0</v>
      </c>
      <c r="J42" s="12">
        <f>'New Project 11'!J$47</f>
        <v>0</v>
      </c>
      <c r="K42" s="12">
        <f>'New Project 11'!K$47</f>
        <v>0</v>
      </c>
      <c r="L42" s="12">
        <f>'New Project 11'!L$47</f>
        <v>0</v>
      </c>
      <c r="M42" s="12">
        <f>'New Project 11'!M$47</f>
        <v>0</v>
      </c>
      <c r="N42" s="12">
        <f>'New Project 11'!N$47</f>
        <v>0</v>
      </c>
      <c r="O42" s="12">
        <f>'New Project 11'!O$47</f>
        <v>0</v>
      </c>
      <c r="P42" s="12">
        <f>'New Project 11'!P$47</f>
        <v>0</v>
      </c>
      <c r="Q42" s="12">
        <f>'New Project 11'!Q$47</f>
        <v>0</v>
      </c>
      <c r="R42" s="12">
        <f>'New Project 11'!R$47</f>
        <v>0</v>
      </c>
      <c r="S42" s="12">
        <f>'New Project 11'!S$47</f>
        <v>0</v>
      </c>
      <c r="T42" s="12">
        <f>'New Project 11'!T$47</f>
        <v>0</v>
      </c>
      <c r="U42" s="12">
        <f>'New Project 11'!U$47</f>
        <v>0</v>
      </c>
      <c r="V42" s="12">
        <f>'New Project 11'!V$47</f>
        <v>0</v>
      </c>
      <c r="W42" s="12">
        <f>'New Project 11'!W$47</f>
        <v>0</v>
      </c>
    </row>
    <row r="43" spans="1:23" x14ac:dyDescent="0.2">
      <c r="A43" s="10">
        <f t="shared" si="11"/>
        <v>33</v>
      </c>
      <c r="D43" s="3" t="str">
        <f t="shared" si="10"/>
        <v>New Project 12</v>
      </c>
      <c r="I43" s="12">
        <f>'New Project 12'!I$47</f>
        <v>0</v>
      </c>
      <c r="J43" s="12">
        <f>'New Project 12'!J$47</f>
        <v>0</v>
      </c>
      <c r="K43" s="12">
        <f>'New Project 12'!K$47</f>
        <v>0</v>
      </c>
      <c r="L43" s="12">
        <f>'New Project 12'!L$47</f>
        <v>0</v>
      </c>
      <c r="M43" s="12">
        <f>'New Project 12'!M$47</f>
        <v>0</v>
      </c>
      <c r="N43" s="12">
        <f>'New Project 12'!N$47</f>
        <v>0</v>
      </c>
      <c r="O43" s="12">
        <f>'New Project 12'!O$47</f>
        <v>0</v>
      </c>
      <c r="P43" s="12">
        <f>'New Project 12'!P$47</f>
        <v>0</v>
      </c>
      <c r="Q43" s="12">
        <f>'New Project 12'!Q$47</f>
        <v>0</v>
      </c>
      <c r="R43" s="12">
        <f>'New Project 12'!R$47</f>
        <v>0</v>
      </c>
      <c r="S43" s="12">
        <f>'New Project 12'!S$47</f>
        <v>0</v>
      </c>
      <c r="T43" s="12">
        <f>'New Project 12'!T$47</f>
        <v>0</v>
      </c>
      <c r="U43" s="12">
        <f>'New Project 12'!U$47</f>
        <v>0</v>
      </c>
      <c r="V43" s="12">
        <f>'New Project 12'!V$47</f>
        <v>0</v>
      </c>
      <c r="W43" s="12">
        <f>'New Project 12'!W$47</f>
        <v>0</v>
      </c>
    </row>
    <row r="44" spans="1:23" x14ac:dyDescent="0.2">
      <c r="A44" s="10">
        <f t="shared" si="11"/>
        <v>34</v>
      </c>
      <c r="D44" s="3" t="str">
        <f t="shared" si="10"/>
        <v>Total</v>
      </c>
      <c r="I44" s="20">
        <f>SUM(I31:I43)</f>
        <v>18157.698619933475</v>
      </c>
      <c r="J44" s="20">
        <f t="shared" ref="J44:W44" si="12">SUM(J31:J43)</f>
        <v>19083.582582051891</v>
      </c>
      <c r="K44" s="20">
        <f t="shared" si="12"/>
        <v>20119.81305426771</v>
      </c>
      <c r="L44" s="20">
        <f t="shared" si="12"/>
        <v>21137.98461537619</v>
      </c>
      <c r="M44" s="20">
        <f t="shared" si="12"/>
        <v>22077.994995590147</v>
      </c>
      <c r="N44" s="20">
        <f t="shared" si="12"/>
        <v>23152.193357683762</v>
      </c>
      <c r="O44" s="20">
        <f t="shared" si="12"/>
        <v>24066.062751939739</v>
      </c>
      <c r="P44" s="20">
        <f t="shared" si="12"/>
        <v>24561.10793208719</v>
      </c>
      <c r="Q44" s="20">
        <f t="shared" si="12"/>
        <v>24972.724344435468</v>
      </c>
      <c r="R44" s="20">
        <f t="shared" si="12"/>
        <v>25392.545759482698</v>
      </c>
      <c r="S44" s="20">
        <f t="shared" si="12"/>
        <v>25820.763602830873</v>
      </c>
      <c r="T44" s="20">
        <f t="shared" si="12"/>
        <v>26257.545803046014</v>
      </c>
      <c r="U44" s="20">
        <f t="shared" si="12"/>
        <v>26703.063647265455</v>
      </c>
      <c r="V44" s="20">
        <f t="shared" si="12"/>
        <v>27157.491848369285</v>
      </c>
      <c r="W44" s="20">
        <f t="shared" si="12"/>
        <v>27621.008613495193</v>
      </c>
    </row>
    <row r="45" spans="1:23" x14ac:dyDescent="0.2">
      <c r="A45" s="10">
        <f t="shared" si="11"/>
        <v>35</v>
      </c>
      <c r="E45" s="11" t="s">
        <v>6</v>
      </c>
      <c r="J45" s="33">
        <f t="shared" ref="J45:W45" si="13">J44/I44-1</f>
        <v>5.0991261695575441E-2</v>
      </c>
      <c r="K45" s="33">
        <f t="shared" si="13"/>
        <v>5.429957754318071E-2</v>
      </c>
      <c r="L45" s="33">
        <f t="shared" si="13"/>
        <v>5.0605418567371441E-2</v>
      </c>
      <c r="M45" s="33">
        <f t="shared" si="13"/>
        <v>4.447019890108983E-2</v>
      </c>
      <c r="N45" s="33">
        <f t="shared" si="13"/>
        <v>4.8654706295031547E-2</v>
      </c>
      <c r="O45" s="33">
        <f t="shared" si="13"/>
        <v>3.9472259933967857E-2</v>
      </c>
      <c r="P45" s="33">
        <f t="shared" si="13"/>
        <v>2.0570260505430982E-2</v>
      </c>
      <c r="Q45" s="33">
        <f t="shared" si="13"/>
        <v>1.6758869896521755E-2</v>
      </c>
      <c r="R45" s="33">
        <f t="shared" si="13"/>
        <v>1.6811198059805577E-2</v>
      </c>
      <c r="S45" s="33">
        <f t="shared" si="13"/>
        <v>1.6863919333029331E-2</v>
      </c>
      <c r="T45" s="33">
        <f t="shared" si="13"/>
        <v>1.6915928859952523E-2</v>
      </c>
      <c r="U45" s="33">
        <f t="shared" si="13"/>
        <v>1.6967230965194036E-2</v>
      </c>
      <c r="V45" s="33">
        <f t="shared" si="13"/>
        <v>1.7017830130153122E-2</v>
      </c>
      <c r="W45" s="33">
        <f t="shared" si="13"/>
        <v>1.7067730986127128E-2</v>
      </c>
    </row>
    <row r="46" spans="1:23" x14ac:dyDescent="0.2"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23" x14ac:dyDescent="0.2">
      <c r="C47" s="1" t="s">
        <v>62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23" x14ac:dyDescent="0.2">
      <c r="A48" s="10">
        <f>A45+1</f>
        <v>36</v>
      </c>
      <c r="D48" s="3" t="str">
        <f t="shared" ref="D48:D61" si="14">D7</f>
        <v>Existing Facilities</v>
      </c>
      <c r="I48" s="12">
        <f>Existing!I170</f>
        <v>11898.281377396586</v>
      </c>
      <c r="J48" s="12">
        <f>Existing!J170</f>
        <v>11666.089302172712</v>
      </c>
      <c r="K48" s="12">
        <f>Existing!K170</f>
        <v>11429.253385444357</v>
      </c>
      <c r="L48" s="12">
        <f>Existing!L170</f>
        <v>11187.680750381438</v>
      </c>
      <c r="M48" s="12">
        <f>Existing!M170</f>
        <v>10941.276662617258</v>
      </c>
      <c r="N48" s="12">
        <f>Existing!N170</f>
        <v>10689.944493097797</v>
      </c>
      <c r="O48" s="12">
        <f>Existing!O170</f>
        <v>10433.585680187945</v>
      </c>
      <c r="P48" s="12">
        <f>Existing!P170</f>
        <v>10172.099691019897</v>
      </c>
      <c r="Q48" s="12">
        <f>Existing!Q170</f>
        <v>9905.383982068488</v>
      </c>
      <c r="R48" s="12">
        <f>Existing!R170</f>
        <v>9633.3339589380485</v>
      </c>
      <c r="S48" s="12">
        <f>Existing!S170</f>
        <v>9355.842935345001</v>
      </c>
      <c r="T48" s="12">
        <f>Existing!T170</f>
        <v>9072.8020912800948</v>
      </c>
      <c r="U48" s="12">
        <f>Existing!U170</f>
        <v>8784.1004303338887</v>
      </c>
      <c r="V48" s="12">
        <f>Existing!V170</f>
        <v>8489.6247361687583</v>
      </c>
      <c r="W48" s="12">
        <f>Existing!W170</f>
        <v>8189.2595281203248</v>
      </c>
    </row>
    <row r="49" spans="1:23" x14ac:dyDescent="0.2">
      <c r="A49" s="10">
        <f t="shared" ref="A49:A62" si="15">A48+1</f>
        <v>37</v>
      </c>
      <c r="D49" s="3" t="str">
        <f t="shared" si="14"/>
        <v>Reliability</v>
      </c>
      <c r="I49" s="12">
        <f>Reliability!I$80</f>
        <v>81.747183691109655</v>
      </c>
      <c r="J49" s="12">
        <f>Reliability!J$80</f>
        <v>306.57113596997351</v>
      </c>
      <c r="K49" s="12">
        <f>Reliability!K$80</f>
        <v>604.05789955020214</v>
      </c>
      <c r="L49" s="12">
        <f>Reliability!L$80</f>
        <v>1008.1473964400687</v>
      </c>
      <c r="M49" s="12">
        <f>Reliability!M$80</f>
        <v>1448.973054862674</v>
      </c>
      <c r="N49" s="12">
        <f>Reliability!N$80</f>
        <v>2023.6171394958521</v>
      </c>
      <c r="O49" s="12">
        <f>Reliability!O$80</f>
        <v>2446.4395106519682</v>
      </c>
      <c r="P49" s="12">
        <f>Reliability!P$80</f>
        <v>2434.017277035171</v>
      </c>
      <c r="Q49" s="12">
        <f>Reliability!Q$80</f>
        <v>2332.5261279752226</v>
      </c>
      <c r="R49" s="12">
        <f>Reliability!R$80</f>
        <v>2234.6023559025098</v>
      </c>
      <c r="S49" s="12">
        <f>Reliability!S$80</f>
        <v>2139.3564686416194</v>
      </c>
      <c r="T49" s="12">
        <f>Reliability!T$80</f>
        <v>2045.8319283156236</v>
      </c>
      <c r="U49" s="12">
        <f>Reliability!U$80</f>
        <v>1953.1515400482631</v>
      </c>
      <c r="V49" s="12">
        <f>Reliability!V$80</f>
        <v>1860.8705092859082</v>
      </c>
      <c r="W49" s="12">
        <f>Reliability!W$80</f>
        <v>1768.9089495498615</v>
      </c>
    </row>
    <row r="50" spans="1:23" x14ac:dyDescent="0.2">
      <c r="A50" s="10">
        <f t="shared" si="15"/>
        <v>38</v>
      </c>
      <c r="D50" s="3" t="str">
        <f t="shared" si="14"/>
        <v>South CC(Completed)</v>
      </c>
      <c r="I50" s="12">
        <f>'South CC'!I$80</f>
        <v>0</v>
      </c>
      <c r="J50" s="12">
        <f>'South CC'!J$80</f>
        <v>0</v>
      </c>
      <c r="K50" s="12">
        <f>'South CC'!K$80</f>
        <v>0</v>
      </c>
      <c r="L50" s="12">
        <f>'South CC'!L$80</f>
        <v>0</v>
      </c>
      <c r="M50" s="12">
        <f>'South CC'!M$80</f>
        <v>0</v>
      </c>
      <c r="N50" s="12">
        <f>'South CC'!N$80</f>
        <v>0</v>
      </c>
      <c r="O50" s="12">
        <f>'South CC'!O$80</f>
        <v>0</v>
      </c>
      <c r="P50" s="12">
        <f>'South CC'!P$80</f>
        <v>0</v>
      </c>
      <c r="Q50" s="12">
        <f>'South CC'!Q$80</f>
        <v>0</v>
      </c>
      <c r="R50" s="12">
        <f>'South CC'!R$80</f>
        <v>0</v>
      </c>
      <c r="S50" s="12">
        <f>'South CC'!S$80</f>
        <v>0</v>
      </c>
      <c r="T50" s="12">
        <f>'South CC'!T$80</f>
        <v>0</v>
      </c>
      <c r="U50" s="12">
        <f>'South CC'!U$80</f>
        <v>0</v>
      </c>
      <c r="V50" s="12">
        <f>'South CC'!V$80</f>
        <v>0</v>
      </c>
      <c r="W50" s="12">
        <f>'South CC'!W$80</f>
        <v>0</v>
      </c>
    </row>
    <row r="51" spans="1:23" x14ac:dyDescent="0.2">
      <c r="A51" s="10">
        <f t="shared" si="15"/>
        <v>39</v>
      </c>
      <c r="D51" s="3" t="str">
        <f t="shared" si="14"/>
        <v>Tehachapi (Completed)</v>
      </c>
      <c r="I51" s="12">
        <f>Tehachapi!I$80</f>
        <v>0</v>
      </c>
      <c r="J51" s="12">
        <f>Tehachapi!J$80</f>
        <v>0</v>
      </c>
      <c r="K51" s="12">
        <f>Tehachapi!K$80</f>
        <v>0</v>
      </c>
      <c r="L51" s="12">
        <f>Tehachapi!L$80</f>
        <v>0</v>
      </c>
      <c r="M51" s="12">
        <f>Tehachapi!M$80</f>
        <v>0</v>
      </c>
      <c r="N51" s="12">
        <f>Tehachapi!N$80</f>
        <v>0</v>
      </c>
      <c r="O51" s="12">
        <f>Tehachapi!O$80</f>
        <v>0</v>
      </c>
      <c r="P51" s="12">
        <f>Tehachapi!P$80</f>
        <v>0</v>
      </c>
      <c r="Q51" s="12">
        <f>Tehachapi!Q$80</f>
        <v>0</v>
      </c>
      <c r="R51" s="12">
        <f>Tehachapi!R$80</f>
        <v>0</v>
      </c>
      <c r="S51" s="12">
        <f>Tehachapi!S$80</f>
        <v>0</v>
      </c>
      <c r="T51" s="12">
        <f>Tehachapi!T$80</f>
        <v>0</v>
      </c>
      <c r="U51" s="12">
        <f>Tehachapi!U$80</f>
        <v>0</v>
      </c>
      <c r="V51" s="12">
        <f>Tehachapi!V$80</f>
        <v>0</v>
      </c>
      <c r="W51" s="12">
        <f>Tehachapi!W$80</f>
        <v>0</v>
      </c>
    </row>
    <row r="52" spans="1:23" x14ac:dyDescent="0.2">
      <c r="A52" s="10">
        <f t="shared" si="15"/>
        <v>40</v>
      </c>
      <c r="D52" s="3" t="str">
        <f t="shared" si="14"/>
        <v>WOD</v>
      </c>
      <c r="I52" s="12">
        <f>WOD!I$80</f>
        <v>0</v>
      </c>
      <c r="J52" s="12">
        <f>WOD!J$80</f>
        <v>44.912470687499997</v>
      </c>
      <c r="K52" s="12">
        <f>WOD!K$80</f>
        <v>146.71602201971581</v>
      </c>
      <c r="L52" s="12">
        <f>WOD!L$80</f>
        <v>199.30524412207012</v>
      </c>
      <c r="M52" s="12">
        <f>WOD!M$80</f>
        <v>190.92673997037153</v>
      </c>
      <c r="N52" s="12">
        <f>WOD!N$80</f>
        <v>182.97702567870829</v>
      </c>
      <c r="O52" s="12">
        <f>WOD!O$80</f>
        <v>175.4149485712901</v>
      </c>
      <c r="P52" s="12">
        <f>WOD!P$80</f>
        <v>168.2033849243951</v>
      </c>
      <c r="Q52" s="12">
        <f>WOD!Q$80</f>
        <v>161.24435142957137</v>
      </c>
      <c r="R52" s="12">
        <f>WOD!R$80</f>
        <v>154.3850952520967</v>
      </c>
      <c r="S52" s="12">
        <f>WOD!S$80</f>
        <v>147.55255479332729</v>
      </c>
      <c r="T52" s="12">
        <f>WOD!T$80</f>
        <v>140.74539426732781</v>
      </c>
      <c r="U52" s="12">
        <f>WOD!U$80</f>
        <v>133.96234467745978</v>
      </c>
      <c r="V52" s="12">
        <f>WOD!V$80</f>
        <v>127.20220047691664</v>
      </c>
      <c r="W52" s="12">
        <f>WOD!W$80</f>
        <v>120.46381639623213</v>
      </c>
    </row>
    <row r="53" spans="1:23" x14ac:dyDescent="0.2">
      <c r="A53" s="10">
        <f t="shared" si="15"/>
        <v>41</v>
      </c>
      <c r="D53" s="3" t="str">
        <f t="shared" si="14"/>
        <v>CW-Lugo(Completed)</v>
      </c>
      <c r="I53" s="12">
        <f>'CW-Lugo'!I$80</f>
        <v>0</v>
      </c>
      <c r="J53" s="12">
        <f>'CW-Lugo'!J$80</f>
        <v>0</v>
      </c>
      <c r="K53" s="12">
        <f>'CW-Lugo'!K$80</f>
        <v>0</v>
      </c>
      <c r="L53" s="12">
        <f>'CW-Lugo'!L$80</f>
        <v>0</v>
      </c>
      <c r="M53" s="12">
        <f>'CW-Lugo'!M$80</f>
        <v>0</v>
      </c>
      <c r="N53" s="12">
        <f>'CW-Lugo'!N$80</f>
        <v>0</v>
      </c>
      <c r="O53" s="12">
        <f>'CW-Lugo'!O$80</f>
        <v>0</v>
      </c>
      <c r="P53" s="12">
        <f>'CW-Lugo'!P$80</f>
        <v>0</v>
      </c>
      <c r="Q53" s="12">
        <f>'CW-Lugo'!Q$80</f>
        <v>0</v>
      </c>
      <c r="R53" s="12">
        <f>'CW-Lugo'!R$80</f>
        <v>0</v>
      </c>
      <c r="S53" s="12">
        <f>'CW-Lugo'!S$80</f>
        <v>0</v>
      </c>
      <c r="T53" s="12">
        <f>'CW-Lugo'!T$80</f>
        <v>0</v>
      </c>
      <c r="U53" s="12">
        <f>'CW-Lugo'!U$80</f>
        <v>0</v>
      </c>
      <c r="V53" s="12">
        <f>'CW-Lugo'!V$80</f>
        <v>0</v>
      </c>
      <c r="W53" s="12">
        <f>'CW-Lugo'!W$80</f>
        <v>0</v>
      </c>
    </row>
    <row r="54" spans="1:23" x14ac:dyDescent="0.2">
      <c r="A54" s="10">
        <f t="shared" si="15"/>
        <v>42</v>
      </c>
      <c r="D54" s="3" t="str">
        <f t="shared" si="14"/>
        <v>2019-20 Policy and Econ</v>
      </c>
      <c r="I54" s="12">
        <f>'2019-20 Policy and Econ'!I$80</f>
        <v>155.13219992500001</v>
      </c>
      <c r="J54" s="12">
        <f>'2019-20 Policy and Econ'!J$80</f>
        <v>475.80928018223909</v>
      </c>
      <c r="K54" s="12">
        <f>'2019-20 Policy and Econ'!K$80</f>
        <v>668.28385132699555</v>
      </c>
      <c r="L54" s="12">
        <f>'2019-20 Policy and Econ'!L$80</f>
        <v>681.1004733509493</v>
      </c>
      <c r="M54" s="12">
        <f>'2019-20 Policy and Econ'!M$80</f>
        <v>689.7852627108723</v>
      </c>
      <c r="N54" s="12">
        <f>'2019-20 Policy and Econ'!N$80</f>
        <v>697.87926006832538</v>
      </c>
      <c r="O54" s="12">
        <f>'2019-20 Policy and Econ'!O$80</f>
        <v>669.03891323959806</v>
      </c>
      <c r="P54" s="12">
        <f>'2019-20 Policy and Econ'!P$80</f>
        <v>641.07230564685449</v>
      </c>
      <c r="Q54" s="12">
        <f>'2019-20 Policy and Econ'!Q$80</f>
        <v>613.55603768398828</v>
      </c>
      <c r="R54" s="12">
        <f>'2019-20 Policy and Econ'!R$80</f>
        <v>586.29020129691435</v>
      </c>
      <c r="S54" s="12">
        <f>'2019-20 Policy and Econ'!S$80</f>
        <v>559.20578982723907</v>
      </c>
      <c r="T54" s="12">
        <f>'2019-20 Policy and Econ'!T$80</f>
        <v>532.24309264400017</v>
      </c>
      <c r="U54" s="12">
        <f>'2019-20 Policy and Econ'!U$80</f>
        <v>505.37154976607638</v>
      </c>
      <c r="V54" s="12">
        <f>'2019-20 Policy and Econ'!V$80</f>
        <v>478.58660347820228</v>
      </c>
      <c r="W54" s="12">
        <f>'2019-20 Policy and Econ'!W$80</f>
        <v>451.8839239508751</v>
      </c>
    </row>
    <row r="55" spans="1:23" x14ac:dyDescent="0.2">
      <c r="A55" s="10">
        <f t="shared" si="15"/>
        <v>43</v>
      </c>
      <c r="D55" s="3" t="str">
        <f t="shared" si="14"/>
        <v>ClrdoRvr</v>
      </c>
      <c r="I55" s="12">
        <f>ClrdoRvr!I$80</f>
        <v>0</v>
      </c>
      <c r="J55" s="12">
        <f>ClrdoRvr!J$80</f>
        <v>6.6756081000000007</v>
      </c>
      <c r="K55" s="12">
        <f>ClrdoRvr!K$80</f>
        <v>21.100434304823704</v>
      </c>
      <c r="L55" s="12">
        <f>ClrdoRvr!L$80</f>
        <v>28.240110198012747</v>
      </c>
      <c r="M55" s="12">
        <f>ClrdoRvr!M$80</f>
        <v>27.052936816897112</v>
      </c>
      <c r="N55" s="12">
        <f>ClrdoRvr!N$80</f>
        <v>25.926519854673153</v>
      </c>
      <c r="O55" s="12">
        <f>ClrdoRvr!O$80</f>
        <v>24.855028275111088</v>
      </c>
      <c r="P55" s="12">
        <f>ClrdoRvr!P$80</f>
        <v>23.833201915321162</v>
      </c>
      <c r="Q55" s="12">
        <f>ClrdoRvr!Q$80</f>
        <v>22.847157249857588</v>
      </c>
      <c r="R55" s="12">
        <f>ClrdoRvr!R$80</f>
        <v>21.87525030791258</v>
      </c>
      <c r="S55" s="12">
        <f>ClrdoRvr!S$80</f>
        <v>20.907128789896472</v>
      </c>
      <c r="T55" s="12">
        <f>ClrdoRvr!T$80</f>
        <v>19.942603424612813</v>
      </c>
      <c r="U55" s="12">
        <f>ClrdoRvr!U$80</f>
        <v>18.981494404424986</v>
      </c>
      <c r="V55" s="12">
        <f>ClrdoRvr!V$80</f>
        <v>18.023630912078204</v>
      </c>
      <c r="W55" s="12">
        <f>ClrdoRvr!W$80</f>
        <v>17.0688506711804</v>
      </c>
    </row>
    <row r="56" spans="1:23" x14ac:dyDescent="0.2">
      <c r="A56" s="10">
        <f t="shared" si="15"/>
        <v>44</v>
      </c>
      <c r="D56" s="3" t="str">
        <f t="shared" si="14"/>
        <v>Red Bluff 2nd 'AA' Bank</v>
      </c>
      <c r="I56" s="12">
        <f>'Red Bluff 2AA Bank'!I$80</f>
        <v>0</v>
      </c>
      <c r="J56" s="12">
        <f>'Red Bluff 2AA Bank'!J$80</f>
        <v>0</v>
      </c>
      <c r="K56" s="12">
        <f>'Red Bluff 2AA Bank'!K$80</f>
        <v>17.349301831414454</v>
      </c>
      <c r="L56" s="12">
        <f>'Red Bluff 2AA Bank'!L$80</f>
        <v>33.965483439508567</v>
      </c>
      <c r="M56" s="12">
        <f>'Red Bluff 2AA Bank'!M$80</f>
        <v>32.537623649536997</v>
      </c>
      <c r="N56" s="12">
        <f>'Red Bluff 2AA Bank'!N$80</f>
        <v>31.182837977380096</v>
      </c>
      <c r="O56" s="12">
        <f>'Red Bluff 2AA Bank'!O$80</f>
        <v>29.894113208035922</v>
      </c>
      <c r="P56" s="12">
        <f>'Red Bluff 2AA Bank'!P$80</f>
        <v>28.665122738163738</v>
      </c>
      <c r="Q56" s="12">
        <f>'Red Bluff 2AA Bank'!Q$80</f>
        <v>27.479168309495265</v>
      </c>
      <c r="R56" s="12">
        <f>'Red Bluff 2AA Bank'!R$80</f>
        <v>26.310217873044788</v>
      </c>
      <c r="S56" s="12">
        <f>'Red Bluff 2AA Bank'!S$80</f>
        <v>25.145820313791567</v>
      </c>
      <c r="T56" s="12">
        <f>'Red Bluff 2AA Bank'!T$80</f>
        <v>23.98574798787574</v>
      </c>
      <c r="U56" s="12">
        <f>'Red Bluff 2AA Bank'!U$80</f>
        <v>22.829784633630435</v>
      </c>
      <c r="V56" s="12">
        <f>'Red Bluff 2AA Bank'!V$80</f>
        <v>21.677724802472124</v>
      </c>
      <c r="W56" s="12">
        <f>'Red Bluff 2AA Bank'!W$80</f>
        <v>20.52937331824646</v>
      </c>
    </row>
    <row r="57" spans="1:23" x14ac:dyDescent="0.2">
      <c r="A57" s="10">
        <f t="shared" si="15"/>
        <v>45</v>
      </c>
      <c r="D57" s="3" t="str">
        <f t="shared" si="14"/>
        <v>Calcite</v>
      </c>
      <c r="I57" s="12">
        <f>Calcite!I$80</f>
        <v>0</v>
      </c>
      <c r="J57" s="12">
        <f>Calcite!J$80</f>
        <v>9.0146656624999988</v>
      </c>
      <c r="K57" s="12">
        <f>Calcite!K$80</f>
        <v>28.308673749999997</v>
      </c>
      <c r="L57" s="12">
        <f>Calcite!L$80</f>
        <v>47.12556093862451</v>
      </c>
      <c r="M57" s="12">
        <f>Calcite!M$80</f>
        <v>54.487042570727318</v>
      </c>
      <c r="N57" s="12">
        <f>Calcite!N$80</f>
        <v>52.196486120978278</v>
      </c>
      <c r="O57" s="12">
        <f>Calcite!O$80</f>
        <v>50.023154340658053</v>
      </c>
      <c r="P57" s="12">
        <f>Calcite!P$80</f>
        <v>47.955796709954399</v>
      </c>
      <c r="Q57" s="12">
        <f>Calcite!Q$80</f>
        <v>45.98426416367974</v>
      </c>
      <c r="R57" s="12">
        <f>Calcite!R$80</f>
        <v>44.081769545668884</v>
      </c>
      <c r="S57" s="12">
        <f>Calcite!S$80</f>
        <v>42.206552538751197</v>
      </c>
      <c r="T57" s="12">
        <f>Calcite!T$80</f>
        <v>40.338639205697248</v>
      </c>
      <c r="U57" s="12">
        <f>Calcite!U$80</f>
        <v>38.47766436281384</v>
      </c>
      <c r="V57" s="12">
        <f>Calcite!V$80</f>
        <v>36.623281085592453</v>
      </c>
      <c r="W57" s="12">
        <f>Calcite!W$80</f>
        <v>34.775159795749978</v>
      </c>
    </row>
    <row r="58" spans="1:23" x14ac:dyDescent="0.2">
      <c r="A58" s="10">
        <f t="shared" si="15"/>
        <v>46</v>
      </c>
      <c r="D58" s="3" t="str">
        <f t="shared" si="14"/>
        <v>New Project 10</v>
      </c>
      <c r="I58" s="12">
        <f>'New Project 10'!I$80</f>
        <v>0</v>
      </c>
      <c r="J58" s="12">
        <f>'New Project 10'!J$80</f>
        <v>0</v>
      </c>
      <c r="K58" s="12">
        <f>'New Project 10'!K$80</f>
        <v>0</v>
      </c>
      <c r="L58" s="12">
        <f>'New Project 10'!L$80</f>
        <v>0</v>
      </c>
      <c r="M58" s="12">
        <f>'New Project 10'!M$80</f>
        <v>0</v>
      </c>
      <c r="N58" s="12">
        <f>'New Project 10'!N$80</f>
        <v>0</v>
      </c>
      <c r="O58" s="12">
        <f>'New Project 10'!O$80</f>
        <v>0</v>
      </c>
      <c r="P58" s="12">
        <f>'New Project 10'!P$80</f>
        <v>0</v>
      </c>
      <c r="Q58" s="12">
        <f>'New Project 10'!Q$80</f>
        <v>0</v>
      </c>
      <c r="R58" s="12">
        <f>'New Project 10'!R$80</f>
        <v>0</v>
      </c>
      <c r="S58" s="12">
        <f>'New Project 10'!S$80</f>
        <v>0</v>
      </c>
      <c r="T58" s="12">
        <f>'New Project 10'!T$80</f>
        <v>0</v>
      </c>
      <c r="U58" s="12">
        <f>'New Project 10'!U$80</f>
        <v>0</v>
      </c>
      <c r="V58" s="12">
        <f>'New Project 10'!V$80</f>
        <v>0</v>
      </c>
      <c r="W58" s="12">
        <f>'New Project 10'!W$80</f>
        <v>0</v>
      </c>
    </row>
    <row r="59" spans="1:23" x14ac:dyDescent="0.2">
      <c r="A59" s="10">
        <f t="shared" si="15"/>
        <v>47</v>
      </c>
      <c r="D59" s="3" t="str">
        <f t="shared" si="14"/>
        <v>New Project 11</v>
      </c>
      <c r="I59" s="12">
        <f>'New Project 11'!I$80</f>
        <v>0</v>
      </c>
      <c r="J59" s="12">
        <f>'New Project 11'!J$80</f>
        <v>0</v>
      </c>
      <c r="K59" s="12">
        <f>'New Project 11'!K$80</f>
        <v>0</v>
      </c>
      <c r="L59" s="12">
        <f>'New Project 11'!L$80</f>
        <v>0</v>
      </c>
      <c r="M59" s="12">
        <f>'New Project 11'!M$80</f>
        <v>0</v>
      </c>
      <c r="N59" s="12">
        <f>'New Project 11'!N$80</f>
        <v>0</v>
      </c>
      <c r="O59" s="12">
        <f>'New Project 11'!O$80</f>
        <v>0</v>
      </c>
      <c r="P59" s="12">
        <f>'New Project 11'!P$80</f>
        <v>0</v>
      </c>
      <c r="Q59" s="12">
        <f>'New Project 11'!Q$80</f>
        <v>0</v>
      </c>
      <c r="R59" s="12">
        <f>'New Project 11'!R$80</f>
        <v>0</v>
      </c>
      <c r="S59" s="12">
        <f>'New Project 11'!S$80</f>
        <v>0</v>
      </c>
      <c r="T59" s="12">
        <f>'New Project 11'!T$80</f>
        <v>0</v>
      </c>
      <c r="U59" s="12">
        <f>'New Project 11'!U$80</f>
        <v>0</v>
      </c>
      <c r="V59" s="12">
        <f>'New Project 11'!V$80</f>
        <v>0</v>
      </c>
      <c r="W59" s="12">
        <f>'New Project 11'!W$80</f>
        <v>0</v>
      </c>
    </row>
    <row r="60" spans="1:23" x14ac:dyDescent="0.2">
      <c r="A60" s="10">
        <f t="shared" si="15"/>
        <v>48</v>
      </c>
      <c r="D60" s="3" t="str">
        <f t="shared" si="14"/>
        <v>New Project 12</v>
      </c>
      <c r="I60" s="12">
        <f>'New Project 12'!I$80</f>
        <v>0</v>
      </c>
      <c r="J60" s="12">
        <f>'New Project 12'!J$80</f>
        <v>0</v>
      </c>
      <c r="K60" s="12">
        <f>'New Project 12'!K$80</f>
        <v>0</v>
      </c>
      <c r="L60" s="12">
        <f>'New Project 12'!L$80</f>
        <v>0</v>
      </c>
      <c r="M60" s="12">
        <f>'New Project 12'!M$80</f>
        <v>0</v>
      </c>
      <c r="N60" s="12">
        <f>'New Project 12'!N$80</f>
        <v>0</v>
      </c>
      <c r="O60" s="12">
        <f>'New Project 12'!O$80</f>
        <v>0</v>
      </c>
      <c r="P60" s="12">
        <f>'New Project 12'!P$80</f>
        <v>0</v>
      </c>
      <c r="Q60" s="12">
        <f>'New Project 12'!Q$80</f>
        <v>0</v>
      </c>
      <c r="R60" s="12">
        <f>'New Project 12'!R$80</f>
        <v>0</v>
      </c>
      <c r="S60" s="12">
        <f>'New Project 12'!S$80</f>
        <v>0</v>
      </c>
      <c r="T60" s="12">
        <f>'New Project 12'!T$80</f>
        <v>0</v>
      </c>
      <c r="U60" s="12">
        <f>'New Project 12'!U$80</f>
        <v>0</v>
      </c>
      <c r="V60" s="12">
        <f>'New Project 12'!V$80</f>
        <v>0</v>
      </c>
      <c r="W60" s="12">
        <f>'New Project 12'!W$80</f>
        <v>0</v>
      </c>
    </row>
    <row r="61" spans="1:23" x14ac:dyDescent="0.2">
      <c r="A61" s="10">
        <f t="shared" si="15"/>
        <v>49</v>
      </c>
      <c r="D61" s="3" t="str">
        <f t="shared" si="14"/>
        <v>Total</v>
      </c>
      <c r="I61" s="20">
        <f t="shared" ref="I61:W61" si="16">SUM(I48:I60)</f>
        <v>12135.160761012696</v>
      </c>
      <c r="J61" s="20">
        <f t="shared" si="16"/>
        <v>12509.072462774924</v>
      </c>
      <c r="K61" s="20">
        <f t="shared" si="16"/>
        <v>12915.069568227511</v>
      </c>
      <c r="L61" s="20">
        <f t="shared" si="16"/>
        <v>13185.56501887067</v>
      </c>
      <c r="M61" s="20">
        <f t="shared" si="16"/>
        <v>13385.039323198338</v>
      </c>
      <c r="N61" s="20">
        <f t="shared" si="16"/>
        <v>13703.723762293714</v>
      </c>
      <c r="O61" s="20">
        <f t="shared" si="16"/>
        <v>13829.251348474607</v>
      </c>
      <c r="P61" s="20">
        <f t="shared" si="16"/>
        <v>13515.846779989755</v>
      </c>
      <c r="Q61" s="20">
        <f t="shared" si="16"/>
        <v>13109.021088880305</v>
      </c>
      <c r="R61" s="20">
        <f t="shared" si="16"/>
        <v>12700.878849116194</v>
      </c>
      <c r="S61" s="20">
        <f t="shared" si="16"/>
        <v>12290.217250249627</v>
      </c>
      <c r="T61" s="20">
        <f t="shared" si="16"/>
        <v>11875.889497125232</v>
      </c>
      <c r="U61" s="20">
        <f t="shared" si="16"/>
        <v>11456.874808226557</v>
      </c>
      <c r="V61" s="20">
        <f t="shared" si="16"/>
        <v>11032.608686209927</v>
      </c>
      <c r="W61" s="20">
        <f t="shared" si="16"/>
        <v>10602.88960180247</v>
      </c>
    </row>
    <row r="62" spans="1:23" x14ac:dyDescent="0.2">
      <c r="A62" s="10">
        <f t="shared" si="15"/>
        <v>50</v>
      </c>
      <c r="E62" s="11" t="s">
        <v>6</v>
      </c>
      <c r="J62" s="33">
        <f t="shared" ref="J62:W62" si="17">J61/I61-1</f>
        <v>3.0812257795835407E-2</v>
      </c>
      <c r="K62" s="33">
        <f t="shared" si="17"/>
        <v>3.2456211814327007E-2</v>
      </c>
      <c r="L62" s="33">
        <f t="shared" si="17"/>
        <v>2.094417294573514E-2</v>
      </c>
      <c r="M62" s="33">
        <f t="shared" si="17"/>
        <v>1.512823334018587E-2</v>
      </c>
      <c r="N62" s="33">
        <f t="shared" si="17"/>
        <v>2.3809002827735126E-2</v>
      </c>
      <c r="O62" s="33">
        <f t="shared" si="17"/>
        <v>9.1601077457710289E-3</v>
      </c>
      <c r="P62" s="33">
        <f t="shared" si="17"/>
        <v>-2.2662439244725996E-2</v>
      </c>
      <c r="Q62" s="33">
        <f t="shared" si="17"/>
        <v>-3.0099904040918557E-2</v>
      </c>
      <c r="R62" s="33">
        <f t="shared" si="17"/>
        <v>-3.1134455959516028E-2</v>
      </c>
      <c r="S62" s="33">
        <f t="shared" si="17"/>
        <v>-3.2333321476816002E-2</v>
      </c>
      <c r="T62" s="33">
        <f t="shared" si="17"/>
        <v>-3.3711995865327693E-2</v>
      </c>
      <c r="U62" s="33">
        <f t="shared" si="17"/>
        <v>-3.528280462698008E-2</v>
      </c>
      <c r="V62" s="33">
        <f t="shared" si="17"/>
        <v>-3.7031575287179375E-2</v>
      </c>
      <c r="W62" s="33">
        <f t="shared" si="17"/>
        <v>-3.894990719144964E-2</v>
      </c>
    </row>
    <row r="64" spans="1:23" x14ac:dyDescent="0.2">
      <c r="A64" s="60"/>
      <c r="B64" s="60"/>
      <c r="C64" s="61" t="s">
        <v>107</v>
      </c>
      <c r="D64" s="60"/>
      <c r="E64" s="60"/>
    </row>
    <row r="65" spans="1:23" x14ac:dyDescent="0.2">
      <c r="A65" s="10">
        <f>A62+1</f>
        <v>51</v>
      </c>
      <c r="D65" s="3" t="str">
        <f t="shared" ref="D65:D78" si="18">D7</f>
        <v>Existing Facilities</v>
      </c>
      <c r="I65" s="12">
        <f>Existing!I175</f>
        <v>636.40867340587772</v>
      </c>
      <c r="J65" s="12">
        <f>Existing!J175</f>
        <v>649.1368468739953</v>
      </c>
      <c r="K65" s="12">
        <f>Existing!K175</f>
        <v>662.1195838114752</v>
      </c>
      <c r="L65" s="12">
        <f>Existing!L175</f>
        <v>675.36197548770474</v>
      </c>
      <c r="M65" s="12">
        <f>Existing!M175</f>
        <v>688.86921499745881</v>
      </c>
      <c r="N65" s="12">
        <f>Existing!N175</f>
        <v>702.64659929740799</v>
      </c>
      <c r="O65" s="12">
        <f>Existing!O175</f>
        <v>716.69953128335612</v>
      </c>
      <c r="P65" s="12">
        <f>Existing!P175</f>
        <v>731.03352190902331</v>
      </c>
      <c r="Q65" s="12">
        <f>Existing!Q175</f>
        <v>745.65419234720378</v>
      </c>
      <c r="R65" s="12">
        <f>Existing!R175</f>
        <v>760.56727619414789</v>
      </c>
      <c r="S65" s="12">
        <f>Existing!S175</f>
        <v>775.77862171803088</v>
      </c>
      <c r="T65" s="12">
        <f>Existing!T175</f>
        <v>791.29419415239147</v>
      </c>
      <c r="U65" s="12">
        <f>Existing!U175</f>
        <v>807.12007803543929</v>
      </c>
      <c r="V65" s="12">
        <f>Existing!V175</f>
        <v>823.26247959614807</v>
      </c>
      <c r="W65" s="12">
        <f>Existing!W175</f>
        <v>839.72772918807107</v>
      </c>
    </row>
    <row r="66" spans="1:23" x14ac:dyDescent="0.2">
      <c r="A66" s="10">
        <f t="shared" ref="A66:A79" si="19">A65+1</f>
        <v>52</v>
      </c>
      <c r="D66" s="3" t="str">
        <f t="shared" si="18"/>
        <v>Reliability</v>
      </c>
      <c r="I66" s="12">
        <f>Reliability!I88</f>
        <v>0</v>
      </c>
      <c r="J66" s="12">
        <f>Reliability!J88</f>
        <v>3.3408740729016979</v>
      </c>
      <c r="K66" s="12">
        <f>Reliability!K88</f>
        <v>9.396179276705805</v>
      </c>
      <c r="L66" s="12">
        <f>Reliability!L88</f>
        <v>16.281422621816422</v>
      </c>
      <c r="M66" s="12">
        <f>Reliability!M88</f>
        <v>27.460956608949751</v>
      </c>
      <c r="N66" s="12">
        <f>Reliability!N88</f>
        <v>36.897735132103243</v>
      </c>
      <c r="O66" s="12">
        <f>Reliability!O88</f>
        <v>54.706215665940803</v>
      </c>
      <c r="P66" s="12">
        <f>Reliability!P88</f>
        <v>59.46030608149735</v>
      </c>
      <c r="Q66" s="12">
        <f>Reliability!Q88</f>
        <v>60.65058379324536</v>
      </c>
      <c r="R66" s="12">
        <f>Reliability!R88</f>
        <v>61.863595469110265</v>
      </c>
      <c r="S66" s="12">
        <f>Reliability!S88</f>
        <v>63.100867378492474</v>
      </c>
      <c r="T66" s="12">
        <f>Reliability!T88</f>
        <v>64.362884726062319</v>
      </c>
      <c r="U66" s="12">
        <f>Reliability!U88</f>
        <v>65.650142420583563</v>
      </c>
      <c r="V66" s="12">
        <f>Reliability!V88</f>
        <v>66.963145268995234</v>
      </c>
      <c r="W66" s="12">
        <f>Reliability!W88</f>
        <v>68.302408174375145</v>
      </c>
    </row>
    <row r="67" spans="1:23" x14ac:dyDescent="0.2">
      <c r="A67" s="10">
        <f t="shared" si="19"/>
        <v>53</v>
      </c>
      <c r="D67" s="3" t="str">
        <f t="shared" si="18"/>
        <v>South CC(Completed)</v>
      </c>
      <c r="I67" s="12">
        <f>'South CC'!I88</f>
        <v>0</v>
      </c>
      <c r="J67" s="12">
        <f>'South CC'!J88</f>
        <v>0</v>
      </c>
      <c r="K67" s="12">
        <f>'South CC'!K88</f>
        <v>0</v>
      </c>
      <c r="L67" s="12">
        <f>'South CC'!L88</f>
        <v>0</v>
      </c>
      <c r="M67" s="12">
        <f>'South CC'!M88</f>
        <v>0</v>
      </c>
      <c r="N67" s="12">
        <f>'South CC'!N88</f>
        <v>0</v>
      </c>
      <c r="O67" s="12">
        <f>'South CC'!O88</f>
        <v>0</v>
      </c>
      <c r="P67" s="12">
        <f>'South CC'!P88</f>
        <v>0</v>
      </c>
      <c r="Q67" s="12">
        <f>'South CC'!Q88</f>
        <v>0</v>
      </c>
      <c r="R67" s="12">
        <f>'South CC'!R88</f>
        <v>0</v>
      </c>
      <c r="S67" s="12">
        <f>'South CC'!S88</f>
        <v>0</v>
      </c>
      <c r="T67" s="12">
        <f>'South CC'!T88</f>
        <v>0</v>
      </c>
      <c r="U67" s="12">
        <f>'South CC'!U88</f>
        <v>0</v>
      </c>
      <c r="V67" s="12">
        <f>'South CC'!V88</f>
        <v>0</v>
      </c>
      <c r="W67" s="12">
        <f>'South CC'!W88</f>
        <v>0</v>
      </c>
    </row>
    <row r="68" spans="1:23" x14ac:dyDescent="0.2">
      <c r="A68" s="10">
        <f t="shared" si="19"/>
        <v>54</v>
      </c>
      <c r="D68" s="3" t="str">
        <f t="shared" si="18"/>
        <v>Tehachapi (Completed)</v>
      </c>
      <c r="I68" s="12">
        <f>Tehachapi!I88</f>
        <v>0</v>
      </c>
      <c r="J68" s="12">
        <f>Tehachapi!J88</f>
        <v>0</v>
      </c>
      <c r="K68" s="12">
        <f>Tehachapi!K88</f>
        <v>0</v>
      </c>
      <c r="L68" s="12">
        <f>Tehachapi!L88</f>
        <v>0</v>
      </c>
      <c r="M68" s="12">
        <f>Tehachapi!M88</f>
        <v>0</v>
      </c>
      <c r="N68" s="12">
        <f>Tehachapi!N88</f>
        <v>0</v>
      </c>
      <c r="O68" s="12">
        <f>Tehachapi!O88</f>
        <v>0</v>
      </c>
      <c r="P68" s="12">
        <f>Tehachapi!P88</f>
        <v>0</v>
      </c>
      <c r="Q68" s="12">
        <f>Tehachapi!Q88</f>
        <v>0</v>
      </c>
      <c r="R68" s="12">
        <f>Tehachapi!R88</f>
        <v>0</v>
      </c>
      <c r="S68" s="12">
        <f>Tehachapi!S88</f>
        <v>0</v>
      </c>
      <c r="T68" s="12">
        <f>Tehachapi!T88</f>
        <v>0</v>
      </c>
      <c r="U68" s="12">
        <f>Tehachapi!U88</f>
        <v>0</v>
      </c>
      <c r="V68" s="12">
        <f>Tehachapi!V88</f>
        <v>0</v>
      </c>
      <c r="W68" s="12">
        <f>Tehachapi!W88</f>
        <v>0</v>
      </c>
    </row>
    <row r="69" spans="1:23" x14ac:dyDescent="0.2">
      <c r="A69" s="10">
        <f t="shared" si="19"/>
        <v>55</v>
      </c>
      <c r="D69" s="3" t="str">
        <f t="shared" si="18"/>
        <v>WOD</v>
      </c>
      <c r="I69" s="12">
        <f>WOD!I88</f>
        <v>0</v>
      </c>
      <c r="J69" s="12">
        <f>WOD!J88</f>
        <v>0</v>
      </c>
      <c r="K69" s="12">
        <f>WOD!K88</f>
        <v>0</v>
      </c>
      <c r="L69" s="12">
        <f>WOD!L88</f>
        <v>4.1605451077099991</v>
      </c>
      <c r="M69" s="12">
        <f>WOD!M88</f>
        <v>4.2437560098641995</v>
      </c>
      <c r="N69" s="12">
        <f>WOD!N88</f>
        <v>4.3286311300614839</v>
      </c>
      <c r="O69" s="12">
        <f>WOD!O88</f>
        <v>4.4152037526627135</v>
      </c>
      <c r="P69" s="12">
        <f>WOD!P88</f>
        <v>4.5035078277159677</v>
      </c>
      <c r="Q69" s="12">
        <f>WOD!Q88</f>
        <v>4.5935779842702873</v>
      </c>
      <c r="R69" s="12">
        <f>WOD!R88</f>
        <v>4.6854495439556931</v>
      </c>
      <c r="S69" s="12">
        <f>WOD!S88</f>
        <v>4.7791585348348073</v>
      </c>
      <c r="T69" s="12">
        <f>WOD!T88</f>
        <v>4.8747417055315037</v>
      </c>
      <c r="U69" s="12">
        <f>WOD!U88</f>
        <v>4.9722365396421342</v>
      </c>
      <c r="V69" s="12">
        <f>WOD!V88</f>
        <v>5.0716812704349765</v>
      </c>
      <c r="W69" s="12">
        <f>WOD!W88</f>
        <v>5.1731148958436766</v>
      </c>
    </row>
    <row r="70" spans="1:23" x14ac:dyDescent="0.2">
      <c r="A70" s="10">
        <f t="shared" si="19"/>
        <v>56</v>
      </c>
      <c r="D70" s="3" t="str">
        <f t="shared" si="18"/>
        <v>CW-Lugo(Completed)</v>
      </c>
      <c r="I70" s="12">
        <f>'CW-Lugo'!I88</f>
        <v>0</v>
      </c>
      <c r="J70" s="12">
        <f>'CW-Lugo'!J88</f>
        <v>0</v>
      </c>
      <c r="K70" s="12">
        <f>'CW-Lugo'!K88</f>
        <v>0</v>
      </c>
      <c r="L70" s="12">
        <f>'CW-Lugo'!L88</f>
        <v>0</v>
      </c>
      <c r="M70" s="12">
        <f>'CW-Lugo'!M88</f>
        <v>0</v>
      </c>
      <c r="N70" s="12">
        <f>'CW-Lugo'!N88</f>
        <v>0</v>
      </c>
      <c r="O70" s="12">
        <f>'CW-Lugo'!O88</f>
        <v>0</v>
      </c>
      <c r="P70" s="12">
        <f>'CW-Lugo'!P88</f>
        <v>0</v>
      </c>
      <c r="Q70" s="12">
        <f>'CW-Lugo'!Q88</f>
        <v>0</v>
      </c>
      <c r="R70" s="12">
        <f>'CW-Lugo'!R88</f>
        <v>0</v>
      </c>
      <c r="S70" s="12">
        <f>'CW-Lugo'!S88</f>
        <v>0</v>
      </c>
      <c r="T70" s="12">
        <f>'CW-Lugo'!T88</f>
        <v>0</v>
      </c>
      <c r="U70" s="12">
        <f>'CW-Lugo'!U88</f>
        <v>0</v>
      </c>
      <c r="V70" s="12">
        <f>'CW-Lugo'!V88</f>
        <v>0</v>
      </c>
      <c r="W70" s="12">
        <f>'CW-Lugo'!W88</f>
        <v>0</v>
      </c>
    </row>
    <row r="71" spans="1:23" x14ac:dyDescent="0.2">
      <c r="A71" s="10">
        <f t="shared" si="19"/>
        <v>57</v>
      </c>
      <c r="D71" s="3" t="str">
        <f t="shared" si="18"/>
        <v>2019-20 Policy and Econ</v>
      </c>
      <c r="I71" s="12">
        <f>'2019-20 Policy and Econ'!I88</f>
        <v>0</v>
      </c>
      <c r="J71" s="12">
        <f>'2019-20 Policy and Econ'!J88</f>
        <v>6.34</v>
      </c>
      <c r="K71" s="12">
        <f>'2019-20 Policy and Econ'!K88</f>
        <v>13.500255275000001</v>
      </c>
      <c r="L71" s="12">
        <f>'2019-20 Policy and Econ'!L88</f>
        <v>15.421922370500003</v>
      </c>
      <c r="M71" s="12">
        <f>'2019-20 Policy and Econ'!M88</f>
        <v>15.746227817910002</v>
      </c>
      <c r="N71" s="12">
        <f>'2019-20 Policy and Econ'!N88</f>
        <v>17.556997874268205</v>
      </c>
      <c r="O71" s="12">
        <f>'2019-20 Policy and Econ'!O88</f>
        <v>17.908137831753571</v>
      </c>
      <c r="P71" s="12">
        <f>'2019-20 Policy and Econ'!P88</f>
        <v>18.266300588388642</v>
      </c>
      <c r="Q71" s="12">
        <f>'2019-20 Policy and Econ'!Q88</f>
        <v>18.631626600156416</v>
      </c>
      <c r="R71" s="12">
        <f>'2019-20 Policy and Econ'!R88</f>
        <v>19.004259132159543</v>
      </c>
      <c r="S71" s="12">
        <f>'2019-20 Policy and Econ'!S88</f>
        <v>19.384344314802735</v>
      </c>
      <c r="T71" s="12">
        <f>'2019-20 Policy and Econ'!T88</f>
        <v>19.772031201098791</v>
      </c>
      <c r="U71" s="12">
        <f>'2019-20 Policy and Econ'!U88</f>
        <v>20.167471825120767</v>
      </c>
      <c r="V71" s="12">
        <f>'2019-20 Policy and Econ'!V88</f>
        <v>20.570821261623184</v>
      </c>
      <c r="W71" s="12">
        <f>'2019-20 Policy and Econ'!W88</f>
        <v>20.982237686855647</v>
      </c>
    </row>
    <row r="72" spans="1:23" x14ac:dyDescent="0.2">
      <c r="A72" s="10">
        <f t="shared" si="19"/>
        <v>58</v>
      </c>
      <c r="D72" s="3" t="str">
        <f t="shared" si="18"/>
        <v>ClrdoRvr</v>
      </c>
      <c r="I72" s="12">
        <f>ClrdoRvr!I88</f>
        <v>0</v>
      </c>
      <c r="J72" s="12">
        <f>ClrdoRvr!J88</f>
        <v>0</v>
      </c>
      <c r="K72" s="12">
        <f>ClrdoRvr!K88</f>
        <v>0</v>
      </c>
      <c r="L72" s="12">
        <f>ClrdoRvr!L88</f>
        <v>0.58951912100000003</v>
      </c>
      <c r="M72" s="12">
        <f>ClrdoRvr!M88</f>
        <v>0.60130950342</v>
      </c>
      <c r="N72" s="12">
        <f>ClrdoRvr!N88</f>
        <v>0.6133356934884</v>
      </c>
      <c r="O72" s="12">
        <f>ClrdoRvr!O88</f>
        <v>0.62560240735816797</v>
      </c>
      <c r="P72" s="12">
        <f>ClrdoRvr!P88</f>
        <v>0.6381144555053313</v>
      </c>
      <c r="Q72" s="12">
        <f>ClrdoRvr!Q88</f>
        <v>0.65087674461543799</v>
      </c>
      <c r="R72" s="12">
        <f>ClrdoRvr!R88</f>
        <v>0.66389427950774671</v>
      </c>
      <c r="S72" s="12">
        <f>ClrdoRvr!S88</f>
        <v>0.67717216509790168</v>
      </c>
      <c r="T72" s="12">
        <f>ClrdoRvr!T88</f>
        <v>0.69071560839985968</v>
      </c>
      <c r="U72" s="12">
        <f>ClrdoRvr!U88</f>
        <v>0.7045299205678569</v>
      </c>
      <c r="V72" s="12">
        <f>ClrdoRvr!V88</f>
        <v>0.71862051897921408</v>
      </c>
      <c r="W72" s="12">
        <f>ClrdoRvr!W88</f>
        <v>0.73299292935879834</v>
      </c>
    </row>
    <row r="73" spans="1:23" x14ac:dyDescent="0.2">
      <c r="A73" s="10">
        <f t="shared" si="19"/>
        <v>59</v>
      </c>
      <c r="D73" s="3" t="str">
        <f t="shared" si="18"/>
        <v>Red Bluff 2nd 'AA' Bank</v>
      </c>
      <c r="I73" s="12">
        <f>'Red Bluff 2AA Bank'!I88</f>
        <v>0</v>
      </c>
      <c r="J73" s="12">
        <f>'Red Bluff 2AA Bank'!J88</f>
        <v>0</v>
      </c>
      <c r="K73" s="12">
        <f>'Red Bluff 2AA Bank'!K88</f>
        <v>0</v>
      </c>
      <c r="L73" s="12">
        <f>'Red Bluff 2AA Bank'!L88</f>
        <v>0.7090376702215625</v>
      </c>
      <c r="M73" s="12">
        <f>'Red Bluff 2AA Bank'!M88</f>
        <v>0.72321842362599376</v>
      </c>
      <c r="N73" s="12">
        <f>'Red Bluff 2AA Bank'!N88</f>
        <v>0.73768279209851362</v>
      </c>
      <c r="O73" s="12">
        <f>'Red Bluff 2AA Bank'!O88</f>
        <v>0.75243644794048392</v>
      </c>
      <c r="P73" s="12">
        <f>'Red Bluff 2AA Bank'!P88</f>
        <v>0.76748517689929363</v>
      </c>
      <c r="Q73" s="12">
        <f>'Red Bluff 2AA Bank'!Q88</f>
        <v>0.78283488043727956</v>
      </c>
      <c r="R73" s="12">
        <f>'Red Bluff 2AA Bank'!R88</f>
        <v>0.79849157804602511</v>
      </c>
      <c r="S73" s="12">
        <f>'Red Bluff 2AA Bank'!S88</f>
        <v>0.81446140960694557</v>
      </c>
      <c r="T73" s="12">
        <f>'Red Bluff 2AA Bank'!T88</f>
        <v>0.83075063779908453</v>
      </c>
      <c r="U73" s="12">
        <f>'Red Bluff 2AA Bank'!U88</f>
        <v>0.84736565055506619</v>
      </c>
      <c r="V73" s="12">
        <f>'Red Bluff 2AA Bank'!V88</f>
        <v>0.86431296356616749</v>
      </c>
      <c r="W73" s="12">
        <f>'Red Bluff 2AA Bank'!W88</f>
        <v>0.88159922283749081</v>
      </c>
    </row>
    <row r="74" spans="1:23" x14ac:dyDescent="0.2">
      <c r="A74" s="10">
        <f t="shared" si="19"/>
        <v>60</v>
      </c>
      <c r="D74" s="3" t="str">
        <f t="shared" si="18"/>
        <v>Calcite</v>
      </c>
      <c r="I74" s="12">
        <f>Calcite!I88</f>
        <v>0</v>
      </c>
      <c r="J74" s="12">
        <f>Calcite!J88</f>
        <v>0</v>
      </c>
      <c r="K74" s="12">
        <f>Calcite!K88</f>
        <v>0</v>
      </c>
      <c r="L74" s="12">
        <f>Calcite!L88</f>
        <v>0</v>
      </c>
      <c r="M74" s="12">
        <f>Calcite!M88</f>
        <v>1.1374301734999999</v>
      </c>
      <c r="N74" s="12">
        <f>Calcite!N88</f>
        <v>1.1601787769699998</v>
      </c>
      <c r="O74" s="12">
        <f>Calcite!O88</f>
        <v>1.1833823525093998</v>
      </c>
      <c r="P74" s="12">
        <f>Calcite!P88</f>
        <v>1.2070499995595878</v>
      </c>
      <c r="Q74" s="12">
        <f>Calcite!Q88</f>
        <v>1.2311909995507795</v>
      </c>
      <c r="R74" s="12">
        <f>Calcite!R88</f>
        <v>1.2558148195417951</v>
      </c>
      <c r="S74" s="12">
        <f>Calcite!S88</f>
        <v>1.2809311159326311</v>
      </c>
      <c r="T74" s="12">
        <f>Calcite!T88</f>
        <v>1.3065497382512838</v>
      </c>
      <c r="U74" s="12">
        <f>Calcite!U88</f>
        <v>1.3326807330163095</v>
      </c>
      <c r="V74" s="12">
        <f>Calcite!V88</f>
        <v>1.3593343476766357</v>
      </c>
      <c r="W74" s="12">
        <f>Calcite!W88</f>
        <v>1.3865210346301684</v>
      </c>
    </row>
    <row r="75" spans="1:23" x14ac:dyDescent="0.2">
      <c r="A75" s="10">
        <f t="shared" si="19"/>
        <v>61</v>
      </c>
      <c r="D75" s="3" t="str">
        <f t="shared" si="18"/>
        <v>New Project 10</v>
      </c>
      <c r="I75" s="12">
        <f>'New Project 10'!I88</f>
        <v>0</v>
      </c>
      <c r="J75" s="12">
        <f>'New Project 10'!J88</f>
        <v>0</v>
      </c>
      <c r="K75" s="12">
        <f>'New Project 10'!K88</f>
        <v>0</v>
      </c>
      <c r="L75" s="12">
        <f>'New Project 10'!L88</f>
        <v>0</v>
      </c>
      <c r="M75" s="12">
        <f>'New Project 10'!M88</f>
        <v>0</v>
      </c>
      <c r="N75" s="12">
        <f>'New Project 10'!N88</f>
        <v>0</v>
      </c>
      <c r="O75" s="12">
        <f>'New Project 10'!O88</f>
        <v>0</v>
      </c>
      <c r="P75" s="12">
        <f>'New Project 10'!P88</f>
        <v>0</v>
      </c>
      <c r="Q75" s="12">
        <f>'New Project 10'!Q88</f>
        <v>0</v>
      </c>
      <c r="R75" s="12">
        <f>'New Project 10'!R88</f>
        <v>0</v>
      </c>
      <c r="S75" s="12">
        <f>'New Project 10'!S88</f>
        <v>0</v>
      </c>
      <c r="T75" s="12">
        <f>'New Project 10'!T88</f>
        <v>0</v>
      </c>
      <c r="U75" s="12">
        <f>'New Project 10'!U88</f>
        <v>0</v>
      </c>
      <c r="V75" s="12">
        <f>'New Project 10'!V88</f>
        <v>0</v>
      </c>
      <c r="W75" s="12">
        <f>'New Project 10'!W88</f>
        <v>0</v>
      </c>
    </row>
    <row r="76" spans="1:23" x14ac:dyDescent="0.2">
      <c r="A76" s="10">
        <f t="shared" si="19"/>
        <v>62</v>
      </c>
      <c r="D76" s="3" t="str">
        <f t="shared" si="18"/>
        <v>New Project 11</v>
      </c>
      <c r="I76" s="12">
        <f>'New Project 11'!I88</f>
        <v>0</v>
      </c>
      <c r="J76" s="12">
        <f>'New Project 11'!J88</f>
        <v>0</v>
      </c>
      <c r="K76" s="12">
        <f>'New Project 11'!K88</f>
        <v>0</v>
      </c>
      <c r="L76" s="12">
        <f>'New Project 11'!L88</f>
        <v>0</v>
      </c>
      <c r="M76" s="12">
        <f>'New Project 11'!M88</f>
        <v>0</v>
      </c>
      <c r="N76" s="12">
        <f>'New Project 11'!N88</f>
        <v>0</v>
      </c>
      <c r="O76" s="12">
        <f>'New Project 11'!O88</f>
        <v>0</v>
      </c>
      <c r="P76" s="12">
        <f>'New Project 11'!P88</f>
        <v>0</v>
      </c>
      <c r="Q76" s="12">
        <f>'New Project 11'!Q88</f>
        <v>0</v>
      </c>
      <c r="R76" s="12">
        <f>'New Project 11'!R88</f>
        <v>0</v>
      </c>
      <c r="S76" s="12">
        <f>'New Project 11'!S88</f>
        <v>0</v>
      </c>
      <c r="T76" s="12">
        <f>'New Project 11'!T88</f>
        <v>0</v>
      </c>
      <c r="U76" s="12">
        <f>'New Project 11'!U88</f>
        <v>0</v>
      </c>
      <c r="V76" s="12">
        <f>'New Project 11'!V88</f>
        <v>0</v>
      </c>
      <c r="W76" s="12">
        <f>'New Project 11'!W88</f>
        <v>0</v>
      </c>
    </row>
    <row r="77" spans="1:23" x14ac:dyDescent="0.2">
      <c r="A77" s="10">
        <f t="shared" si="19"/>
        <v>63</v>
      </c>
      <c r="D77" s="3" t="str">
        <f t="shared" si="18"/>
        <v>New Project 12</v>
      </c>
      <c r="I77" s="12">
        <f>'New Project 12'!I88</f>
        <v>0</v>
      </c>
      <c r="J77" s="12">
        <f>'New Project 12'!J88</f>
        <v>0</v>
      </c>
      <c r="K77" s="12">
        <f>'New Project 12'!K88</f>
        <v>0</v>
      </c>
      <c r="L77" s="12">
        <f>'New Project 12'!L88</f>
        <v>0</v>
      </c>
      <c r="M77" s="12">
        <f>'New Project 12'!M88</f>
        <v>0</v>
      </c>
      <c r="N77" s="12">
        <f>'New Project 12'!N88</f>
        <v>0</v>
      </c>
      <c r="O77" s="12">
        <f>'New Project 12'!O88</f>
        <v>0</v>
      </c>
      <c r="P77" s="12">
        <f>'New Project 12'!P88</f>
        <v>0</v>
      </c>
      <c r="Q77" s="12">
        <f>'New Project 12'!Q88</f>
        <v>0</v>
      </c>
      <c r="R77" s="12">
        <f>'New Project 12'!R88</f>
        <v>0</v>
      </c>
      <c r="S77" s="12">
        <f>'New Project 12'!S88</f>
        <v>0</v>
      </c>
      <c r="T77" s="12">
        <f>'New Project 12'!T88</f>
        <v>0</v>
      </c>
      <c r="U77" s="12">
        <f>'New Project 12'!U88</f>
        <v>0</v>
      </c>
      <c r="V77" s="12">
        <f>'New Project 12'!V88</f>
        <v>0</v>
      </c>
      <c r="W77" s="12">
        <f>'New Project 12'!W88</f>
        <v>0</v>
      </c>
    </row>
    <row r="78" spans="1:23" x14ac:dyDescent="0.2">
      <c r="A78" s="10">
        <f t="shared" si="19"/>
        <v>64</v>
      </c>
      <c r="D78" s="3" t="str">
        <f t="shared" si="18"/>
        <v>Total</v>
      </c>
      <c r="I78" s="20">
        <f t="shared" ref="I78:W78" si="20">SUM(I65:I77)</f>
        <v>636.40867340587772</v>
      </c>
      <c r="J78" s="20">
        <f t="shared" si="20"/>
        <v>658.817720946897</v>
      </c>
      <c r="K78" s="20">
        <f t="shared" si="20"/>
        <v>685.01601836318093</v>
      </c>
      <c r="L78" s="20">
        <f t="shared" si="20"/>
        <v>712.52442237895286</v>
      </c>
      <c r="M78" s="20">
        <f t="shared" si="20"/>
        <v>738.78211353472886</v>
      </c>
      <c r="N78" s="20">
        <f t="shared" si="20"/>
        <v>763.94116069639779</v>
      </c>
      <c r="O78" s="20">
        <f t="shared" si="20"/>
        <v>796.2905097415213</v>
      </c>
      <c r="P78" s="20">
        <f t="shared" si="20"/>
        <v>815.87628603858957</v>
      </c>
      <c r="Q78" s="20">
        <f t="shared" si="20"/>
        <v>832.19488334947926</v>
      </c>
      <c r="R78" s="20">
        <f t="shared" si="20"/>
        <v>848.83878101646883</v>
      </c>
      <c r="S78" s="20">
        <f t="shared" si="20"/>
        <v>865.81555663679831</v>
      </c>
      <c r="T78" s="20">
        <f t="shared" si="20"/>
        <v>883.13186776953432</v>
      </c>
      <c r="U78" s="20">
        <f t="shared" si="20"/>
        <v>900.79450512492497</v>
      </c>
      <c r="V78" s="20">
        <f t="shared" si="20"/>
        <v>918.81039522742356</v>
      </c>
      <c r="W78" s="20">
        <f t="shared" si="20"/>
        <v>937.18660313197211</v>
      </c>
    </row>
    <row r="79" spans="1:23" x14ac:dyDescent="0.2">
      <c r="A79" s="10">
        <f t="shared" si="19"/>
        <v>65</v>
      </c>
      <c r="E79" s="11" t="s">
        <v>6</v>
      </c>
      <c r="J79" s="33">
        <f t="shared" ref="J79:W79" si="21">J78/I78-1</f>
        <v>3.5211725542790617E-2</v>
      </c>
      <c r="K79" s="33">
        <f t="shared" si="21"/>
        <v>3.9765623454435906E-2</v>
      </c>
      <c r="L79" s="33">
        <f t="shared" si="21"/>
        <v>4.0157314980023617E-2</v>
      </c>
      <c r="M79" s="33">
        <f t="shared" si="21"/>
        <v>3.6851636703353563E-2</v>
      </c>
      <c r="N79" s="33">
        <f t="shared" si="21"/>
        <v>3.4054759449027028E-2</v>
      </c>
      <c r="O79" s="33">
        <f t="shared" si="21"/>
        <v>4.2345341119772062E-2</v>
      </c>
      <c r="P79" s="33">
        <f t="shared" si="21"/>
        <v>2.4596269900825307E-2</v>
      </c>
      <c r="Q79" s="33">
        <f t="shared" si="21"/>
        <v>2.0001313422312039E-2</v>
      </c>
      <c r="R79" s="33">
        <f t="shared" si="21"/>
        <v>2.0000000000000018E-2</v>
      </c>
      <c r="S79" s="33">
        <f t="shared" si="21"/>
        <v>2.0000000000000018E-2</v>
      </c>
      <c r="T79" s="33">
        <f t="shared" si="21"/>
        <v>2.0000000000000018E-2</v>
      </c>
      <c r="U79" s="33">
        <f t="shared" si="21"/>
        <v>2.0000000000000018E-2</v>
      </c>
      <c r="V79" s="33">
        <f t="shared" si="21"/>
        <v>2.0000000000000018E-2</v>
      </c>
      <c r="W79" s="33">
        <f t="shared" si="21"/>
        <v>2.0000000000000018E-2</v>
      </c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46" min="8" max="17" man="1"/>
  </rowBreaks>
  <ignoredErrors>
    <ignoredError sqref="I13:W1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F25" sqref="F25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109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H22" sqref="H22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110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>$F31</f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4"/>
  <sheetViews>
    <sheetView zoomScale="80" zoomScaleNormal="80" workbookViewId="0">
      <selection activeCell="AA31" sqref="AA3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9" x14ac:dyDescent="0.2">
      <c r="A1" s="1" t="s">
        <v>22</v>
      </c>
      <c r="B1" s="1"/>
      <c r="E1" s="108" t="s">
        <v>130</v>
      </c>
    </row>
    <row r="2" spans="1:29" x14ac:dyDescent="0.2">
      <c r="A2" s="1" t="s">
        <v>0</v>
      </c>
      <c r="B2" s="1"/>
    </row>
    <row r="3" spans="1:29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9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9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9" s="8" customFormat="1" x14ac:dyDescent="0.2">
      <c r="A7" s="10">
        <v>1</v>
      </c>
      <c r="D7" s="13" t="s">
        <v>23</v>
      </c>
      <c r="E7" s="19"/>
      <c r="F7" s="21">
        <v>2018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9" s="8" customFormat="1" ht="16.5" x14ac:dyDescent="0.3">
      <c r="A8" s="10">
        <f>A7+1</f>
        <v>2</v>
      </c>
      <c r="D8" s="13" t="s">
        <v>32</v>
      </c>
      <c r="E8" s="19"/>
      <c r="F8" s="17"/>
      <c r="H8" s="49"/>
      <c r="I8" s="49">
        <v>0</v>
      </c>
      <c r="J8" s="49">
        <v>0</v>
      </c>
      <c r="K8" s="49">
        <v>0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Y8" s="48"/>
      <c r="Z8" s="48"/>
      <c r="AA8" s="48"/>
      <c r="AB8" s="48"/>
      <c r="AC8" s="48"/>
    </row>
    <row r="9" spans="1:29" x14ac:dyDescent="0.2">
      <c r="A9" s="10"/>
      <c r="F9" s="30"/>
    </row>
    <row r="10" spans="1:29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9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9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9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9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9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9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5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5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6"/>
      <c r="Y94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5"/>
  <sheetViews>
    <sheetView zoomScale="80" zoomScaleNormal="80" workbookViewId="0">
      <selection activeCell="AA21" sqref="AA2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162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2019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5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5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zoomScale="80" zoomScaleNormal="80" workbookViewId="0">
      <selection activeCell="AA44" sqref="AA44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23" width="10.7109375" style="3" customWidth="1"/>
    <col min="24" max="24" width="8.85546875" style="3" customWidth="1"/>
    <col min="25" max="25" width="8.7109375" style="3" customWidth="1"/>
    <col min="26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163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14"/>
      <c r="I8" s="14"/>
      <c r="J8" s="46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6"/>
  <sheetViews>
    <sheetView topLeftCell="A115" zoomScale="80" zoomScaleNormal="80" workbookViewId="0">
      <selection activeCell="J101" sqref="J101"/>
    </sheetView>
  </sheetViews>
  <sheetFormatPr defaultColWidth="9.140625" defaultRowHeight="12.75" x14ac:dyDescent="0.2"/>
  <cols>
    <col min="1" max="1" width="4.7109375" style="64" customWidth="1"/>
    <col min="2" max="2" width="2.7109375" style="64" customWidth="1"/>
    <col min="3" max="3" width="2.7109375" style="67" customWidth="1"/>
    <col min="4" max="4" width="2.7109375" style="64" customWidth="1"/>
    <col min="5" max="5" width="35.7109375" style="64" customWidth="1"/>
    <col min="6" max="6" width="10.7109375" style="66" customWidth="1"/>
    <col min="7" max="7" width="2.7109375" style="64" customWidth="1"/>
    <col min="8" max="8" width="10.7109375" style="64" customWidth="1"/>
    <col min="9" max="9" width="15.7109375" style="65" customWidth="1"/>
    <col min="10" max="71" width="10.7109375" style="64" customWidth="1"/>
    <col min="72" max="16384" width="9.140625" style="64"/>
  </cols>
  <sheetData>
    <row r="1" spans="1:23" x14ac:dyDescent="0.2">
      <c r="A1" s="67" t="s">
        <v>159</v>
      </c>
      <c r="B1" s="67"/>
      <c r="E1" s="103"/>
    </row>
    <row r="2" spans="1:23" x14ac:dyDescent="0.2">
      <c r="A2" s="67" t="s">
        <v>0</v>
      </c>
      <c r="B2" s="67"/>
    </row>
    <row r="3" spans="1:23" s="101" customFormat="1" x14ac:dyDescent="0.2">
      <c r="A3" s="92"/>
      <c r="E3" s="102"/>
      <c r="F3" s="92" t="s">
        <v>3</v>
      </c>
      <c r="H3" s="101">
        <v>2019</v>
      </c>
      <c r="I3" s="101">
        <f t="shared" ref="I3:W3" si="0">H3+1</f>
        <v>2020</v>
      </c>
      <c r="J3" s="101">
        <f t="shared" si="0"/>
        <v>2021</v>
      </c>
      <c r="K3" s="101">
        <f t="shared" si="0"/>
        <v>2022</v>
      </c>
      <c r="L3" s="101">
        <f t="shared" si="0"/>
        <v>2023</v>
      </c>
      <c r="M3" s="101">
        <f t="shared" si="0"/>
        <v>2024</v>
      </c>
      <c r="N3" s="101">
        <f t="shared" si="0"/>
        <v>2025</v>
      </c>
      <c r="O3" s="101">
        <f t="shared" si="0"/>
        <v>2026</v>
      </c>
      <c r="P3" s="101">
        <f t="shared" si="0"/>
        <v>2027</v>
      </c>
      <c r="Q3" s="101">
        <f t="shared" si="0"/>
        <v>2028</v>
      </c>
      <c r="R3" s="101">
        <f t="shared" si="0"/>
        <v>2029</v>
      </c>
      <c r="S3" s="101">
        <f t="shared" si="0"/>
        <v>2030</v>
      </c>
      <c r="T3" s="101">
        <f t="shared" si="0"/>
        <v>2031</v>
      </c>
      <c r="U3" s="101">
        <f t="shared" si="0"/>
        <v>2032</v>
      </c>
      <c r="V3" s="101">
        <f t="shared" si="0"/>
        <v>2033</v>
      </c>
      <c r="W3" s="101">
        <f t="shared" si="0"/>
        <v>2034</v>
      </c>
    </row>
    <row r="4" spans="1:23" s="80" customFormat="1" x14ac:dyDescent="0.2">
      <c r="A4" s="100" t="s">
        <v>1</v>
      </c>
      <c r="E4" s="82" t="s">
        <v>2</v>
      </c>
      <c r="H4" s="70">
        <v>0</v>
      </c>
      <c r="I4" s="70">
        <v>1</v>
      </c>
      <c r="J4" s="70">
        <f t="shared" ref="J4:W4" si="1">I4+1</f>
        <v>2</v>
      </c>
      <c r="K4" s="70">
        <f t="shared" si="1"/>
        <v>3</v>
      </c>
      <c r="L4" s="70">
        <f t="shared" si="1"/>
        <v>4</v>
      </c>
      <c r="M4" s="70">
        <f t="shared" si="1"/>
        <v>5</v>
      </c>
      <c r="N4" s="70">
        <f t="shared" si="1"/>
        <v>6</v>
      </c>
      <c r="O4" s="70">
        <f t="shared" si="1"/>
        <v>7</v>
      </c>
      <c r="P4" s="70">
        <f t="shared" si="1"/>
        <v>8</v>
      </c>
      <c r="Q4" s="70">
        <f t="shared" si="1"/>
        <v>9</v>
      </c>
      <c r="R4" s="70">
        <f t="shared" si="1"/>
        <v>10</v>
      </c>
      <c r="S4" s="70">
        <f t="shared" si="1"/>
        <v>11</v>
      </c>
      <c r="T4" s="70">
        <f t="shared" si="1"/>
        <v>12</v>
      </c>
      <c r="U4" s="70">
        <f t="shared" si="1"/>
        <v>13</v>
      </c>
      <c r="V4" s="70">
        <f t="shared" si="1"/>
        <v>14</v>
      </c>
      <c r="W4" s="70">
        <f t="shared" si="1"/>
        <v>15</v>
      </c>
    </row>
    <row r="5" spans="1:23" s="80" customFormat="1" x14ac:dyDescent="0.2">
      <c r="A5" s="92"/>
      <c r="E5" s="82"/>
      <c r="F5" s="99"/>
      <c r="H5" s="90"/>
      <c r="I5" s="9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s="80" customFormat="1" x14ac:dyDescent="0.2">
      <c r="A6" s="92"/>
      <c r="C6" s="80" t="s">
        <v>64</v>
      </c>
      <c r="E6" s="82"/>
      <c r="F6" s="91"/>
      <c r="I6" s="9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s="80" customFormat="1" x14ac:dyDescent="0.2">
      <c r="A7" s="70">
        <v>1</v>
      </c>
      <c r="D7" s="75" t="s">
        <v>103</v>
      </c>
      <c r="E7" s="82"/>
      <c r="F7" s="94">
        <v>0.02</v>
      </c>
      <c r="I7" s="93"/>
      <c r="J7" s="111">
        <f t="shared" ref="J7:W11" si="2">$F7</f>
        <v>0.02</v>
      </c>
      <c r="K7" s="111">
        <f t="shared" si="2"/>
        <v>0.02</v>
      </c>
      <c r="L7" s="111">
        <f t="shared" si="2"/>
        <v>0.02</v>
      </c>
      <c r="M7" s="111">
        <f t="shared" si="2"/>
        <v>0.02</v>
      </c>
      <c r="N7" s="111">
        <f t="shared" si="2"/>
        <v>0.02</v>
      </c>
      <c r="O7" s="111">
        <f t="shared" si="2"/>
        <v>0.02</v>
      </c>
      <c r="P7" s="111">
        <f t="shared" si="2"/>
        <v>0.02</v>
      </c>
      <c r="Q7" s="111">
        <f t="shared" si="2"/>
        <v>0.02</v>
      </c>
      <c r="R7" s="111">
        <f t="shared" si="2"/>
        <v>0.02</v>
      </c>
      <c r="S7" s="111">
        <f t="shared" si="2"/>
        <v>0.02</v>
      </c>
      <c r="T7" s="111">
        <f t="shared" si="2"/>
        <v>0.02</v>
      </c>
      <c r="U7" s="111">
        <f t="shared" si="2"/>
        <v>0.02</v>
      </c>
      <c r="V7" s="111">
        <f t="shared" si="2"/>
        <v>0.02</v>
      </c>
      <c r="W7" s="111">
        <f t="shared" si="2"/>
        <v>0.02</v>
      </c>
    </row>
    <row r="8" spans="1:23" s="80" customFormat="1" x14ac:dyDescent="0.2">
      <c r="A8" s="70">
        <f>A7+1</f>
        <v>2</v>
      </c>
      <c r="D8" s="75" t="s">
        <v>29</v>
      </c>
      <c r="E8" s="98"/>
      <c r="F8" s="94">
        <v>0.02</v>
      </c>
      <c r="G8" s="97"/>
      <c r="H8" s="97"/>
      <c r="I8" s="93"/>
      <c r="J8" s="111">
        <f t="shared" si="2"/>
        <v>0.02</v>
      </c>
      <c r="K8" s="111">
        <f t="shared" si="2"/>
        <v>0.02</v>
      </c>
      <c r="L8" s="111">
        <f t="shared" si="2"/>
        <v>0.02</v>
      </c>
      <c r="M8" s="111">
        <f t="shared" si="2"/>
        <v>0.02</v>
      </c>
      <c r="N8" s="111">
        <f t="shared" si="2"/>
        <v>0.02</v>
      </c>
      <c r="O8" s="111">
        <f t="shared" si="2"/>
        <v>0.02</v>
      </c>
      <c r="P8" s="111">
        <f t="shared" si="2"/>
        <v>0.02</v>
      </c>
      <c r="Q8" s="111">
        <f t="shared" si="2"/>
        <v>0.02</v>
      </c>
      <c r="R8" s="111">
        <f t="shared" si="2"/>
        <v>0.02</v>
      </c>
      <c r="S8" s="111">
        <f t="shared" si="2"/>
        <v>0.02</v>
      </c>
      <c r="T8" s="111">
        <f t="shared" si="2"/>
        <v>0.02</v>
      </c>
      <c r="U8" s="111">
        <f t="shared" si="2"/>
        <v>0.02</v>
      </c>
      <c r="V8" s="111">
        <f t="shared" si="2"/>
        <v>0.02</v>
      </c>
      <c r="W8" s="111">
        <f t="shared" si="2"/>
        <v>0.02</v>
      </c>
    </row>
    <row r="9" spans="1:23" s="80" customFormat="1" x14ac:dyDescent="0.2">
      <c r="A9" s="70">
        <f>A8+1</f>
        <v>3</v>
      </c>
      <c r="D9" s="75" t="s">
        <v>48</v>
      </c>
      <c r="E9" s="82"/>
      <c r="F9" s="94">
        <v>0</v>
      </c>
      <c r="I9" s="93"/>
      <c r="J9" s="111">
        <f t="shared" si="2"/>
        <v>0</v>
      </c>
      <c r="K9" s="111">
        <f t="shared" si="2"/>
        <v>0</v>
      </c>
      <c r="L9" s="111">
        <f t="shared" si="2"/>
        <v>0</v>
      </c>
      <c r="M9" s="111">
        <f t="shared" si="2"/>
        <v>0</v>
      </c>
      <c r="N9" s="111">
        <f t="shared" si="2"/>
        <v>0</v>
      </c>
      <c r="O9" s="111">
        <f t="shared" si="2"/>
        <v>0</v>
      </c>
      <c r="P9" s="111">
        <f t="shared" si="2"/>
        <v>0</v>
      </c>
      <c r="Q9" s="111">
        <f t="shared" si="2"/>
        <v>0</v>
      </c>
      <c r="R9" s="111">
        <f t="shared" si="2"/>
        <v>0</v>
      </c>
      <c r="S9" s="111">
        <f t="shared" si="2"/>
        <v>0</v>
      </c>
      <c r="T9" s="111">
        <f t="shared" si="2"/>
        <v>0</v>
      </c>
      <c r="U9" s="111">
        <f t="shared" si="2"/>
        <v>0</v>
      </c>
      <c r="V9" s="111">
        <f t="shared" si="2"/>
        <v>0</v>
      </c>
      <c r="W9" s="111">
        <f t="shared" si="2"/>
        <v>0</v>
      </c>
    </row>
    <row r="10" spans="1:23" s="80" customFormat="1" x14ac:dyDescent="0.2">
      <c r="A10" s="70">
        <f>A9+1</f>
        <v>4</v>
      </c>
      <c r="D10" s="75" t="s">
        <v>49</v>
      </c>
      <c r="E10" s="82"/>
      <c r="F10" s="94">
        <v>0.01</v>
      </c>
      <c r="I10" s="93"/>
      <c r="J10" s="111">
        <f t="shared" si="2"/>
        <v>0.01</v>
      </c>
      <c r="K10" s="111">
        <f t="shared" si="2"/>
        <v>0.01</v>
      </c>
      <c r="L10" s="111">
        <f t="shared" si="2"/>
        <v>0.01</v>
      </c>
      <c r="M10" s="111">
        <f t="shared" si="2"/>
        <v>0.01</v>
      </c>
      <c r="N10" s="111">
        <f t="shared" si="2"/>
        <v>0.01</v>
      </c>
      <c r="O10" s="111">
        <f t="shared" si="2"/>
        <v>0.01</v>
      </c>
      <c r="P10" s="111">
        <f t="shared" si="2"/>
        <v>0.01</v>
      </c>
      <c r="Q10" s="111">
        <f t="shared" si="2"/>
        <v>0.01</v>
      </c>
      <c r="R10" s="111">
        <f t="shared" si="2"/>
        <v>0.01</v>
      </c>
      <c r="S10" s="111">
        <f t="shared" si="2"/>
        <v>0.01</v>
      </c>
      <c r="T10" s="111">
        <f t="shared" si="2"/>
        <v>0.01</v>
      </c>
      <c r="U10" s="111">
        <f t="shared" si="2"/>
        <v>0.01</v>
      </c>
      <c r="V10" s="111">
        <f t="shared" si="2"/>
        <v>0.01</v>
      </c>
      <c r="W10" s="111">
        <f t="shared" si="2"/>
        <v>0.01</v>
      </c>
    </row>
    <row r="11" spans="1:23" s="80" customFormat="1" x14ac:dyDescent="0.2">
      <c r="A11" s="70">
        <f>A10+1</f>
        <v>5</v>
      </c>
      <c r="D11" s="96" t="s">
        <v>50</v>
      </c>
      <c r="E11" s="95"/>
      <c r="F11" s="109">
        <v>-5.0000000000000001E-4</v>
      </c>
      <c r="I11" s="93"/>
      <c r="J11" s="110">
        <f t="shared" si="2"/>
        <v>-5.0000000000000001E-4</v>
      </c>
      <c r="K11" s="110">
        <f t="shared" si="2"/>
        <v>-5.0000000000000001E-4</v>
      </c>
      <c r="L11" s="110">
        <f t="shared" si="2"/>
        <v>-5.0000000000000001E-4</v>
      </c>
      <c r="M11" s="110">
        <f t="shared" si="2"/>
        <v>-5.0000000000000001E-4</v>
      </c>
      <c r="N11" s="110">
        <f t="shared" si="2"/>
        <v>-5.0000000000000001E-4</v>
      </c>
      <c r="O11" s="110">
        <f t="shared" si="2"/>
        <v>-5.0000000000000001E-4</v>
      </c>
      <c r="P11" s="110">
        <f t="shared" si="2"/>
        <v>-5.0000000000000001E-4</v>
      </c>
      <c r="Q11" s="110">
        <f t="shared" si="2"/>
        <v>-5.0000000000000001E-4</v>
      </c>
      <c r="R11" s="110">
        <f t="shared" si="2"/>
        <v>-5.0000000000000001E-4</v>
      </c>
      <c r="S11" s="110">
        <f t="shared" si="2"/>
        <v>-5.0000000000000001E-4</v>
      </c>
      <c r="T11" s="110">
        <f t="shared" si="2"/>
        <v>-5.0000000000000001E-4</v>
      </c>
      <c r="U11" s="110">
        <f t="shared" si="2"/>
        <v>-5.0000000000000001E-4</v>
      </c>
      <c r="V11" s="110">
        <f t="shared" si="2"/>
        <v>-5.0000000000000001E-4</v>
      </c>
      <c r="W11" s="110">
        <f t="shared" si="2"/>
        <v>-5.0000000000000001E-4</v>
      </c>
    </row>
    <row r="12" spans="1:23" s="80" customFormat="1" x14ac:dyDescent="0.2">
      <c r="A12" s="92"/>
      <c r="E12" s="82"/>
      <c r="F12" s="91"/>
      <c r="I12" s="9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s="80" customFormat="1" x14ac:dyDescent="0.2">
      <c r="A13" s="70"/>
      <c r="C13" s="80" t="s">
        <v>45</v>
      </c>
      <c r="E13" s="82"/>
      <c r="I13" s="8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</row>
    <row r="14" spans="1:23" s="80" customFormat="1" x14ac:dyDescent="0.2">
      <c r="A14" s="70">
        <f>A11+1</f>
        <v>6</v>
      </c>
      <c r="D14" s="75" t="s">
        <v>85</v>
      </c>
      <c r="E14" s="82"/>
      <c r="I14" s="79">
        <v>977.11394700000005</v>
      </c>
      <c r="J14" s="73"/>
      <c r="K14" s="86" t="s">
        <v>134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1:23" s="80" customFormat="1" x14ac:dyDescent="0.2">
      <c r="A15" s="70">
        <f t="shared" ref="A15:A29" si="3">A14+1</f>
        <v>7</v>
      </c>
      <c r="D15" s="75" t="s">
        <v>38</v>
      </c>
      <c r="E15" s="82"/>
      <c r="I15" s="79">
        <v>929.23981600000002</v>
      </c>
      <c r="J15" s="73"/>
      <c r="K15" s="86" t="s">
        <v>134</v>
      </c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1:23" s="80" customFormat="1" x14ac:dyDescent="0.2">
      <c r="A16" s="70">
        <f t="shared" si="3"/>
        <v>8</v>
      </c>
      <c r="D16" s="75" t="s">
        <v>86</v>
      </c>
      <c r="E16" s="82"/>
      <c r="I16" s="79">
        <v>566.25066700000002</v>
      </c>
      <c r="J16" s="73"/>
      <c r="K16" s="86" t="s">
        <v>134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23" s="80" customFormat="1" x14ac:dyDescent="0.2">
      <c r="A17" s="70">
        <f>A16+1</f>
        <v>9</v>
      </c>
      <c r="D17" s="75" t="s">
        <v>39</v>
      </c>
      <c r="E17" s="82"/>
      <c r="I17" s="79">
        <v>30</v>
      </c>
      <c r="J17" s="73"/>
      <c r="K17" s="86" t="s">
        <v>134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</row>
    <row r="18" spans="1:23" s="80" customFormat="1" x14ac:dyDescent="0.2">
      <c r="A18" s="70">
        <f t="shared" si="3"/>
        <v>10</v>
      </c>
      <c r="D18" s="75" t="s">
        <v>40</v>
      </c>
      <c r="E18" s="82"/>
      <c r="I18" s="79">
        <v>1.1651629999999999</v>
      </c>
      <c r="J18" s="73"/>
      <c r="K18" s="86" t="s">
        <v>134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</row>
    <row r="19" spans="1:23" s="80" customFormat="1" x14ac:dyDescent="0.2">
      <c r="A19" s="70">
        <f t="shared" si="3"/>
        <v>11</v>
      </c>
      <c r="D19" s="75" t="s">
        <v>41</v>
      </c>
      <c r="E19" s="82"/>
      <c r="I19" s="79">
        <v>0.82572699999999999</v>
      </c>
      <c r="J19" s="73"/>
      <c r="K19" s="86" t="s">
        <v>134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</row>
    <row r="20" spans="1:23" s="80" customFormat="1" x14ac:dyDescent="0.2">
      <c r="A20" s="70">
        <f t="shared" si="3"/>
        <v>12</v>
      </c>
      <c r="D20" s="75" t="s">
        <v>42</v>
      </c>
      <c r="E20" s="82"/>
      <c r="I20" s="79">
        <v>16.138549999999999</v>
      </c>
      <c r="J20" s="73"/>
      <c r="K20" s="86" t="s">
        <v>134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</row>
    <row r="21" spans="1:23" s="80" customFormat="1" x14ac:dyDescent="0.2">
      <c r="A21" s="70">
        <f t="shared" si="3"/>
        <v>13</v>
      </c>
      <c r="D21" s="75" t="s">
        <v>43</v>
      </c>
      <c r="E21" s="82"/>
      <c r="I21" s="79">
        <v>34.912491000000003</v>
      </c>
      <c r="J21" s="73"/>
      <c r="K21" s="86" t="s">
        <v>134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</row>
    <row r="22" spans="1:23" s="80" customFormat="1" x14ac:dyDescent="0.2">
      <c r="A22" s="70">
        <f t="shared" si="3"/>
        <v>14</v>
      </c>
      <c r="D22" s="75" t="s">
        <v>44</v>
      </c>
      <c r="E22" s="82"/>
      <c r="I22" s="79">
        <v>3.130395</v>
      </c>
      <c r="J22" s="73"/>
      <c r="K22" s="86" t="s">
        <v>134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pans="1:23" s="80" customFormat="1" x14ac:dyDescent="0.2">
      <c r="A23" s="70">
        <f t="shared" si="3"/>
        <v>15</v>
      </c>
      <c r="D23" s="75" t="s">
        <v>95</v>
      </c>
      <c r="E23" s="82"/>
      <c r="I23" s="79">
        <v>25.571090000000002</v>
      </c>
      <c r="J23" s="73"/>
      <c r="K23" s="86" t="s">
        <v>134</v>
      </c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3" s="80" customFormat="1" x14ac:dyDescent="0.2">
      <c r="A24" s="70">
        <f t="shared" si="3"/>
        <v>16</v>
      </c>
      <c r="D24" s="75" t="s">
        <v>96</v>
      </c>
      <c r="E24" s="82"/>
      <c r="I24" s="79">
        <v>3.33</v>
      </c>
      <c r="J24" s="73"/>
      <c r="K24" s="86" t="s">
        <v>134</v>
      </c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</row>
    <row r="25" spans="1:23" s="80" customFormat="1" x14ac:dyDescent="0.2">
      <c r="A25" s="70">
        <f t="shared" si="3"/>
        <v>17</v>
      </c>
      <c r="D25" s="75" t="s">
        <v>87</v>
      </c>
      <c r="E25" s="82"/>
      <c r="I25" s="79">
        <v>124.3931</v>
      </c>
      <c r="J25" s="73"/>
      <c r="K25" s="86" t="s">
        <v>134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1:23" s="80" customFormat="1" x14ac:dyDescent="0.2">
      <c r="A26" s="70">
        <f t="shared" si="3"/>
        <v>18</v>
      </c>
      <c r="D26" s="75" t="s">
        <v>88</v>
      </c>
      <c r="E26" s="82"/>
      <c r="I26" s="79">
        <v>14.286270999999999</v>
      </c>
      <c r="J26" s="73"/>
      <c r="K26" s="86" t="s">
        <v>134</v>
      </c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</row>
    <row r="27" spans="1:23" s="80" customFormat="1" x14ac:dyDescent="0.2">
      <c r="A27" s="70">
        <f t="shared" si="3"/>
        <v>19</v>
      </c>
      <c r="D27" s="75" t="s">
        <v>89</v>
      </c>
      <c r="E27" s="82"/>
      <c r="I27" s="79">
        <v>1.209989</v>
      </c>
      <c r="J27" s="73"/>
      <c r="K27" s="86" t="s">
        <v>134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</row>
    <row r="28" spans="1:23" s="80" customFormat="1" x14ac:dyDescent="0.2">
      <c r="A28" s="70">
        <f t="shared" si="3"/>
        <v>20</v>
      </c>
      <c r="D28" s="75" t="s">
        <v>118</v>
      </c>
      <c r="E28" s="82"/>
      <c r="I28" s="79">
        <v>0</v>
      </c>
      <c r="J28" s="73"/>
      <c r="K28" s="86" t="s">
        <v>134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</row>
    <row r="29" spans="1:23" s="80" customFormat="1" x14ac:dyDescent="0.2">
      <c r="A29" s="70">
        <f t="shared" si="3"/>
        <v>21</v>
      </c>
      <c r="D29" s="75" t="s">
        <v>5</v>
      </c>
      <c r="E29" s="82"/>
      <c r="F29" s="70" t="s">
        <v>90</v>
      </c>
      <c r="I29" s="72">
        <f>SUM(I14:I28)</f>
        <v>2727.5672060000006</v>
      </c>
      <c r="J29" s="72">
        <f t="shared" ref="J29:W29" si="4">J178</f>
        <v>2726.5120842856563</v>
      </c>
      <c r="K29" s="72">
        <f t="shared" si="4"/>
        <v>2725.435860137025</v>
      </c>
      <c r="L29" s="72">
        <f t="shared" si="4"/>
        <v>2724.3381115054217</v>
      </c>
      <c r="M29" s="72">
        <f t="shared" si="4"/>
        <v>2723.2184079011863</v>
      </c>
      <c r="N29" s="72">
        <f t="shared" si="4"/>
        <v>2722.0763102248666</v>
      </c>
      <c r="O29" s="72">
        <f t="shared" si="4"/>
        <v>2720.9113705950194</v>
      </c>
      <c r="P29" s="72">
        <f t="shared" si="4"/>
        <v>2719.7231321725753</v>
      </c>
      <c r="Q29" s="72">
        <f t="shared" si="4"/>
        <v>2718.5111289816832</v>
      </c>
      <c r="R29" s="72">
        <f t="shared" si="4"/>
        <v>2717.274885726973</v>
      </c>
      <c r="S29" s="72">
        <f t="shared" si="4"/>
        <v>2716.013917607168</v>
      </c>
      <c r="T29" s="72">
        <f t="shared" si="4"/>
        <v>2714.7277301249674</v>
      </c>
      <c r="U29" s="72">
        <f t="shared" si="4"/>
        <v>2713.4158188931224</v>
      </c>
      <c r="V29" s="72">
        <f t="shared" si="4"/>
        <v>2712.0776694366405</v>
      </c>
      <c r="W29" s="72">
        <f t="shared" si="4"/>
        <v>2710.7127569910299</v>
      </c>
    </row>
    <row r="30" spans="1:23" s="80" customFormat="1" x14ac:dyDescent="0.2">
      <c r="A30" s="70"/>
      <c r="E30" s="82"/>
      <c r="I30" s="89">
        <f>(I14+I15+I16+I23+I25)/I29</f>
        <v>0.96150467501991199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80" customFormat="1" x14ac:dyDescent="0.2">
      <c r="A31" s="70"/>
      <c r="C31" s="80" t="s">
        <v>46</v>
      </c>
      <c r="E31" s="82"/>
      <c r="I31" s="8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80" customFormat="1" x14ac:dyDescent="0.2">
      <c r="A32" s="70">
        <f>A29+1</f>
        <v>22</v>
      </c>
      <c r="D32" s="75" t="str">
        <f t="shared" ref="D32:D46" si="5">D14</f>
        <v>PG&amp;E</v>
      </c>
      <c r="E32" s="82"/>
      <c r="I32" s="79">
        <v>-183.646502</v>
      </c>
      <c r="J32" s="73"/>
      <c r="K32" s="86" t="s">
        <v>134</v>
      </c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80" customFormat="1" x14ac:dyDescent="0.2">
      <c r="A33" s="70">
        <f t="shared" ref="A33:A47" si="6">A32+1</f>
        <v>23</v>
      </c>
      <c r="D33" s="75" t="str">
        <f t="shared" si="5"/>
        <v>SCE</v>
      </c>
      <c r="E33" s="82"/>
      <c r="I33" s="79">
        <v>-61.021515999999998</v>
      </c>
      <c r="J33" s="73"/>
      <c r="K33" s="86" t="s">
        <v>134</v>
      </c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80" customFormat="1" x14ac:dyDescent="0.2">
      <c r="A34" s="70">
        <f t="shared" si="6"/>
        <v>24</v>
      </c>
      <c r="D34" s="75" t="str">
        <f t="shared" si="5"/>
        <v>SDG&amp;E</v>
      </c>
      <c r="E34" s="82"/>
      <c r="I34" s="79">
        <v>-19.022459000000001</v>
      </c>
      <c r="J34" s="73"/>
      <c r="K34" s="86" t="s">
        <v>134</v>
      </c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80" customFormat="1" x14ac:dyDescent="0.2">
      <c r="A35" s="70">
        <f>A34+1</f>
        <v>25</v>
      </c>
      <c r="D35" s="75" t="str">
        <f t="shared" si="5"/>
        <v>Anaheim</v>
      </c>
      <c r="E35" s="82"/>
      <c r="I35" s="79">
        <v>2.0587999999999999E-2</v>
      </c>
      <c r="J35" s="73"/>
      <c r="K35" s="86" t="s">
        <v>134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s="80" customFormat="1" x14ac:dyDescent="0.2">
      <c r="A36" s="70">
        <f t="shared" si="6"/>
        <v>26</v>
      </c>
      <c r="D36" s="75" t="str">
        <f t="shared" si="5"/>
        <v>Azusa</v>
      </c>
      <c r="E36" s="82"/>
      <c r="I36" s="79">
        <v>6.1780000000000003E-3</v>
      </c>
      <c r="J36" s="73"/>
      <c r="K36" s="86" t="s">
        <v>134</v>
      </c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</row>
    <row r="37" spans="1:23" s="80" customFormat="1" x14ac:dyDescent="0.2">
      <c r="A37" s="70">
        <f t="shared" si="6"/>
        <v>27</v>
      </c>
      <c r="D37" s="75" t="str">
        <f t="shared" si="5"/>
        <v>Banning</v>
      </c>
      <c r="E37" s="82"/>
      <c r="I37" s="79">
        <v>-1.245E-3</v>
      </c>
      <c r="J37" s="73"/>
      <c r="K37" s="86" t="s">
        <v>134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</row>
    <row r="38" spans="1:23" s="80" customFormat="1" x14ac:dyDescent="0.2">
      <c r="A38" s="70">
        <f t="shared" si="6"/>
        <v>28</v>
      </c>
      <c r="D38" s="75" t="str">
        <f t="shared" si="5"/>
        <v>Pasadena</v>
      </c>
      <c r="E38" s="82"/>
      <c r="I38" s="79">
        <v>5.0989E-2</v>
      </c>
      <c r="J38" s="73"/>
      <c r="K38" s="86" t="s">
        <v>134</v>
      </c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</row>
    <row r="39" spans="1:23" s="80" customFormat="1" x14ac:dyDescent="0.2">
      <c r="A39" s="70">
        <f t="shared" si="6"/>
        <v>29</v>
      </c>
      <c r="D39" s="75" t="str">
        <f t="shared" si="5"/>
        <v>Riverside</v>
      </c>
      <c r="E39" s="82"/>
      <c r="I39" s="79">
        <v>4.9824E-2</v>
      </c>
      <c r="J39" s="73"/>
      <c r="K39" s="86" t="s">
        <v>134</v>
      </c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</row>
    <row r="40" spans="1:23" s="80" customFormat="1" x14ac:dyDescent="0.2">
      <c r="A40" s="70">
        <f t="shared" si="6"/>
        <v>30</v>
      </c>
      <c r="D40" s="75" t="str">
        <f t="shared" si="5"/>
        <v>Vernon</v>
      </c>
      <c r="E40" s="82"/>
      <c r="I40" s="79">
        <v>8.6339999999999993E-3</v>
      </c>
      <c r="J40" s="73"/>
      <c r="K40" s="86" t="s">
        <v>134</v>
      </c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</row>
    <row r="41" spans="1:23" s="80" customFormat="1" x14ac:dyDescent="0.2">
      <c r="A41" s="70">
        <f t="shared" si="6"/>
        <v>31</v>
      </c>
      <c r="D41" s="75" t="str">
        <f t="shared" si="5"/>
        <v>DATC Path 15</v>
      </c>
      <c r="E41" s="82"/>
      <c r="I41" s="79">
        <v>0.50053499999999995</v>
      </c>
      <c r="J41" s="73"/>
      <c r="K41" s="86" t="s">
        <v>134</v>
      </c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</row>
    <row r="42" spans="1:23" s="80" customFormat="1" x14ac:dyDescent="0.2">
      <c r="A42" s="70">
        <f t="shared" si="6"/>
        <v>32</v>
      </c>
      <c r="D42" s="75" t="str">
        <f t="shared" si="5"/>
        <v>Startrans IO</v>
      </c>
      <c r="E42" s="82"/>
      <c r="I42" s="79">
        <v>6.1289000000000003E-2</v>
      </c>
      <c r="J42" s="73"/>
      <c r="K42" s="86" t="s">
        <v>134</v>
      </c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</row>
    <row r="43" spans="1:23" s="80" customFormat="1" x14ac:dyDescent="0.2">
      <c r="A43" s="70">
        <f t="shared" si="6"/>
        <v>33</v>
      </c>
      <c r="D43" s="75" t="str">
        <f t="shared" si="5"/>
        <v>Trans Bay Cable</v>
      </c>
      <c r="E43" s="82"/>
      <c r="I43" s="79">
        <v>-1.9974099999999999</v>
      </c>
      <c r="J43" s="73"/>
      <c r="K43" s="86" t="s">
        <v>134</v>
      </c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</row>
    <row r="44" spans="1:23" s="80" customFormat="1" x14ac:dyDescent="0.2">
      <c r="A44" s="70">
        <f t="shared" si="6"/>
        <v>34</v>
      </c>
      <c r="D44" s="75" t="str">
        <f t="shared" si="5"/>
        <v>Citizens Sunrise</v>
      </c>
      <c r="E44" s="82"/>
      <c r="I44" s="79">
        <v>6.5286999999999998E-2</v>
      </c>
      <c r="J44" s="73"/>
      <c r="K44" s="86" t="s">
        <v>134</v>
      </c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</row>
    <row r="45" spans="1:23" s="80" customFormat="1" x14ac:dyDescent="0.2">
      <c r="A45" s="70">
        <f t="shared" si="6"/>
        <v>35</v>
      </c>
      <c r="D45" s="75" t="str">
        <f t="shared" si="5"/>
        <v>Colton</v>
      </c>
      <c r="E45" s="82"/>
      <c r="I45" s="79">
        <v>6.3969999999999999E-3</v>
      </c>
      <c r="J45" s="73"/>
      <c r="K45" s="86" t="s">
        <v>134</v>
      </c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</row>
    <row r="46" spans="1:23" s="80" customFormat="1" x14ac:dyDescent="0.2">
      <c r="A46" s="70">
        <f t="shared" si="6"/>
        <v>36</v>
      </c>
      <c r="D46" s="75" t="str">
        <f t="shared" si="5"/>
        <v>GWT/VEA</v>
      </c>
      <c r="E46" s="82"/>
      <c r="I46" s="79">
        <v>0</v>
      </c>
      <c r="J46" s="73"/>
      <c r="K46" s="86" t="s">
        <v>134</v>
      </c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</row>
    <row r="47" spans="1:23" s="80" customFormat="1" x14ac:dyDescent="0.2">
      <c r="A47" s="70">
        <f t="shared" si="6"/>
        <v>37</v>
      </c>
      <c r="D47" s="75" t="s">
        <v>5</v>
      </c>
      <c r="E47" s="82"/>
      <c r="I47" s="72">
        <f>SUM(I32:I46)</f>
        <v>-264.91941100000003</v>
      </c>
      <c r="J47" s="88">
        <f t="shared" ref="J47:W47" si="7">I47*(1+J9)</f>
        <v>-264.91941100000003</v>
      </c>
      <c r="K47" s="88">
        <f t="shared" si="7"/>
        <v>-264.91941100000003</v>
      </c>
      <c r="L47" s="88">
        <f t="shared" si="7"/>
        <v>-264.91941100000003</v>
      </c>
      <c r="M47" s="88">
        <f t="shared" si="7"/>
        <v>-264.91941100000003</v>
      </c>
      <c r="N47" s="88">
        <f t="shared" si="7"/>
        <v>-264.91941100000003</v>
      </c>
      <c r="O47" s="88">
        <f t="shared" si="7"/>
        <v>-264.91941100000003</v>
      </c>
      <c r="P47" s="88">
        <f t="shared" si="7"/>
        <v>-264.91941100000003</v>
      </c>
      <c r="Q47" s="88">
        <f t="shared" si="7"/>
        <v>-264.91941100000003</v>
      </c>
      <c r="R47" s="88">
        <f t="shared" si="7"/>
        <v>-264.91941100000003</v>
      </c>
      <c r="S47" s="88">
        <f t="shared" si="7"/>
        <v>-264.91941100000003</v>
      </c>
      <c r="T47" s="88">
        <f t="shared" si="7"/>
        <v>-264.91941100000003</v>
      </c>
      <c r="U47" s="88">
        <f t="shared" si="7"/>
        <v>-264.91941100000003</v>
      </c>
      <c r="V47" s="88">
        <f t="shared" si="7"/>
        <v>-264.91941100000003</v>
      </c>
      <c r="W47" s="88">
        <f t="shared" si="7"/>
        <v>-264.91941100000003</v>
      </c>
    </row>
    <row r="48" spans="1:23" s="80" customFormat="1" x14ac:dyDescent="0.2">
      <c r="A48" s="70"/>
      <c r="E48" s="82"/>
      <c r="I48" s="8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</row>
    <row r="49" spans="1:23" s="80" customFormat="1" x14ac:dyDescent="0.2">
      <c r="A49" s="70"/>
      <c r="C49" s="80" t="s">
        <v>47</v>
      </c>
      <c r="E49" s="82"/>
      <c r="I49" s="8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</row>
    <row r="50" spans="1:23" s="80" customFormat="1" x14ac:dyDescent="0.2">
      <c r="A50" s="70">
        <f>A47+1</f>
        <v>38</v>
      </c>
      <c r="D50" s="75" t="str">
        <f t="shared" ref="D50:D64" si="8">D14</f>
        <v>PG&amp;E</v>
      </c>
      <c r="E50" s="82"/>
      <c r="I50" s="79">
        <v>-5.0228479999999998</v>
      </c>
      <c r="J50" s="73"/>
      <c r="K50" s="86" t="s">
        <v>134</v>
      </c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</row>
    <row r="51" spans="1:23" s="80" customFormat="1" x14ac:dyDescent="0.2">
      <c r="A51" s="70">
        <f t="shared" ref="A51:A65" si="9">A50+1</f>
        <v>39</v>
      </c>
      <c r="D51" s="75" t="str">
        <f t="shared" si="8"/>
        <v>SCE</v>
      </c>
      <c r="E51" s="82"/>
      <c r="I51" s="79">
        <v>-6.5629939999999998</v>
      </c>
      <c r="J51" s="73"/>
      <c r="K51" s="86" t="s">
        <v>134</v>
      </c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</row>
    <row r="52" spans="1:23" s="80" customFormat="1" x14ac:dyDescent="0.2">
      <c r="A52" s="70">
        <f t="shared" si="9"/>
        <v>40</v>
      </c>
      <c r="D52" s="75" t="str">
        <f t="shared" si="8"/>
        <v>SDG&amp;E</v>
      </c>
      <c r="E52" s="82"/>
      <c r="I52" s="79">
        <v>-8.9091260000000005</v>
      </c>
      <c r="J52" s="73"/>
      <c r="K52" s="86" t="s">
        <v>134</v>
      </c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</row>
    <row r="53" spans="1:23" s="80" customFormat="1" x14ac:dyDescent="0.2">
      <c r="A53" s="70">
        <f>A52+1</f>
        <v>41</v>
      </c>
      <c r="D53" s="75" t="str">
        <f t="shared" si="8"/>
        <v>Anaheim</v>
      </c>
      <c r="E53" s="82"/>
      <c r="I53" s="79">
        <v>0</v>
      </c>
      <c r="J53" s="73"/>
      <c r="K53" s="86" t="s">
        <v>134</v>
      </c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</row>
    <row r="54" spans="1:23" s="80" customFormat="1" x14ac:dyDescent="0.2">
      <c r="A54" s="70">
        <f t="shared" si="9"/>
        <v>42</v>
      </c>
      <c r="D54" s="75" t="str">
        <f t="shared" si="8"/>
        <v>Azusa</v>
      </c>
      <c r="E54" s="82"/>
      <c r="I54" s="79">
        <v>0</v>
      </c>
      <c r="J54" s="73"/>
      <c r="K54" s="86" t="s">
        <v>134</v>
      </c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</row>
    <row r="55" spans="1:23" s="80" customFormat="1" x14ac:dyDescent="0.2">
      <c r="A55" s="70">
        <f t="shared" si="9"/>
        <v>43</v>
      </c>
      <c r="D55" s="75" t="str">
        <f t="shared" si="8"/>
        <v>Banning</v>
      </c>
      <c r="E55" s="82"/>
      <c r="I55" s="79">
        <v>0</v>
      </c>
      <c r="J55" s="73"/>
      <c r="K55" s="86" t="s">
        <v>134</v>
      </c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</row>
    <row r="56" spans="1:23" s="80" customFormat="1" x14ac:dyDescent="0.2">
      <c r="A56" s="70">
        <f t="shared" si="9"/>
        <v>44</v>
      </c>
      <c r="D56" s="75" t="str">
        <f t="shared" si="8"/>
        <v>Pasadena</v>
      </c>
      <c r="E56" s="82"/>
      <c r="I56" s="79">
        <v>0</v>
      </c>
      <c r="J56" s="73"/>
      <c r="K56" s="86" t="s">
        <v>134</v>
      </c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</row>
    <row r="57" spans="1:23" s="80" customFormat="1" x14ac:dyDescent="0.2">
      <c r="A57" s="70">
        <f t="shared" si="9"/>
        <v>45</v>
      </c>
      <c r="D57" s="75" t="str">
        <f t="shared" si="8"/>
        <v>Riverside</v>
      </c>
      <c r="E57" s="82"/>
      <c r="I57" s="79">
        <v>0</v>
      </c>
      <c r="J57" s="73"/>
      <c r="K57" s="86" t="s">
        <v>134</v>
      </c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s="80" customFormat="1" x14ac:dyDescent="0.2">
      <c r="A58" s="70">
        <f t="shared" si="9"/>
        <v>46</v>
      </c>
      <c r="D58" s="75" t="str">
        <f t="shared" si="8"/>
        <v>Vernon</v>
      </c>
      <c r="E58" s="82"/>
      <c r="I58" s="79">
        <v>0</v>
      </c>
      <c r="J58" s="73"/>
      <c r="K58" s="86" t="s">
        <v>134</v>
      </c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</row>
    <row r="59" spans="1:23" s="80" customFormat="1" x14ac:dyDescent="0.2">
      <c r="A59" s="70">
        <f t="shared" si="9"/>
        <v>47</v>
      </c>
      <c r="D59" s="75" t="str">
        <f t="shared" si="8"/>
        <v>DATC Path 15</v>
      </c>
      <c r="E59" s="82"/>
      <c r="I59" s="79">
        <v>0</v>
      </c>
      <c r="J59" s="73"/>
      <c r="K59" s="86" t="s">
        <v>134</v>
      </c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</row>
    <row r="60" spans="1:23" s="80" customFormat="1" x14ac:dyDescent="0.2">
      <c r="A60" s="70">
        <f t="shared" si="9"/>
        <v>48</v>
      </c>
      <c r="D60" s="75" t="str">
        <f t="shared" si="8"/>
        <v>Startrans IO</v>
      </c>
      <c r="E60" s="82"/>
      <c r="I60" s="79">
        <v>0</v>
      </c>
      <c r="J60" s="73"/>
      <c r="K60" s="86" t="s">
        <v>134</v>
      </c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</row>
    <row r="61" spans="1:23" s="80" customFormat="1" x14ac:dyDescent="0.2">
      <c r="A61" s="70">
        <f t="shared" si="9"/>
        <v>49</v>
      </c>
      <c r="D61" s="75" t="str">
        <f t="shared" si="8"/>
        <v>Trans Bay Cable</v>
      </c>
      <c r="E61" s="82"/>
      <c r="I61" s="79">
        <v>0</v>
      </c>
      <c r="J61" s="73"/>
      <c r="K61" s="86" t="s">
        <v>134</v>
      </c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</row>
    <row r="62" spans="1:23" s="80" customFormat="1" x14ac:dyDescent="0.2">
      <c r="A62" s="70">
        <f t="shared" si="9"/>
        <v>50</v>
      </c>
      <c r="D62" s="75" t="str">
        <f t="shared" si="8"/>
        <v>Citizens Sunrise</v>
      </c>
      <c r="E62" s="82"/>
      <c r="I62" s="79">
        <v>0</v>
      </c>
      <c r="J62" s="73"/>
      <c r="K62" s="86" t="s">
        <v>134</v>
      </c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 spans="1:23" s="80" customFormat="1" x14ac:dyDescent="0.2">
      <c r="A63" s="70">
        <f t="shared" si="9"/>
        <v>51</v>
      </c>
      <c r="D63" s="75" t="str">
        <f t="shared" si="8"/>
        <v>Colton</v>
      </c>
      <c r="E63" s="82"/>
      <c r="I63" s="79">
        <v>0</v>
      </c>
      <c r="J63" s="73"/>
      <c r="K63" s="86" t="s">
        <v>134</v>
      </c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 spans="1:23" s="80" customFormat="1" x14ac:dyDescent="0.2">
      <c r="A64" s="70">
        <f t="shared" si="9"/>
        <v>52</v>
      </c>
      <c r="D64" s="75" t="str">
        <f t="shared" si="8"/>
        <v>GWT/VEA</v>
      </c>
      <c r="E64" s="82"/>
      <c r="I64" s="79">
        <v>0</v>
      </c>
      <c r="J64" s="73"/>
      <c r="K64" s="86" t="s">
        <v>134</v>
      </c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</row>
    <row r="65" spans="1:23" s="80" customFormat="1" x14ac:dyDescent="0.2">
      <c r="A65" s="70">
        <f t="shared" si="9"/>
        <v>53</v>
      </c>
      <c r="D65" s="75" t="s">
        <v>5</v>
      </c>
      <c r="E65" s="82"/>
      <c r="I65" s="72">
        <f>SUM(I50:I64)</f>
        <v>-20.494968</v>
      </c>
      <c r="J65" s="88">
        <f t="shared" ref="J65:W65" si="10">I65*(1+J10)</f>
        <v>-20.699917679999999</v>
      </c>
      <c r="K65" s="88">
        <f t="shared" si="10"/>
        <v>-20.906916856799999</v>
      </c>
      <c r="L65" s="88">
        <f t="shared" si="10"/>
        <v>-21.115986025367999</v>
      </c>
      <c r="M65" s="88">
        <f t="shared" si="10"/>
        <v>-21.327145885621679</v>
      </c>
      <c r="N65" s="88">
        <f t="shared" si="10"/>
        <v>-21.540417344477895</v>
      </c>
      <c r="O65" s="88">
        <f t="shared" si="10"/>
        <v>-21.755821517922673</v>
      </c>
      <c r="P65" s="88">
        <f t="shared" si="10"/>
        <v>-21.973379733101901</v>
      </c>
      <c r="Q65" s="88">
        <f t="shared" si="10"/>
        <v>-22.193113530432921</v>
      </c>
      <c r="R65" s="88">
        <f t="shared" si="10"/>
        <v>-22.415044665737252</v>
      </c>
      <c r="S65" s="88">
        <f t="shared" si="10"/>
        <v>-22.639195112394624</v>
      </c>
      <c r="T65" s="88">
        <f t="shared" si="10"/>
        <v>-22.865587063518571</v>
      </c>
      <c r="U65" s="88">
        <f t="shared" si="10"/>
        <v>-23.094242934153758</v>
      </c>
      <c r="V65" s="88">
        <f t="shared" si="10"/>
        <v>-23.325185363495297</v>
      </c>
      <c r="W65" s="88">
        <f t="shared" si="10"/>
        <v>-23.558437217130251</v>
      </c>
    </row>
    <row r="66" spans="1:23" s="80" customFormat="1" x14ac:dyDescent="0.2">
      <c r="A66" s="70"/>
      <c r="E66" s="82"/>
      <c r="I66" s="8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</row>
    <row r="67" spans="1:23" s="80" customFormat="1" x14ac:dyDescent="0.2">
      <c r="A67" s="70"/>
      <c r="C67" s="80" t="s">
        <v>91</v>
      </c>
      <c r="E67" s="82"/>
      <c r="I67" s="8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</row>
    <row r="68" spans="1:23" s="80" customFormat="1" x14ac:dyDescent="0.2">
      <c r="A68" s="70">
        <f>A65+1</f>
        <v>54</v>
      </c>
      <c r="D68" s="75" t="str">
        <f t="shared" ref="D68:D82" si="11">D14</f>
        <v>PG&amp;E</v>
      </c>
      <c r="E68" s="82"/>
      <c r="I68" s="73">
        <f>I14+I32+I50</f>
        <v>788.44459700000004</v>
      </c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</row>
    <row r="69" spans="1:23" s="80" customFormat="1" x14ac:dyDescent="0.2">
      <c r="A69" s="70">
        <f t="shared" ref="A69:A83" si="12">A68+1</f>
        <v>55</v>
      </c>
      <c r="D69" s="75" t="str">
        <f t="shared" si="11"/>
        <v>SCE</v>
      </c>
      <c r="E69" s="82"/>
      <c r="I69" s="73">
        <f t="shared" ref="I69:I83" si="13">I15+I33+I51</f>
        <v>861.655306</v>
      </c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</row>
    <row r="70" spans="1:23" s="80" customFormat="1" x14ac:dyDescent="0.2">
      <c r="A70" s="70">
        <f t="shared" si="12"/>
        <v>56</v>
      </c>
      <c r="D70" s="75" t="str">
        <f t="shared" si="11"/>
        <v>SDG&amp;E</v>
      </c>
      <c r="E70" s="82"/>
      <c r="I70" s="73">
        <f t="shared" si="13"/>
        <v>538.31908199999998</v>
      </c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</row>
    <row r="71" spans="1:23" s="80" customFormat="1" x14ac:dyDescent="0.2">
      <c r="A71" s="70">
        <f t="shared" si="12"/>
        <v>57</v>
      </c>
      <c r="D71" s="75" t="str">
        <f t="shared" si="11"/>
        <v>Anaheim</v>
      </c>
      <c r="E71" s="82"/>
      <c r="I71" s="73">
        <f t="shared" si="13"/>
        <v>30.020588</v>
      </c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</row>
    <row r="72" spans="1:23" s="80" customFormat="1" x14ac:dyDescent="0.2">
      <c r="A72" s="70">
        <f t="shared" si="12"/>
        <v>58</v>
      </c>
      <c r="D72" s="75" t="str">
        <f t="shared" si="11"/>
        <v>Azusa</v>
      </c>
      <c r="E72" s="82"/>
      <c r="I72" s="73">
        <f t="shared" si="13"/>
        <v>1.171341</v>
      </c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</row>
    <row r="73" spans="1:23" s="80" customFormat="1" x14ac:dyDescent="0.2">
      <c r="A73" s="70">
        <f t="shared" si="12"/>
        <v>59</v>
      </c>
      <c r="D73" s="75" t="str">
        <f t="shared" si="11"/>
        <v>Banning</v>
      </c>
      <c r="E73" s="82"/>
      <c r="I73" s="73">
        <f t="shared" si="13"/>
        <v>0.82448199999999994</v>
      </c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</row>
    <row r="74" spans="1:23" s="80" customFormat="1" x14ac:dyDescent="0.2">
      <c r="A74" s="70">
        <f t="shared" si="12"/>
        <v>60</v>
      </c>
      <c r="D74" s="75" t="str">
        <f t="shared" si="11"/>
        <v>Pasadena</v>
      </c>
      <c r="E74" s="82"/>
      <c r="I74" s="73">
        <f t="shared" si="13"/>
        <v>16.189539</v>
      </c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</row>
    <row r="75" spans="1:23" s="80" customFormat="1" x14ac:dyDescent="0.2">
      <c r="A75" s="70">
        <f t="shared" si="12"/>
        <v>61</v>
      </c>
      <c r="D75" s="75" t="str">
        <f t="shared" si="11"/>
        <v>Riverside</v>
      </c>
      <c r="E75" s="82"/>
      <c r="I75" s="73">
        <f t="shared" si="13"/>
        <v>34.962315000000004</v>
      </c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</row>
    <row r="76" spans="1:23" s="80" customFormat="1" x14ac:dyDescent="0.2">
      <c r="A76" s="70">
        <f t="shared" si="12"/>
        <v>62</v>
      </c>
      <c r="D76" s="75" t="str">
        <f t="shared" si="11"/>
        <v>Vernon</v>
      </c>
      <c r="E76" s="82"/>
      <c r="I76" s="73">
        <f t="shared" si="13"/>
        <v>3.1390289999999998</v>
      </c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</row>
    <row r="77" spans="1:23" s="80" customFormat="1" x14ac:dyDescent="0.2">
      <c r="A77" s="70">
        <f t="shared" si="12"/>
        <v>63</v>
      </c>
      <c r="D77" s="75" t="str">
        <f t="shared" si="11"/>
        <v>DATC Path 15</v>
      </c>
      <c r="E77" s="82"/>
      <c r="I77" s="73">
        <f t="shared" si="13"/>
        <v>26.071625000000001</v>
      </c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</row>
    <row r="78" spans="1:23" s="80" customFormat="1" x14ac:dyDescent="0.2">
      <c r="A78" s="70">
        <f t="shared" si="12"/>
        <v>64</v>
      </c>
      <c r="D78" s="75" t="str">
        <f t="shared" si="11"/>
        <v>Startrans IO</v>
      </c>
      <c r="E78" s="82"/>
      <c r="I78" s="73">
        <f t="shared" si="13"/>
        <v>3.391289</v>
      </c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</row>
    <row r="79" spans="1:23" s="80" customFormat="1" x14ac:dyDescent="0.2">
      <c r="A79" s="70">
        <f t="shared" si="12"/>
        <v>65</v>
      </c>
      <c r="D79" s="75" t="str">
        <f t="shared" si="11"/>
        <v>Trans Bay Cable</v>
      </c>
      <c r="E79" s="82"/>
      <c r="I79" s="73">
        <f t="shared" si="13"/>
        <v>122.39569</v>
      </c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</row>
    <row r="80" spans="1:23" s="80" customFormat="1" x14ac:dyDescent="0.2">
      <c r="A80" s="70">
        <f t="shared" si="12"/>
        <v>66</v>
      </c>
      <c r="D80" s="75" t="str">
        <f t="shared" si="11"/>
        <v>Citizens Sunrise</v>
      </c>
      <c r="E80" s="82"/>
      <c r="I80" s="73">
        <f t="shared" si="13"/>
        <v>14.351557999999999</v>
      </c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</row>
    <row r="81" spans="1:23" s="80" customFormat="1" x14ac:dyDescent="0.2">
      <c r="A81" s="70">
        <f t="shared" si="12"/>
        <v>67</v>
      </c>
      <c r="D81" s="75" t="str">
        <f t="shared" si="11"/>
        <v>Colton</v>
      </c>
      <c r="E81" s="82"/>
      <c r="I81" s="73">
        <f t="shared" si="13"/>
        <v>1.216386</v>
      </c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</row>
    <row r="82" spans="1:23" s="80" customFormat="1" x14ac:dyDescent="0.2">
      <c r="A82" s="70">
        <f t="shared" si="12"/>
        <v>68</v>
      </c>
      <c r="D82" s="75" t="str">
        <f t="shared" si="11"/>
        <v>GWT/VEA</v>
      </c>
      <c r="E82" s="82"/>
      <c r="I82" s="73">
        <f t="shared" si="13"/>
        <v>0</v>
      </c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</row>
    <row r="83" spans="1:23" s="80" customFormat="1" x14ac:dyDescent="0.2">
      <c r="A83" s="70">
        <f t="shared" si="12"/>
        <v>69</v>
      </c>
      <c r="D83" s="75" t="s">
        <v>5</v>
      </c>
      <c r="E83" s="82"/>
      <c r="F83" s="70"/>
      <c r="I83" s="72">
        <f t="shared" si="13"/>
        <v>2442.1528270000008</v>
      </c>
      <c r="J83" s="72">
        <f t="shared" ref="J83:W83" si="14">J29+J47+J65</f>
        <v>2440.8927556056565</v>
      </c>
      <c r="K83" s="72">
        <f t="shared" si="14"/>
        <v>2439.6095322802253</v>
      </c>
      <c r="L83" s="72">
        <f t="shared" si="14"/>
        <v>2438.302714480054</v>
      </c>
      <c r="M83" s="72">
        <f t="shared" si="14"/>
        <v>2436.9718510155649</v>
      </c>
      <c r="N83" s="72">
        <f t="shared" si="14"/>
        <v>2435.6164818803886</v>
      </c>
      <c r="O83" s="72">
        <f t="shared" si="14"/>
        <v>2434.2361380770967</v>
      </c>
      <c r="P83" s="72">
        <f t="shared" si="14"/>
        <v>2432.8303414394736</v>
      </c>
      <c r="Q83" s="72">
        <f t="shared" si="14"/>
        <v>2431.3986044512503</v>
      </c>
      <c r="R83" s="72">
        <f t="shared" si="14"/>
        <v>2429.9404300612359</v>
      </c>
      <c r="S83" s="72">
        <f t="shared" si="14"/>
        <v>2428.4553114947735</v>
      </c>
      <c r="T83" s="72">
        <f t="shared" si="14"/>
        <v>2426.9427320614491</v>
      </c>
      <c r="U83" s="72">
        <f t="shared" si="14"/>
        <v>2425.4021649589686</v>
      </c>
      <c r="V83" s="72">
        <f t="shared" si="14"/>
        <v>2423.8330730731454</v>
      </c>
      <c r="W83" s="72">
        <f t="shared" si="14"/>
        <v>2422.2349087738999</v>
      </c>
    </row>
    <row r="84" spans="1:23" s="80" customFormat="1" x14ac:dyDescent="0.2">
      <c r="A84" s="70"/>
      <c r="E84" s="82"/>
      <c r="I84" s="8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</row>
    <row r="85" spans="1:23" s="80" customFormat="1" x14ac:dyDescent="0.2">
      <c r="A85" s="70"/>
      <c r="C85" s="80" t="s">
        <v>92</v>
      </c>
      <c r="E85" s="82"/>
      <c r="I85" s="8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</row>
    <row r="86" spans="1:23" s="80" customFormat="1" x14ac:dyDescent="0.2">
      <c r="A86" s="70">
        <f>A83+1</f>
        <v>70</v>
      </c>
      <c r="D86" s="75" t="str">
        <f t="shared" ref="D86:D100" si="15">D14</f>
        <v>PG&amp;E</v>
      </c>
      <c r="E86" s="82"/>
      <c r="I86" s="87">
        <v>85012.937000000005</v>
      </c>
      <c r="J86" s="73"/>
      <c r="K86" s="86" t="s">
        <v>134</v>
      </c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</row>
    <row r="87" spans="1:23" s="80" customFormat="1" x14ac:dyDescent="0.2">
      <c r="A87" s="70">
        <f t="shared" ref="A87:A101" si="16">A86+1</f>
        <v>71</v>
      </c>
      <c r="D87" s="75" t="str">
        <f t="shared" si="15"/>
        <v>SCE</v>
      </c>
      <c r="E87" s="82"/>
      <c r="I87" s="87">
        <v>87036.035000000003</v>
      </c>
      <c r="J87" s="73"/>
      <c r="K87" s="86" t="s">
        <v>134</v>
      </c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</row>
    <row r="88" spans="1:23" s="80" customFormat="1" x14ac:dyDescent="0.2">
      <c r="A88" s="70">
        <f t="shared" si="16"/>
        <v>72</v>
      </c>
      <c r="D88" s="75" t="str">
        <f t="shared" si="15"/>
        <v>SDG&amp;E</v>
      </c>
      <c r="E88" s="82"/>
      <c r="I88" s="87">
        <v>19057.144</v>
      </c>
      <c r="J88" s="73"/>
      <c r="K88" s="86" t="s">
        <v>134</v>
      </c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</row>
    <row r="89" spans="1:23" s="80" customFormat="1" x14ac:dyDescent="0.2">
      <c r="A89" s="70">
        <f t="shared" si="16"/>
        <v>73</v>
      </c>
      <c r="D89" s="75" t="str">
        <f t="shared" si="15"/>
        <v>Anaheim</v>
      </c>
      <c r="E89" s="82"/>
      <c r="I89" s="87">
        <v>2507.62</v>
      </c>
      <c r="J89" s="73"/>
      <c r="K89" s="86" t="s">
        <v>134</v>
      </c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</row>
    <row r="90" spans="1:23" s="80" customFormat="1" x14ac:dyDescent="0.2">
      <c r="A90" s="70">
        <f t="shared" si="16"/>
        <v>74</v>
      </c>
      <c r="D90" s="75" t="str">
        <f t="shared" si="15"/>
        <v>Azusa</v>
      </c>
      <c r="E90" s="82"/>
      <c r="I90" s="87">
        <v>257.416</v>
      </c>
      <c r="J90" s="73"/>
      <c r="K90" s="86" t="s">
        <v>134</v>
      </c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</row>
    <row r="91" spans="1:23" s="80" customFormat="1" x14ac:dyDescent="0.2">
      <c r="A91" s="70">
        <f t="shared" si="16"/>
        <v>75</v>
      </c>
      <c r="D91" s="75" t="str">
        <f t="shared" si="15"/>
        <v>Banning</v>
      </c>
      <c r="E91" s="82"/>
      <c r="I91" s="87">
        <v>144.65199999999999</v>
      </c>
      <c r="J91" s="73"/>
      <c r="K91" s="86" t="s">
        <v>134</v>
      </c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</row>
    <row r="92" spans="1:23" s="80" customFormat="1" x14ac:dyDescent="0.2">
      <c r="A92" s="70">
        <f t="shared" si="16"/>
        <v>76</v>
      </c>
      <c r="D92" s="75" t="str">
        <f t="shared" si="15"/>
        <v>Pasadena</v>
      </c>
      <c r="E92" s="82"/>
      <c r="I92" s="87">
        <v>1065.579</v>
      </c>
      <c r="J92" s="73"/>
      <c r="K92" s="86" t="s">
        <v>134</v>
      </c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</row>
    <row r="93" spans="1:23" s="80" customFormat="1" x14ac:dyDescent="0.2">
      <c r="A93" s="70">
        <f t="shared" si="16"/>
        <v>77</v>
      </c>
      <c r="D93" s="75" t="str">
        <f t="shared" si="15"/>
        <v>Riverside</v>
      </c>
      <c r="E93" s="82"/>
      <c r="I93" s="87">
        <v>2180.9850000000001</v>
      </c>
      <c r="J93" s="73"/>
      <c r="K93" s="86" t="s">
        <v>134</v>
      </c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</row>
    <row r="94" spans="1:23" s="80" customFormat="1" x14ac:dyDescent="0.2">
      <c r="A94" s="70">
        <f t="shared" si="16"/>
        <v>78</v>
      </c>
      <c r="D94" s="75" t="str">
        <f t="shared" si="15"/>
        <v>Vernon</v>
      </c>
      <c r="E94" s="82"/>
      <c r="I94" s="87">
        <v>1119.2149999999999</v>
      </c>
      <c r="J94" s="73"/>
      <c r="K94" s="86" t="s">
        <v>134</v>
      </c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</row>
    <row r="95" spans="1:23" s="80" customFormat="1" x14ac:dyDescent="0.2">
      <c r="A95" s="70">
        <f t="shared" si="16"/>
        <v>79</v>
      </c>
      <c r="D95" s="75" t="str">
        <f t="shared" si="15"/>
        <v>DATC Path 15</v>
      </c>
      <c r="E95" s="82"/>
      <c r="I95" s="87">
        <v>0</v>
      </c>
      <c r="J95" s="73"/>
      <c r="K95" s="86" t="s">
        <v>134</v>
      </c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</row>
    <row r="96" spans="1:23" s="80" customFormat="1" x14ac:dyDescent="0.2">
      <c r="A96" s="70">
        <f t="shared" si="16"/>
        <v>80</v>
      </c>
      <c r="D96" s="75" t="str">
        <f t="shared" si="15"/>
        <v>Startrans IO</v>
      </c>
      <c r="E96" s="82"/>
      <c r="I96" s="87">
        <v>0</v>
      </c>
      <c r="J96" s="73"/>
      <c r="K96" s="86" t="s">
        <v>134</v>
      </c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</row>
    <row r="97" spans="1:23" s="80" customFormat="1" x14ac:dyDescent="0.2">
      <c r="A97" s="70">
        <f t="shared" si="16"/>
        <v>81</v>
      </c>
      <c r="D97" s="75" t="str">
        <f t="shared" si="15"/>
        <v>Trans Bay Cable</v>
      </c>
      <c r="E97" s="82"/>
      <c r="I97" s="87">
        <v>0</v>
      </c>
      <c r="J97" s="73"/>
      <c r="K97" s="86" t="s">
        <v>134</v>
      </c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</row>
    <row r="98" spans="1:23" s="80" customFormat="1" x14ac:dyDescent="0.2">
      <c r="A98" s="70">
        <f t="shared" si="16"/>
        <v>82</v>
      </c>
      <c r="D98" s="75" t="str">
        <f t="shared" si="15"/>
        <v>Citizens Sunrise</v>
      </c>
      <c r="E98" s="82"/>
      <c r="I98" s="87">
        <v>0</v>
      </c>
      <c r="J98" s="73"/>
      <c r="K98" s="86" t="s">
        <v>134</v>
      </c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</row>
    <row r="99" spans="1:23" s="80" customFormat="1" x14ac:dyDescent="0.2">
      <c r="A99" s="70">
        <f t="shared" si="16"/>
        <v>83</v>
      </c>
      <c r="D99" s="75" t="str">
        <f t="shared" si="15"/>
        <v>Colton</v>
      </c>
      <c r="E99" s="82"/>
      <c r="I99" s="87">
        <v>372.17899999999997</v>
      </c>
      <c r="J99" s="73"/>
      <c r="K99" s="86" t="s">
        <v>134</v>
      </c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</row>
    <row r="100" spans="1:23" s="80" customFormat="1" x14ac:dyDescent="0.2">
      <c r="A100" s="70">
        <f t="shared" si="16"/>
        <v>84</v>
      </c>
      <c r="D100" s="75" t="str">
        <f t="shared" si="15"/>
        <v>GWT/VEA</v>
      </c>
      <c r="E100" s="82"/>
      <c r="I100" s="87">
        <v>544.97</v>
      </c>
      <c r="J100" s="73"/>
      <c r="K100" s="86" t="s">
        <v>134</v>
      </c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</row>
    <row r="101" spans="1:23" s="80" customFormat="1" x14ac:dyDescent="0.2">
      <c r="A101" s="70">
        <f t="shared" si="16"/>
        <v>85</v>
      </c>
      <c r="D101" s="75" t="s">
        <v>5</v>
      </c>
      <c r="E101" s="82"/>
      <c r="I101" s="85">
        <f>SUM(I86:I100)</f>
        <v>199298.73199999999</v>
      </c>
      <c r="J101" s="84">
        <f t="shared" ref="J101:W101" si="17">I101*(1+J11)</f>
        <v>199199.08263399999</v>
      </c>
      <c r="K101" s="84">
        <f t="shared" si="17"/>
        <v>199099.48309268299</v>
      </c>
      <c r="L101" s="84">
        <f t="shared" si="17"/>
        <v>198999.93335113666</v>
      </c>
      <c r="M101" s="84">
        <f t="shared" si="17"/>
        <v>198900.4333844611</v>
      </c>
      <c r="N101" s="84">
        <f t="shared" si="17"/>
        <v>198800.98316776886</v>
      </c>
      <c r="O101" s="84">
        <f t="shared" si="17"/>
        <v>198701.582676185</v>
      </c>
      <c r="P101" s="84">
        <f t="shared" si="17"/>
        <v>198602.23188484693</v>
      </c>
      <c r="Q101" s="84">
        <f t="shared" si="17"/>
        <v>198502.93076890451</v>
      </c>
      <c r="R101" s="84">
        <f t="shared" si="17"/>
        <v>198403.67930352007</v>
      </c>
      <c r="S101" s="84">
        <f t="shared" si="17"/>
        <v>198304.47746386833</v>
      </c>
      <c r="T101" s="84">
        <f t="shared" si="17"/>
        <v>198205.32522513642</v>
      </c>
      <c r="U101" s="84">
        <f t="shared" si="17"/>
        <v>198106.22256252385</v>
      </c>
      <c r="V101" s="84">
        <f t="shared" si="17"/>
        <v>198007.1694512426</v>
      </c>
      <c r="W101" s="84">
        <f t="shared" si="17"/>
        <v>197908.165866517</v>
      </c>
    </row>
    <row r="102" spans="1:23" s="80" customFormat="1" x14ac:dyDescent="0.2">
      <c r="A102" s="70"/>
      <c r="D102" s="75"/>
      <c r="E102" s="82"/>
      <c r="I102" s="8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</row>
    <row r="103" spans="1:23" s="80" customFormat="1" x14ac:dyDescent="0.2">
      <c r="A103" s="70">
        <f>A101+1</f>
        <v>86</v>
      </c>
      <c r="C103" s="80" t="s">
        <v>93</v>
      </c>
      <c r="D103" s="75"/>
      <c r="E103" s="82"/>
      <c r="F103" s="70"/>
      <c r="I103" s="81">
        <f>1000*I83/I101</f>
        <v>12.253729878221208</v>
      </c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</row>
    <row r="104" spans="1:23" s="80" customFormat="1" x14ac:dyDescent="0.2">
      <c r="A104" s="70"/>
      <c r="D104" s="75"/>
      <c r="E104" s="82"/>
      <c r="I104" s="81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</row>
    <row r="105" spans="1:23" s="80" customFormat="1" x14ac:dyDescent="0.2">
      <c r="A105" s="70"/>
      <c r="C105" s="80" t="s">
        <v>94</v>
      </c>
      <c r="D105" s="75"/>
      <c r="E105" s="82"/>
      <c r="I105" s="81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</row>
    <row r="106" spans="1:23" s="80" customFormat="1" x14ac:dyDescent="0.2">
      <c r="A106" s="70">
        <f>A103+1</f>
        <v>87</v>
      </c>
      <c r="D106" s="75" t="str">
        <f t="shared" ref="D106:D114" si="18">D14</f>
        <v>PG&amp;E</v>
      </c>
      <c r="E106" s="82"/>
      <c r="I106" s="81">
        <f t="shared" ref="I106:I114" si="19">1000*I68/I86</f>
        <v>9.274407223455885</v>
      </c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</row>
    <row r="107" spans="1:23" s="80" customFormat="1" x14ac:dyDescent="0.2">
      <c r="A107" s="70">
        <f t="shared" ref="A107:A116" si="20">A106+1</f>
        <v>88</v>
      </c>
      <c r="D107" s="75" t="str">
        <f t="shared" si="18"/>
        <v>SCE</v>
      </c>
      <c r="E107" s="82"/>
      <c r="I107" s="81">
        <f t="shared" si="19"/>
        <v>9.8999834493839245</v>
      </c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</row>
    <row r="108" spans="1:23" s="80" customFormat="1" x14ac:dyDescent="0.2">
      <c r="A108" s="70">
        <f t="shared" si="20"/>
        <v>89</v>
      </c>
      <c r="D108" s="75" t="str">
        <f t="shared" si="18"/>
        <v>SDG&amp;E</v>
      </c>
      <c r="E108" s="82"/>
      <c r="I108" s="81">
        <f t="shared" si="19"/>
        <v>28.247626296993921</v>
      </c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</row>
    <row r="109" spans="1:23" s="80" customFormat="1" x14ac:dyDescent="0.2">
      <c r="A109" s="70">
        <f t="shared" si="20"/>
        <v>90</v>
      </c>
      <c r="D109" s="75" t="str">
        <f t="shared" si="18"/>
        <v>Anaheim</v>
      </c>
      <c r="E109" s="82"/>
      <c r="I109" s="81">
        <f t="shared" si="19"/>
        <v>11.971745320263837</v>
      </c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</row>
    <row r="110" spans="1:23" s="80" customFormat="1" x14ac:dyDescent="0.2">
      <c r="A110" s="70">
        <f t="shared" si="20"/>
        <v>91</v>
      </c>
      <c r="D110" s="75" t="str">
        <f t="shared" si="18"/>
        <v>Azusa</v>
      </c>
      <c r="E110" s="82"/>
      <c r="I110" s="81">
        <f t="shared" si="19"/>
        <v>4.5503814836684588</v>
      </c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</row>
    <row r="111" spans="1:23" s="80" customFormat="1" x14ac:dyDescent="0.2">
      <c r="A111" s="70">
        <f t="shared" si="20"/>
        <v>92</v>
      </c>
      <c r="D111" s="75" t="str">
        <f t="shared" si="18"/>
        <v>Banning</v>
      </c>
      <c r="E111" s="82"/>
      <c r="I111" s="81">
        <f t="shared" si="19"/>
        <v>5.6997621878715821</v>
      </c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</row>
    <row r="112" spans="1:23" s="80" customFormat="1" x14ac:dyDescent="0.2">
      <c r="A112" s="70">
        <f t="shared" si="20"/>
        <v>93</v>
      </c>
      <c r="D112" s="75" t="str">
        <f t="shared" si="18"/>
        <v>Pasadena</v>
      </c>
      <c r="E112" s="82"/>
      <c r="I112" s="81">
        <f t="shared" si="19"/>
        <v>15.193185113445368</v>
      </c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</row>
    <row r="113" spans="1:23" s="80" customFormat="1" x14ac:dyDescent="0.2">
      <c r="A113" s="70">
        <f t="shared" si="20"/>
        <v>94</v>
      </c>
      <c r="D113" s="75" t="str">
        <f t="shared" si="18"/>
        <v>Riverside</v>
      </c>
      <c r="E113" s="82"/>
      <c r="I113" s="81">
        <f t="shared" si="19"/>
        <v>16.030516028308309</v>
      </c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</row>
    <row r="114" spans="1:23" s="80" customFormat="1" x14ac:dyDescent="0.2">
      <c r="A114" s="70">
        <f t="shared" si="20"/>
        <v>95</v>
      </c>
      <c r="D114" s="75" t="str">
        <f t="shared" si="18"/>
        <v>Vernon</v>
      </c>
      <c r="E114" s="82"/>
      <c r="I114" s="81">
        <f t="shared" si="19"/>
        <v>2.804670237621905</v>
      </c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</row>
    <row r="115" spans="1:23" s="80" customFormat="1" x14ac:dyDescent="0.2">
      <c r="A115" s="70">
        <f t="shared" si="20"/>
        <v>96</v>
      </c>
      <c r="D115" s="75" t="str">
        <f>D27</f>
        <v>Colton</v>
      </c>
      <c r="E115" s="82"/>
      <c r="I115" s="81">
        <f>1000*I81/I99</f>
        <v>3.26828219754473</v>
      </c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</row>
    <row r="116" spans="1:23" s="80" customFormat="1" x14ac:dyDescent="0.2">
      <c r="A116" s="70">
        <f t="shared" si="20"/>
        <v>97</v>
      </c>
      <c r="D116" s="75" t="str">
        <f>D28</f>
        <v>GWT/VEA</v>
      </c>
      <c r="E116" s="82"/>
      <c r="I116" s="81">
        <f>1000*I82/I100</f>
        <v>0</v>
      </c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</row>
    <row r="118" spans="1:23" x14ac:dyDescent="0.2">
      <c r="C118" s="67" t="s">
        <v>85</v>
      </c>
    </row>
    <row r="119" spans="1:23" x14ac:dyDescent="0.2">
      <c r="A119" s="70">
        <f>A116+1</f>
        <v>98</v>
      </c>
      <c r="D119" s="64" t="s">
        <v>60</v>
      </c>
      <c r="F119" s="79">
        <f>5261886185/1000000</f>
        <v>5261.8861850000003</v>
      </c>
      <c r="I119" s="78">
        <f>F119</f>
        <v>5261.8861850000003</v>
      </c>
      <c r="K119" s="76" t="s">
        <v>144</v>
      </c>
    </row>
    <row r="120" spans="1:23" x14ac:dyDescent="0.2">
      <c r="A120" s="70">
        <f>A119+1</f>
        <v>99</v>
      </c>
      <c r="D120" s="64" t="s">
        <v>56</v>
      </c>
      <c r="F120" s="79">
        <f>3289109112/1000000</f>
        <v>3289.1091120000001</v>
      </c>
      <c r="I120" s="78">
        <f>F120</f>
        <v>3289.1091120000001</v>
      </c>
      <c r="K120" s="76" t="s">
        <v>143</v>
      </c>
    </row>
    <row r="121" spans="1:23" x14ac:dyDescent="0.2">
      <c r="A121" s="70"/>
      <c r="F121" s="73"/>
      <c r="K121" s="76"/>
    </row>
    <row r="122" spans="1:23" x14ac:dyDescent="0.2">
      <c r="A122" s="70">
        <f>A120+1</f>
        <v>100</v>
      </c>
      <c r="D122" s="64" t="s">
        <v>4</v>
      </c>
      <c r="F122" s="79">
        <f>161.413+31.789804</f>
        <v>193.20280400000001</v>
      </c>
      <c r="I122" s="78">
        <f>F122</f>
        <v>193.20280400000001</v>
      </c>
      <c r="J122" s="34"/>
      <c r="K122" s="76" t="s">
        <v>145</v>
      </c>
      <c r="N122" s="34"/>
      <c r="Q122" s="34"/>
    </row>
    <row r="123" spans="1:23" x14ac:dyDescent="0.2">
      <c r="A123" s="70">
        <f>A122+1</f>
        <v>101</v>
      </c>
      <c r="D123" s="64" t="s">
        <v>57</v>
      </c>
      <c r="F123" s="79">
        <f>287360616/1000000</f>
        <v>287.36061599999999</v>
      </c>
      <c r="I123" s="78">
        <f>F123</f>
        <v>287.36061599999999</v>
      </c>
      <c r="J123" s="34"/>
      <c r="K123" s="76" t="s">
        <v>146</v>
      </c>
      <c r="N123" s="34"/>
      <c r="Q123" s="34"/>
    </row>
    <row r="124" spans="1:23" x14ac:dyDescent="0.2">
      <c r="A124" s="70">
        <f>A123+1</f>
        <v>102</v>
      </c>
      <c r="D124" s="64" t="s">
        <v>18</v>
      </c>
      <c r="F124" s="79">
        <f>48.374608+80.14038</f>
        <v>128.51498799999999</v>
      </c>
      <c r="I124" s="78">
        <f>F124</f>
        <v>128.51498799999999</v>
      </c>
      <c r="J124" s="34"/>
      <c r="K124" s="76" t="s">
        <v>147</v>
      </c>
    </row>
    <row r="125" spans="1:23" x14ac:dyDescent="0.2">
      <c r="A125" s="70">
        <f>A124+1</f>
        <v>103</v>
      </c>
      <c r="D125" s="75" t="s">
        <v>19</v>
      </c>
      <c r="F125" s="73">
        <f>F126-SUM(F122:F124)</f>
        <v>368.03553900000009</v>
      </c>
      <c r="I125" s="78">
        <f>F125</f>
        <v>368.03553900000009</v>
      </c>
      <c r="J125" s="34"/>
      <c r="K125" s="76"/>
    </row>
    <row r="126" spans="1:23" x14ac:dyDescent="0.2">
      <c r="A126" s="70">
        <f>A125+1</f>
        <v>104</v>
      </c>
      <c r="D126" s="64" t="s">
        <v>45</v>
      </c>
      <c r="F126" s="77">
        <f>I126</f>
        <v>977.11394700000005</v>
      </c>
      <c r="I126" s="72">
        <f>I14</f>
        <v>977.11394700000005</v>
      </c>
      <c r="K126" s="76" t="s">
        <v>148</v>
      </c>
    </row>
    <row r="128" spans="1:23" x14ac:dyDescent="0.2">
      <c r="C128" s="67" t="s">
        <v>38</v>
      </c>
    </row>
    <row r="129" spans="1:19" x14ac:dyDescent="0.2">
      <c r="A129" s="70">
        <f>A126+1</f>
        <v>105</v>
      </c>
      <c r="D129" s="64" t="s">
        <v>60</v>
      </c>
      <c r="F129" s="79">
        <f>8787478998/1000000</f>
        <v>8787.4789980000005</v>
      </c>
      <c r="I129" s="78">
        <f>F129</f>
        <v>8787.4789980000005</v>
      </c>
      <c r="K129" s="44" t="s">
        <v>149</v>
      </c>
    </row>
    <row r="130" spans="1:19" x14ac:dyDescent="0.2">
      <c r="A130" s="70">
        <f>A129+1</f>
        <v>106</v>
      </c>
      <c r="D130" s="64" t="s">
        <v>56</v>
      </c>
      <c r="F130" s="79">
        <f>5829101559/1000000</f>
        <v>5829.1015589999997</v>
      </c>
      <c r="I130" s="78">
        <f>F130</f>
        <v>5829.1015589999997</v>
      </c>
      <c r="K130" s="44" t="s">
        <v>150</v>
      </c>
    </row>
    <row r="131" spans="1:19" x14ac:dyDescent="0.2">
      <c r="A131" s="70"/>
      <c r="F131" s="73"/>
      <c r="K131" s="44"/>
    </row>
    <row r="132" spans="1:19" x14ac:dyDescent="0.2">
      <c r="A132" s="70">
        <f>A130+1</f>
        <v>107</v>
      </c>
      <c r="D132" s="64" t="s">
        <v>4</v>
      </c>
      <c r="F132" s="79">
        <f>263420095/1000000</f>
        <v>263.420095</v>
      </c>
      <c r="I132" s="78">
        <f>F132</f>
        <v>263.420095</v>
      </c>
      <c r="J132" s="34"/>
      <c r="K132" s="44" t="s">
        <v>151</v>
      </c>
      <c r="S132" s="34"/>
    </row>
    <row r="133" spans="1:19" x14ac:dyDescent="0.2">
      <c r="A133" s="70">
        <f>A132+1</f>
        <v>108</v>
      </c>
      <c r="D133" s="64" t="s">
        <v>57</v>
      </c>
      <c r="F133" s="79">
        <f>493192988/1000000</f>
        <v>493.19298800000001</v>
      </c>
      <c r="I133" s="78">
        <f>F133</f>
        <v>493.19298800000001</v>
      </c>
      <c r="J133" s="34"/>
      <c r="K133" s="44" t="s">
        <v>152</v>
      </c>
      <c r="L133" s="35"/>
      <c r="S133" s="34"/>
    </row>
    <row r="134" spans="1:19" x14ac:dyDescent="0.2">
      <c r="A134" s="70">
        <f>A133+1</f>
        <v>109</v>
      </c>
      <c r="D134" s="64" t="s">
        <v>18</v>
      </c>
      <c r="F134" s="79">
        <f>110644222/1000000</f>
        <v>110.644222</v>
      </c>
      <c r="I134" s="78">
        <f>F134</f>
        <v>110.644222</v>
      </c>
      <c r="J134" s="34"/>
      <c r="K134" s="44" t="s">
        <v>153</v>
      </c>
      <c r="S134" s="34"/>
    </row>
    <row r="135" spans="1:19" x14ac:dyDescent="0.2">
      <c r="A135" s="70">
        <f>A134+1</f>
        <v>110</v>
      </c>
      <c r="D135" s="75" t="s">
        <v>19</v>
      </c>
      <c r="F135" s="73">
        <f>F136-SUM(F132:F134)</f>
        <v>61.982511000000045</v>
      </c>
      <c r="I135" s="78">
        <f>F135</f>
        <v>61.982511000000045</v>
      </c>
      <c r="J135" s="34"/>
      <c r="K135" s="44"/>
    </row>
    <row r="136" spans="1:19" x14ac:dyDescent="0.2">
      <c r="A136" s="70">
        <f>A135+1</f>
        <v>111</v>
      </c>
      <c r="D136" s="64" t="s">
        <v>45</v>
      </c>
      <c r="F136" s="77">
        <f>I136</f>
        <v>929.23981600000002</v>
      </c>
      <c r="I136" s="72">
        <f>I15</f>
        <v>929.23981600000002</v>
      </c>
      <c r="K136" s="44" t="s">
        <v>154</v>
      </c>
    </row>
    <row r="137" spans="1:19" x14ac:dyDescent="0.2">
      <c r="F137" s="106"/>
    </row>
    <row r="138" spans="1:19" x14ac:dyDescent="0.2">
      <c r="C138" s="67" t="s">
        <v>86</v>
      </c>
    </row>
    <row r="139" spans="1:19" x14ac:dyDescent="0.2">
      <c r="A139" s="70">
        <f>A136+1</f>
        <v>112</v>
      </c>
      <c r="D139" s="64" t="s">
        <v>60</v>
      </c>
      <c r="F139" s="79">
        <f>5165035/1000</f>
        <v>5165.0349999999999</v>
      </c>
      <c r="I139" s="78">
        <f>F139*I$146/F$146</f>
        <v>3224.7941864354707</v>
      </c>
      <c r="K139" s="76" t="s">
        <v>155</v>
      </c>
    </row>
    <row r="140" spans="1:19" x14ac:dyDescent="0.2">
      <c r="A140" s="70">
        <f>A139+1</f>
        <v>113</v>
      </c>
      <c r="D140" s="64" t="s">
        <v>56</v>
      </c>
      <c r="F140" s="79">
        <f>3665148/1000</f>
        <v>3665.1480000000001</v>
      </c>
      <c r="I140" s="78">
        <f>F140*I$146/F$146</f>
        <v>2288.3384067727698</v>
      </c>
      <c r="K140" s="76" t="s">
        <v>156</v>
      </c>
    </row>
    <row r="141" spans="1:19" x14ac:dyDescent="0.2">
      <c r="A141" s="70"/>
      <c r="F141" s="73"/>
      <c r="K141" s="76"/>
    </row>
    <row r="142" spans="1:19" x14ac:dyDescent="0.2">
      <c r="A142" s="70">
        <f>A140+1</f>
        <v>114</v>
      </c>
      <c r="D142" s="64" t="s">
        <v>4</v>
      </c>
      <c r="F142" s="79">
        <f>154648/1000</f>
        <v>154.648</v>
      </c>
      <c r="I142" s="78">
        <f>F142*I$146/F$146</f>
        <v>96.554616056594512</v>
      </c>
      <c r="J142" s="34"/>
      <c r="K142" s="76" t="s">
        <v>157</v>
      </c>
      <c r="Q142" s="35"/>
    </row>
    <row r="143" spans="1:19" x14ac:dyDescent="0.2">
      <c r="A143" s="70">
        <f>A142+1</f>
        <v>115</v>
      </c>
      <c r="D143" s="64" t="s">
        <v>57</v>
      </c>
      <c r="F143" s="79">
        <f>F140*0.112</f>
        <v>410.496576</v>
      </c>
      <c r="I143" s="78">
        <f>F143*I$146/F$146</f>
        <v>256.2939015585502</v>
      </c>
      <c r="J143" s="34"/>
      <c r="K143" s="76" t="s">
        <v>141</v>
      </c>
      <c r="Q143" s="35"/>
    </row>
    <row r="144" spans="1:19" x14ac:dyDescent="0.2">
      <c r="A144" s="70">
        <f>A143+1</f>
        <v>116</v>
      </c>
      <c r="D144" s="64" t="s">
        <v>18</v>
      </c>
      <c r="F144" s="79">
        <f>F140*0.024457</f>
        <v>89.638524636</v>
      </c>
      <c r="I144" s="78">
        <f>F144*I$146/F$146</f>
        <v>55.965892414441626</v>
      </c>
      <c r="J144" s="34"/>
      <c r="K144" s="76" t="s">
        <v>142</v>
      </c>
      <c r="Q144" s="35"/>
    </row>
    <row r="145" spans="1:11" x14ac:dyDescent="0.2">
      <c r="A145" s="70">
        <f>A144+1</f>
        <v>117</v>
      </c>
      <c r="D145" s="75" t="s">
        <v>19</v>
      </c>
      <c r="F145" s="73">
        <f>F146-SUM(F142:F144)</f>
        <v>252.15989936400001</v>
      </c>
      <c r="I145" s="78">
        <f>F145*I$146/F$146</f>
        <v>157.43625697041369</v>
      </c>
      <c r="J145" s="34"/>
      <c r="K145" s="76"/>
    </row>
    <row r="146" spans="1:11" x14ac:dyDescent="0.2">
      <c r="A146" s="70">
        <f>A145+1</f>
        <v>118</v>
      </c>
      <c r="D146" s="64" t="s">
        <v>45</v>
      </c>
      <c r="F146" s="77">
        <v>906.94299999999998</v>
      </c>
      <c r="I146" s="72">
        <f>I16</f>
        <v>566.25066700000002</v>
      </c>
      <c r="K146" s="76" t="s">
        <v>158</v>
      </c>
    </row>
    <row r="147" spans="1:11" x14ac:dyDescent="0.2">
      <c r="F147" s="106"/>
    </row>
    <row r="148" spans="1:11" x14ac:dyDescent="0.2">
      <c r="C148" s="67" t="s">
        <v>95</v>
      </c>
    </row>
    <row r="149" spans="1:11" x14ac:dyDescent="0.2">
      <c r="A149" s="70">
        <f>A146+1</f>
        <v>119</v>
      </c>
      <c r="D149" s="64" t="s">
        <v>60</v>
      </c>
      <c r="F149" s="79">
        <v>151.58952600000001</v>
      </c>
      <c r="I149" s="78">
        <f>F149*I$156/F$156</f>
        <v>151.58952600000001</v>
      </c>
      <c r="K149" s="76" t="s">
        <v>100</v>
      </c>
    </row>
    <row r="150" spans="1:11" x14ac:dyDescent="0.2">
      <c r="A150" s="70">
        <f>A149+1</f>
        <v>120</v>
      </c>
      <c r="D150" s="64" t="s">
        <v>56</v>
      </c>
      <c r="F150" s="79">
        <v>104.850024</v>
      </c>
      <c r="I150" s="78">
        <f>F150*I$156/F$156</f>
        <v>104.850024</v>
      </c>
      <c r="K150" s="76" t="s">
        <v>101</v>
      </c>
    </row>
    <row r="151" spans="1:11" x14ac:dyDescent="0.2">
      <c r="A151" s="70"/>
      <c r="K151" s="76"/>
    </row>
    <row r="152" spans="1:11" x14ac:dyDescent="0.2">
      <c r="A152" s="70">
        <f>A150+1</f>
        <v>121</v>
      </c>
      <c r="D152" s="64" t="s">
        <v>4</v>
      </c>
      <c r="F152" s="79">
        <v>5.0468780000000004</v>
      </c>
      <c r="I152" s="78">
        <f>F152*I$156/F$156</f>
        <v>5.0468780000000004</v>
      </c>
      <c r="J152" s="34"/>
      <c r="K152" s="76" t="s">
        <v>102</v>
      </c>
    </row>
    <row r="153" spans="1:11" x14ac:dyDescent="0.2">
      <c r="A153" s="70">
        <f>A152+1</f>
        <v>122</v>
      </c>
      <c r="D153" s="64" t="s">
        <v>57</v>
      </c>
      <c r="F153" s="79">
        <v>11.568531999999999</v>
      </c>
      <c r="I153" s="78">
        <f>F153*I$156/F$156</f>
        <v>11.568531999999999</v>
      </c>
      <c r="J153" s="34"/>
      <c r="K153" s="76" t="s">
        <v>97</v>
      </c>
    </row>
    <row r="154" spans="1:11" x14ac:dyDescent="0.2">
      <c r="A154" s="70">
        <f>A153+1</f>
        <v>123</v>
      </c>
      <c r="D154" s="64" t="s">
        <v>18</v>
      </c>
      <c r="F154" s="79">
        <v>4.9840739999999997</v>
      </c>
      <c r="I154" s="78">
        <f>F154*I$156/F$156</f>
        <v>4.9840739999999997</v>
      </c>
      <c r="J154" s="34"/>
      <c r="K154" s="76" t="s">
        <v>98</v>
      </c>
    </row>
    <row r="155" spans="1:11" x14ac:dyDescent="0.2">
      <c r="A155" s="70">
        <f>A154+1</f>
        <v>124</v>
      </c>
      <c r="D155" s="75" t="s">
        <v>19</v>
      </c>
      <c r="F155" s="73">
        <f>F156-SUM(F152:F154)</f>
        <v>3.9716060000000013</v>
      </c>
      <c r="I155" s="78">
        <f>F155*I$156/F$156</f>
        <v>3.9716060000000009</v>
      </c>
      <c r="J155" s="34"/>
      <c r="K155" s="76"/>
    </row>
    <row r="156" spans="1:11" x14ac:dyDescent="0.2">
      <c r="A156" s="70">
        <f>A155+1</f>
        <v>125</v>
      </c>
      <c r="D156" s="64" t="s">
        <v>45</v>
      </c>
      <c r="F156" s="77">
        <v>25.571090000000002</v>
      </c>
      <c r="I156" s="72">
        <f>I23</f>
        <v>25.571090000000002</v>
      </c>
      <c r="K156" s="76" t="s">
        <v>99</v>
      </c>
    </row>
    <row r="157" spans="1:11" x14ac:dyDescent="0.2">
      <c r="F157" s="106"/>
    </row>
    <row r="158" spans="1:11" x14ac:dyDescent="0.2">
      <c r="C158" s="67" t="s">
        <v>87</v>
      </c>
    </row>
    <row r="159" spans="1:11" x14ac:dyDescent="0.2">
      <c r="A159" s="70">
        <f>A156+1</f>
        <v>126</v>
      </c>
      <c r="D159" s="64" t="s">
        <v>60</v>
      </c>
      <c r="F159" s="79">
        <v>603.26700000000005</v>
      </c>
      <c r="I159" s="78">
        <f>F159*I$166/F$166</f>
        <v>489.92787267545873</v>
      </c>
      <c r="K159" s="76" t="s">
        <v>104</v>
      </c>
    </row>
    <row r="160" spans="1:11" x14ac:dyDescent="0.2">
      <c r="A160" s="70">
        <f>A159+1</f>
        <v>127</v>
      </c>
      <c r="D160" s="64" t="s">
        <v>56</v>
      </c>
      <c r="F160" s="79">
        <v>476.38299999999998</v>
      </c>
      <c r="I160" s="78">
        <f>F160*I$166/F$166</f>
        <v>386.88227562381672</v>
      </c>
      <c r="K160" s="76" t="s">
        <v>116</v>
      </c>
    </row>
    <row r="161" spans="1:23" x14ac:dyDescent="0.2">
      <c r="A161" s="70"/>
      <c r="F161" s="73"/>
      <c r="K161" s="76"/>
    </row>
    <row r="162" spans="1:23" x14ac:dyDescent="0.2">
      <c r="A162" s="70">
        <f>A160+1</f>
        <v>128</v>
      </c>
      <c r="D162" s="64" t="s">
        <v>4</v>
      </c>
      <c r="F162" s="79">
        <v>25.492000000000001</v>
      </c>
      <c r="I162" s="78">
        <f>F162*I$166/F$166</f>
        <v>20.702676145459296</v>
      </c>
      <c r="J162" s="34"/>
      <c r="K162" s="76" t="s">
        <v>115</v>
      </c>
      <c r="R162" s="33"/>
    </row>
    <row r="163" spans="1:23" x14ac:dyDescent="0.2">
      <c r="A163" s="70">
        <f>A162+1</f>
        <v>129</v>
      </c>
      <c r="D163" s="64" t="s">
        <v>57</v>
      </c>
      <c r="F163" s="79">
        <v>44.17</v>
      </c>
      <c r="I163" s="78">
        <f>F163*I$166/F$166</f>
        <v>35.871536377880794</v>
      </c>
      <c r="J163" s="34"/>
      <c r="K163" s="76" t="s">
        <v>114</v>
      </c>
      <c r="R163" s="33"/>
    </row>
    <row r="164" spans="1:23" x14ac:dyDescent="0.2">
      <c r="A164" s="70">
        <f>A163+1</f>
        <v>130</v>
      </c>
      <c r="D164" s="64" t="s">
        <v>18</v>
      </c>
      <c r="F164" s="79">
        <v>28.119</v>
      </c>
      <c r="I164" s="78">
        <f>F164*I$166/F$166</f>
        <v>22.836127041196058</v>
      </c>
      <c r="J164" s="34"/>
      <c r="K164" s="76" t="s">
        <v>113</v>
      </c>
      <c r="R164" s="33"/>
    </row>
    <row r="165" spans="1:23" x14ac:dyDescent="0.2">
      <c r="A165" s="70">
        <f>A164+1</f>
        <v>131</v>
      </c>
      <c r="D165" s="75" t="s">
        <v>19</v>
      </c>
      <c r="F165" s="73">
        <f>F166-SUM(F162:F164)</f>
        <v>55.388999999999982</v>
      </c>
      <c r="I165" s="78">
        <f>F165*I$166/F$166</f>
        <v>44.982760435463852</v>
      </c>
      <c r="J165" s="34"/>
      <c r="K165" s="76"/>
    </row>
    <row r="166" spans="1:23" x14ac:dyDescent="0.2">
      <c r="A166" s="70">
        <f>A165+1</f>
        <v>132</v>
      </c>
      <c r="D166" s="64" t="s">
        <v>45</v>
      </c>
      <c r="F166" s="77">
        <v>153.16999999999999</v>
      </c>
      <c r="I166" s="72">
        <f>I25</f>
        <v>124.3931</v>
      </c>
      <c r="K166" s="76" t="s">
        <v>112</v>
      </c>
    </row>
    <row r="168" spans="1:23" x14ac:dyDescent="0.2">
      <c r="C168" s="67" t="s">
        <v>63</v>
      </c>
    </row>
    <row r="169" spans="1:23" x14ac:dyDescent="0.2">
      <c r="A169" s="70">
        <f>A166+1</f>
        <v>133</v>
      </c>
      <c r="D169" s="64" t="s">
        <v>60</v>
      </c>
      <c r="I169" s="73">
        <f>I119+I129+I139+I149+I159</f>
        <v>17915.676768110934</v>
      </c>
      <c r="J169" s="73">
        <f>I169*(
1+J7)</f>
        <v>18273.990303473154</v>
      </c>
      <c r="K169" s="73">
        <f t="shared" ref="K169:W169" si="21">J169*(1+K7)</f>
        <v>18639.470109542617</v>
      </c>
      <c r="L169" s="73">
        <f t="shared" si="21"/>
        <v>19012.259511733471</v>
      </c>
      <c r="M169" s="73">
        <f t="shared" si="21"/>
        <v>19392.504701968141</v>
      </c>
      <c r="N169" s="73">
        <f t="shared" si="21"/>
        <v>19780.354796007505</v>
      </c>
      <c r="O169" s="73">
        <f t="shared" si="21"/>
        <v>20175.961891927655</v>
      </c>
      <c r="P169" s="73">
        <f t="shared" si="21"/>
        <v>20579.481129766209</v>
      </c>
      <c r="Q169" s="73">
        <f t="shared" si="21"/>
        <v>20991.070752361535</v>
      </c>
      <c r="R169" s="73">
        <f t="shared" si="21"/>
        <v>21410.892167408765</v>
      </c>
      <c r="S169" s="73">
        <f t="shared" si="21"/>
        <v>21839.11001075694</v>
      </c>
      <c r="T169" s="73">
        <f t="shared" si="21"/>
        <v>22275.892210972081</v>
      </c>
      <c r="U169" s="73">
        <f t="shared" si="21"/>
        <v>22721.410055191522</v>
      </c>
      <c r="V169" s="73">
        <f t="shared" si="21"/>
        <v>23175.838256295352</v>
      </c>
      <c r="W169" s="73">
        <f t="shared" si="21"/>
        <v>23639.355021421259</v>
      </c>
    </row>
    <row r="170" spans="1:23" x14ac:dyDescent="0.2">
      <c r="A170" s="70">
        <f>A169+1</f>
        <v>134</v>
      </c>
      <c r="D170" s="64" t="s">
        <v>56</v>
      </c>
      <c r="I170" s="73">
        <f>I120+I130+I140+I150+I160</f>
        <v>11898.281377396586</v>
      </c>
      <c r="J170" s="73">
        <f t="shared" ref="J170:W170" si="22">I170+(J169-I169)-J172</f>
        <v>11666.089302172712</v>
      </c>
      <c r="K170" s="73">
        <f t="shared" si="22"/>
        <v>11429.253385444357</v>
      </c>
      <c r="L170" s="73">
        <f t="shared" si="22"/>
        <v>11187.680750381438</v>
      </c>
      <c r="M170" s="73">
        <f t="shared" si="22"/>
        <v>10941.276662617258</v>
      </c>
      <c r="N170" s="73">
        <f t="shared" si="22"/>
        <v>10689.944493097797</v>
      </c>
      <c r="O170" s="73">
        <f t="shared" si="22"/>
        <v>10433.585680187945</v>
      </c>
      <c r="P170" s="73">
        <f t="shared" si="22"/>
        <v>10172.099691019897</v>
      </c>
      <c r="Q170" s="73">
        <f t="shared" si="22"/>
        <v>9905.383982068488</v>
      </c>
      <c r="R170" s="73">
        <f t="shared" si="22"/>
        <v>9633.3339589380485</v>
      </c>
      <c r="S170" s="73">
        <f t="shared" si="22"/>
        <v>9355.842935345001</v>
      </c>
      <c r="T170" s="73">
        <f t="shared" si="22"/>
        <v>9072.8020912800948</v>
      </c>
      <c r="U170" s="73">
        <f t="shared" si="22"/>
        <v>8784.1004303338887</v>
      </c>
      <c r="V170" s="73">
        <f t="shared" si="22"/>
        <v>8489.6247361687583</v>
      </c>
      <c r="W170" s="73">
        <f t="shared" si="22"/>
        <v>8189.2595281203248</v>
      </c>
    </row>
    <row r="171" spans="1:23" x14ac:dyDescent="0.2">
      <c r="A171" s="70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</row>
    <row r="172" spans="1:23" x14ac:dyDescent="0.2">
      <c r="A172" s="70">
        <f>A170+1</f>
        <v>135</v>
      </c>
      <c r="D172" s="64" t="s">
        <v>4</v>
      </c>
      <c r="F172" s="37">
        <f>I172/I169</f>
        <v>3.2313993866674183E-2</v>
      </c>
      <c r="I172" s="73">
        <f>I122+I132+I142+I152+I162</f>
        <v>578.92706920205387</v>
      </c>
      <c r="J172" s="73">
        <f t="shared" ref="J172:W172" si="23">$F172*J169</f>
        <v>590.50561058609503</v>
      </c>
      <c r="K172" s="73">
        <f t="shared" si="23"/>
        <v>602.31572279781687</v>
      </c>
      <c r="L172" s="73">
        <f t="shared" si="23"/>
        <v>614.36203725377334</v>
      </c>
      <c r="M172" s="73">
        <f t="shared" si="23"/>
        <v>626.64927799884879</v>
      </c>
      <c r="N172" s="73">
        <f t="shared" si="23"/>
        <v>639.18226355882575</v>
      </c>
      <c r="O172" s="73">
        <f t="shared" si="23"/>
        <v>651.96590883000226</v>
      </c>
      <c r="P172" s="73">
        <f t="shared" si="23"/>
        <v>665.00522700660235</v>
      </c>
      <c r="Q172" s="73">
        <f t="shared" si="23"/>
        <v>678.30533154673446</v>
      </c>
      <c r="R172" s="73">
        <f t="shared" si="23"/>
        <v>691.87143817766912</v>
      </c>
      <c r="S172" s="73">
        <f t="shared" si="23"/>
        <v>705.70886694122248</v>
      </c>
      <c r="T172" s="73">
        <f t="shared" si="23"/>
        <v>719.82304428004704</v>
      </c>
      <c r="U172" s="73">
        <f t="shared" si="23"/>
        <v>734.21950516564789</v>
      </c>
      <c r="V172" s="73">
        <f t="shared" si="23"/>
        <v>748.90389526896092</v>
      </c>
      <c r="W172" s="73">
        <f t="shared" si="23"/>
        <v>763.88197317434015</v>
      </c>
    </row>
    <row r="173" spans="1:23" x14ac:dyDescent="0.2">
      <c r="A173" s="70">
        <f t="shared" ref="A173:A178" si="24">A172+1</f>
        <v>136</v>
      </c>
      <c r="D173" s="64" t="s">
        <v>57</v>
      </c>
      <c r="F173" s="37">
        <f>I173/I170</f>
        <v>9.112976400072996E-2</v>
      </c>
      <c r="I173" s="73">
        <f>I123+I133+I143+I153+I163</f>
        <v>1084.287573936431</v>
      </c>
      <c r="J173" s="73">
        <f>$F173*J170</f>
        <v>1063.1279649184396</v>
      </c>
      <c r="K173" s="73">
        <f t="shared" ref="K173:W173" si="25">$F173*K170</f>
        <v>1041.5451637200881</v>
      </c>
      <c r="L173" s="73">
        <f t="shared" si="25"/>
        <v>1019.5307064977699</v>
      </c>
      <c r="M173" s="73">
        <f t="shared" si="25"/>
        <v>997.07596013100499</v>
      </c>
      <c r="N173" s="73">
        <f t="shared" si="25"/>
        <v>974.17211883690516</v>
      </c>
      <c r="O173" s="73">
        <f t="shared" si="25"/>
        <v>950.81020071692308</v>
      </c>
      <c r="P173" s="73">
        <f t="shared" si="25"/>
        <v>926.9810442345414</v>
      </c>
      <c r="Q173" s="73">
        <f t="shared" si="25"/>
        <v>902.67530462251204</v>
      </c>
      <c r="R173" s="73">
        <f t="shared" si="25"/>
        <v>877.88345021824205</v>
      </c>
      <c r="S173" s="73">
        <f t="shared" si="25"/>
        <v>852.59575872588664</v>
      </c>
      <c r="T173" s="73">
        <f t="shared" si="25"/>
        <v>826.80231340368425</v>
      </c>
      <c r="U173" s="73">
        <f t="shared" si="25"/>
        <v>800.49299917503777</v>
      </c>
      <c r="V173" s="73">
        <f t="shared" si="25"/>
        <v>773.65749866181829</v>
      </c>
      <c r="W173" s="73">
        <f t="shared" si="25"/>
        <v>746.28528813833441</v>
      </c>
    </row>
    <row r="174" spans="1:23" x14ac:dyDescent="0.2">
      <c r="A174" s="70">
        <f t="shared" si="24"/>
        <v>137</v>
      </c>
      <c r="D174" s="64" t="s">
        <v>18</v>
      </c>
      <c r="F174" s="37">
        <f>I174/I170</f>
        <v>2.7142180724448458E-2</v>
      </c>
      <c r="I174" s="73">
        <f>I124+I134+I144+I154+I164</f>
        <v>322.94530345563766</v>
      </c>
      <c r="J174" s="73">
        <f t="shared" ref="J174:W174" si="26">$F174*J170</f>
        <v>316.64310418712654</v>
      </c>
      <c r="K174" s="73">
        <f t="shared" si="26"/>
        <v>310.21486093324512</v>
      </c>
      <c r="L174" s="73">
        <f t="shared" si="26"/>
        <v>303.65805281428612</v>
      </c>
      <c r="M174" s="73">
        <f t="shared" si="26"/>
        <v>296.9701085329479</v>
      </c>
      <c r="N174" s="73">
        <f t="shared" si="26"/>
        <v>290.14840536598297</v>
      </c>
      <c r="O174" s="73">
        <f t="shared" si="26"/>
        <v>283.19026813567871</v>
      </c>
      <c r="P174" s="73">
        <f t="shared" si="26"/>
        <v>276.09296816076835</v>
      </c>
      <c r="Q174" s="73">
        <f t="shared" si="26"/>
        <v>268.85372218635985</v>
      </c>
      <c r="R174" s="73">
        <f t="shared" si="26"/>
        <v>261.46969129246304</v>
      </c>
      <c r="S174" s="73">
        <f t="shared" si="26"/>
        <v>253.93797978068838</v>
      </c>
      <c r="T174" s="73">
        <f t="shared" si="26"/>
        <v>246.25563403867824</v>
      </c>
      <c r="U174" s="73">
        <f t="shared" si="26"/>
        <v>238.41964138182789</v>
      </c>
      <c r="V174" s="73">
        <f t="shared" si="26"/>
        <v>230.42692887184049</v>
      </c>
      <c r="W174" s="73">
        <f t="shared" si="26"/>
        <v>222.27436211165335</v>
      </c>
    </row>
    <row r="175" spans="1:23" x14ac:dyDescent="0.2">
      <c r="A175" s="70">
        <f t="shared" si="24"/>
        <v>138</v>
      </c>
      <c r="D175" s="75" t="s">
        <v>19</v>
      </c>
      <c r="F175" s="34"/>
      <c r="I175" s="73">
        <f>I125+I135+I145+I155+I165</f>
        <v>636.40867340587772</v>
      </c>
      <c r="J175" s="73">
        <f>I175*(1+J8)</f>
        <v>649.1368468739953</v>
      </c>
      <c r="K175" s="73">
        <f t="shared" ref="K175:W175" si="27">J175*(1+K8)</f>
        <v>662.1195838114752</v>
      </c>
      <c r="L175" s="73">
        <f t="shared" si="27"/>
        <v>675.36197548770474</v>
      </c>
      <c r="M175" s="73">
        <f t="shared" si="27"/>
        <v>688.86921499745881</v>
      </c>
      <c r="N175" s="73">
        <f t="shared" si="27"/>
        <v>702.64659929740799</v>
      </c>
      <c r="O175" s="73">
        <f t="shared" si="27"/>
        <v>716.69953128335612</v>
      </c>
      <c r="P175" s="73">
        <f t="shared" si="27"/>
        <v>731.03352190902331</v>
      </c>
      <c r="Q175" s="73">
        <f t="shared" si="27"/>
        <v>745.65419234720378</v>
      </c>
      <c r="R175" s="73">
        <f t="shared" si="27"/>
        <v>760.56727619414789</v>
      </c>
      <c r="S175" s="73">
        <f t="shared" si="27"/>
        <v>775.77862171803088</v>
      </c>
      <c r="T175" s="73">
        <f t="shared" si="27"/>
        <v>791.29419415239147</v>
      </c>
      <c r="U175" s="73">
        <f t="shared" si="27"/>
        <v>807.12007803543929</v>
      </c>
      <c r="V175" s="73">
        <f t="shared" si="27"/>
        <v>823.26247959614807</v>
      </c>
      <c r="W175" s="73">
        <f t="shared" si="27"/>
        <v>839.72772918807107</v>
      </c>
    </row>
    <row r="176" spans="1:23" x14ac:dyDescent="0.2">
      <c r="A176" s="70">
        <f t="shared" si="24"/>
        <v>139</v>
      </c>
      <c r="D176" s="64" t="s">
        <v>58</v>
      </c>
      <c r="I176" s="74">
        <f>I126+I136+I146+I156+I166</f>
        <v>2622.56862</v>
      </c>
      <c r="J176" s="74">
        <f t="shared" ref="J176:W176" si="28">SUM(J172:J175)</f>
        <v>2619.4135265656564</v>
      </c>
      <c r="K176" s="74">
        <f t="shared" si="28"/>
        <v>2616.1953312626251</v>
      </c>
      <c r="L176" s="74">
        <f t="shared" si="28"/>
        <v>2612.9127720535339</v>
      </c>
      <c r="M176" s="74">
        <f t="shared" si="28"/>
        <v>2609.5645616602606</v>
      </c>
      <c r="N176" s="74">
        <f t="shared" si="28"/>
        <v>2606.1493870591221</v>
      </c>
      <c r="O176" s="74">
        <f t="shared" si="28"/>
        <v>2602.6659089659602</v>
      </c>
      <c r="P176" s="74">
        <f t="shared" si="28"/>
        <v>2599.1127613109352</v>
      </c>
      <c r="Q176" s="74">
        <f t="shared" si="28"/>
        <v>2595.4885507028102</v>
      </c>
      <c r="R176" s="74">
        <f t="shared" si="28"/>
        <v>2591.7918558825222</v>
      </c>
      <c r="S176" s="74">
        <f t="shared" si="28"/>
        <v>2588.0212271658283</v>
      </c>
      <c r="T176" s="74">
        <f t="shared" si="28"/>
        <v>2584.1751858748007</v>
      </c>
      <c r="U176" s="74">
        <f t="shared" si="28"/>
        <v>2580.2522237579528</v>
      </c>
      <c r="V176" s="74">
        <f t="shared" si="28"/>
        <v>2576.2508023987675</v>
      </c>
      <c r="W176" s="74">
        <f t="shared" si="28"/>
        <v>2572.1693526123991</v>
      </c>
    </row>
    <row r="177" spans="1:23" x14ac:dyDescent="0.2">
      <c r="A177" s="70">
        <f t="shared" si="24"/>
        <v>140</v>
      </c>
      <c r="D177" s="64" t="s">
        <v>59</v>
      </c>
      <c r="I177" s="73">
        <f>I17+I18+I19+I20+I21+I22+I24+I26+I27+I28</f>
        <v>104.99858599999999</v>
      </c>
      <c r="J177" s="73">
        <f t="shared" ref="J177:W177" si="29">I177*(1+J8)</f>
        <v>107.09855771999999</v>
      </c>
      <c r="K177" s="73">
        <f t="shared" si="29"/>
        <v>109.24052887439998</v>
      </c>
      <c r="L177" s="73">
        <f t="shared" si="29"/>
        <v>111.42533945188799</v>
      </c>
      <c r="M177" s="73">
        <f t="shared" si="29"/>
        <v>113.65384624092576</v>
      </c>
      <c r="N177" s="73">
        <f t="shared" si="29"/>
        <v>115.92692316574427</v>
      </c>
      <c r="O177" s="73">
        <f t="shared" si="29"/>
        <v>118.24546162905916</v>
      </c>
      <c r="P177" s="73">
        <f t="shared" si="29"/>
        <v>120.61037086164035</v>
      </c>
      <c r="Q177" s="73">
        <f t="shared" si="29"/>
        <v>123.02257827887315</v>
      </c>
      <c r="R177" s="73">
        <f t="shared" si="29"/>
        <v>125.48302984445063</v>
      </c>
      <c r="S177" s="73">
        <f t="shared" si="29"/>
        <v>127.99269044133965</v>
      </c>
      <c r="T177" s="73">
        <f t="shared" si="29"/>
        <v>130.55254425016645</v>
      </c>
      <c r="U177" s="73">
        <f t="shared" si="29"/>
        <v>133.16359513516977</v>
      </c>
      <c r="V177" s="73">
        <f t="shared" si="29"/>
        <v>135.82686703787317</v>
      </c>
      <c r="W177" s="73">
        <f t="shared" si="29"/>
        <v>138.54340437863064</v>
      </c>
    </row>
    <row r="178" spans="1:23" x14ac:dyDescent="0.2">
      <c r="A178" s="70">
        <f t="shared" si="24"/>
        <v>141</v>
      </c>
      <c r="D178" s="64" t="s">
        <v>5</v>
      </c>
      <c r="I178" s="72">
        <f>SUM(I176:I177)</f>
        <v>2727.5672060000002</v>
      </c>
      <c r="J178" s="72">
        <f t="shared" ref="I178:W178" si="30">SUM(J176:J177)</f>
        <v>2726.5120842856563</v>
      </c>
      <c r="K178" s="72">
        <f t="shared" si="30"/>
        <v>2725.435860137025</v>
      </c>
      <c r="L178" s="72">
        <f t="shared" si="30"/>
        <v>2724.3381115054217</v>
      </c>
      <c r="M178" s="72">
        <f t="shared" si="30"/>
        <v>2723.2184079011863</v>
      </c>
      <c r="N178" s="72">
        <f t="shared" si="30"/>
        <v>2722.0763102248666</v>
      </c>
      <c r="O178" s="72">
        <f t="shared" si="30"/>
        <v>2720.9113705950194</v>
      </c>
      <c r="P178" s="72">
        <f t="shared" si="30"/>
        <v>2719.7231321725753</v>
      </c>
      <c r="Q178" s="72">
        <f t="shared" si="30"/>
        <v>2718.5111289816832</v>
      </c>
      <c r="R178" s="72">
        <f t="shared" si="30"/>
        <v>2717.274885726973</v>
      </c>
      <c r="S178" s="72">
        <f t="shared" si="30"/>
        <v>2716.013917607168</v>
      </c>
      <c r="T178" s="72">
        <f t="shared" si="30"/>
        <v>2714.7277301249674</v>
      </c>
      <c r="U178" s="72">
        <f t="shared" si="30"/>
        <v>2713.4158188931224</v>
      </c>
      <c r="V178" s="72">
        <f t="shared" si="30"/>
        <v>2712.0776694366405</v>
      </c>
      <c r="W178" s="72">
        <f t="shared" si="30"/>
        <v>2710.7127569910299</v>
      </c>
    </row>
    <row r="180" spans="1:23" x14ac:dyDescent="0.2">
      <c r="C180" s="67" t="s">
        <v>84</v>
      </c>
      <c r="F180" s="66" t="s">
        <v>119</v>
      </c>
      <c r="J180" s="65"/>
      <c r="K180" s="65"/>
      <c r="L180" s="65"/>
      <c r="M180" s="65"/>
      <c r="N180" s="65"/>
      <c r="O180" s="65"/>
    </row>
    <row r="181" spans="1:23" x14ac:dyDescent="0.2">
      <c r="A181" s="70">
        <f>A178+1</f>
        <v>142</v>
      </c>
      <c r="D181" s="69" t="s">
        <v>160</v>
      </c>
      <c r="I181" s="68" t="s">
        <v>135</v>
      </c>
    </row>
    <row r="182" spans="1:23" x14ac:dyDescent="0.2">
      <c r="A182" s="70">
        <f>A181+1</f>
        <v>143</v>
      </c>
      <c r="D182" s="69" t="s">
        <v>122</v>
      </c>
      <c r="F182" s="104" t="s">
        <v>123</v>
      </c>
      <c r="I182" s="68" t="s">
        <v>136</v>
      </c>
      <c r="P182" s="63"/>
    </row>
    <row r="183" spans="1:23" x14ac:dyDescent="0.2">
      <c r="A183" s="70">
        <f>A182+1</f>
        <v>144</v>
      </c>
      <c r="D183" s="69" t="s">
        <v>124</v>
      </c>
      <c r="F183" s="104" t="s">
        <v>137</v>
      </c>
      <c r="I183" s="68" t="s">
        <v>138</v>
      </c>
      <c r="O183" s="64" t="s">
        <v>125</v>
      </c>
    </row>
    <row r="184" spans="1:23" x14ac:dyDescent="0.2">
      <c r="A184" s="70">
        <f>A183+1</f>
        <v>145</v>
      </c>
      <c r="D184" s="69" t="s">
        <v>126</v>
      </c>
      <c r="F184" s="104" t="s">
        <v>140</v>
      </c>
      <c r="I184" s="68" t="s">
        <v>139</v>
      </c>
    </row>
    <row r="185" spans="1:23" x14ac:dyDescent="0.2">
      <c r="A185" s="70">
        <f>A184+1</f>
        <v>146</v>
      </c>
      <c r="D185" s="69" t="s">
        <v>105</v>
      </c>
      <c r="F185" s="104" t="s">
        <v>121</v>
      </c>
      <c r="I185" s="71" t="s">
        <v>120</v>
      </c>
      <c r="O185" s="64" t="s">
        <v>127</v>
      </c>
    </row>
    <row r="186" spans="1:23" x14ac:dyDescent="0.2">
      <c r="A186" s="70">
        <f>A185+1</f>
        <v>147</v>
      </c>
      <c r="D186" s="69" t="s">
        <v>106</v>
      </c>
      <c r="F186" s="104" t="s">
        <v>128</v>
      </c>
      <c r="I186" s="68" t="s">
        <v>129</v>
      </c>
    </row>
  </sheetData>
  <hyperlinks>
    <hyperlink ref="I186" r:id="rId1"/>
    <hyperlink ref="I183" r:id="rId2"/>
    <hyperlink ref="I181" r:id="rId3"/>
    <hyperlink ref="I182" r:id="rId4"/>
    <hyperlink ref="I184" r:id="rId5"/>
    <hyperlink ref="I185" r:id="rId6"/>
  </hyperlinks>
  <pageMargins left="0.70866141732283505" right="0.70866141732283505" top="0.74803149606299202" bottom="0.74803149606299202" header="0.31496062992126" footer="0.31496062992126"/>
  <pageSetup paperSize="3" scale="47" orientation="portrait" r:id="rId7"/>
  <headerFooter>
    <oddHeader>&amp;L&amp;"Arial,Bold"California ISO&amp;R&amp;"Arial,Bold"Page &amp;P</oddHeader>
  </headerFooter>
  <rowBreaks count="2" manualBreakCount="2">
    <brk id="48" min="8" max="17" man="1"/>
    <brk id="147" min="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116"/>
  <sheetViews>
    <sheetView tabSelected="1" zoomScaleNormal="100" workbookViewId="0">
      <selection activeCell="H8" sqref="H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66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2019</v>
      </c>
      <c r="I3" s="5">
        <f>Existing!I3</f>
        <v>2020</v>
      </c>
      <c r="J3" s="5">
        <f>Existing!J3</f>
        <v>2021</v>
      </c>
      <c r="K3" s="5">
        <f>Existing!K3</f>
        <v>2022</v>
      </c>
      <c r="L3" s="5">
        <f>Existing!L3</f>
        <v>2023</v>
      </c>
      <c r="M3" s="5">
        <f>Existing!M3</f>
        <v>2024</v>
      </c>
      <c r="N3" s="5">
        <f>Existing!N3</f>
        <v>2025</v>
      </c>
      <c r="O3" s="5">
        <f>Existing!O3</f>
        <v>2026</v>
      </c>
      <c r="P3" s="5">
        <f>Existing!P3</f>
        <v>2027</v>
      </c>
      <c r="Q3" s="5">
        <f>Existing!Q3</f>
        <v>2028</v>
      </c>
      <c r="R3" s="5">
        <f>Existing!R3</f>
        <v>2029</v>
      </c>
      <c r="S3" s="5">
        <f>Existing!S3</f>
        <v>2030</v>
      </c>
      <c r="T3" s="5">
        <f>Existing!T3</f>
        <v>2031</v>
      </c>
      <c r="U3" s="5">
        <f>Existing!U3</f>
        <v>2032</v>
      </c>
      <c r="V3" s="5">
        <f>Existing!V3</f>
        <v>2033</v>
      </c>
      <c r="W3" s="5">
        <f>Existing!W3</f>
        <v>2034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2020</v>
      </c>
      <c r="I7" s="10"/>
      <c r="J7" s="10"/>
      <c r="K7" s="10"/>
      <c r="L7" s="10"/>
      <c r="M7" s="10"/>
      <c r="N7" s="10"/>
      <c r="O7" s="10"/>
      <c r="P7" s="12"/>
      <c r="Q7" s="12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>
        <v>0</v>
      </c>
      <c r="I8" s="49">
        <v>167.04370364508489</v>
      </c>
      <c r="J8" s="49">
        <v>299.4243861173037</v>
      </c>
      <c r="K8" s="49">
        <v>334.86598797882499</v>
      </c>
      <c r="L8" s="49">
        <v>542.69527673484993</v>
      </c>
      <c r="M8" s="49">
        <v>444.37796954872499</v>
      </c>
      <c r="N8" s="49">
        <v>853.5262915597749</v>
      </c>
      <c r="O8" s="49">
        <v>182.99830511188659</v>
      </c>
      <c r="P8" s="49">
        <v>5.3579505903055012E-2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</row>
    <row r="9" spans="1:24" x14ac:dyDescent="0.2">
      <c r="A9" s="10"/>
      <c r="F9" s="30"/>
      <c r="P9" s="62"/>
      <c r="Q9" s="12"/>
      <c r="R9" s="12"/>
      <c r="S9" s="12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 t="shared" ref="H36:W36" si="10">H8</f>
        <v>0</v>
      </c>
      <c r="I36" s="12">
        <f t="shared" si="10"/>
        <v>167.04370364508489</v>
      </c>
      <c r="J36" s="12">
        <f t="shared" si="10"/>
        <v>299.4243861173037</v>
      </c>
      <c r="K36" s="12">
        <f t="shared" si="10"/>
        <v>334.86598797882499</v>
      </c>
      <c r="L36" s="12">
        <f t="shared" si="10"/>
        <v>542.69527673484993</v>
      </c>
      <c r="M36" s="12">
        <f t="shared" si="10"/>
        <v>444.37796954872499</v>
      </c>
      <c r="N36" s="12">
        <f t="shared" si="10"/>
        <v>853.5262915597749</v>
      </c>
      <c r="O36" s="12">
        <f t="shared" si="10"/>
        <v>182.99830511188659</v>
      </c>
      <c r="P36" s="12">
        <f t="shared" si="10"/>
        <v>5.3579505903055012E-2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>IF(I3&gt;=$F7,-SUM(I35:I37),0)</f>
        <v>-167.04370364508489</v>
      </c>
      <c r="J38" s="12">
        <f t="shared" ref="J38:W38" si="12">IF(J3&gt;=$F7,-SUM(J35:J37),0)</f>
        <v>-299.4243861173037</v>
      </c>
      <c r="K38" s="12">
        <f t="shared" si="12"/>
        <v>-334.86598797882499</v>
      </c>
      <c r="L38" s="12">
        <f t="shared" si="12"/>
        <v>-542.69527673484993</v>
      </c>
      <c r="M38" s="12">
        <f t="shared" si="12"/>
        <v>-444.37796954872499</v>
      </c>
      <c r="N38" s="12">
        <f t="shared" si="12"/>
        <v>-853.5262915597749</v>
      </c>
      <c r="O38" s="12">
        <f t="shared" si="12"/>
        <v>-182.99830511188659</v>
      </c>
      <c r="P38" s="12">
        <f t="shared" si="12"/>
        <v>-5.3579505903055012E-2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167.04370364508489</v>
      </c>
      <c r="K43" s="12">
        <f t="shared" ref="K43:W43" si="15">J46</f>
        <v>466.46808976238856</v>
      </c>
      <c r="L43" s="12">
        <f t="shared" si="15"/>
        <v>801.3340777412136</v>
      </c>
      <c r="M43" s="12">
        <f t="shared" si="15"/>
        <v>1344.0293544760634</v>
      </c>
      <c r="N43" s="12">
        <f t="shared" si="15"/>
        <v>1788.4073240247885</v>
      </c>
      <c r="O43" s="12">
        <f t="shared" si="15"/>
        <v>2641.9336155845635</v>
      </c>
      <c r="P43" s="12">
        <f t="shared" si="15"/>
        <v>2824.9319206964501</v>
      </c>
      <c r="Q43" s="12">
        <f t="shared" si="15"/>
        <v>2824.9855002023533</v>
      </c>
      <c r="R43" s="12">
        <f t="shared" si="15"/>
        <v>2824.9855002023533</v>
      </c>
      <c r="S43" s="12">
        <f>R46</f>
        <v>2824.9855002023533</v>
      </c>
      <c r="T43" s="12">
        <f t="shared" si="15"/>
        <v>2824.9855002023533</v>
      </c>
      <c r="U43" s="12">
        <f t="shared" si="15"/>
        <v>2824.9855002023533</v>
      </c>
      <c r="V43" s="12">
        <f t="shared" si="15"/>
        <v>2824.9855002023533</v>
      </c>
      <c r="W43" s="12">
        <f t="shared" si="15"/>
        <v>2824.9855002023533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167.04370364508489</v>
      </c>
      <c r="J44" s="12">
        <f t="shared" ref="J44:W44" si="16">-J38</f>
        <v>299.4243861173037</v>
      </c>
      <c r="K44" s="12">
        <f t="shared" si="16"/>
        <v>334.86598797882499</v>
      </c>
      <c r="L44" s="12">
        <f t="shared" si="16"/>
        <v>542.69527673484993</v>
      </c>
      <c r="M44" s="12">
        <f t="shared" si="16"/>
        <v>444.37796954872499</v>
      </c>
      <c r="N44" s="12">
        <f t="shared" si="16"/>
        <v>853.5262915597749</v>
      </c>
      <c r="O44" s="12">
        <f t="shared" si="16"/>
        <v>182.99830511188659</v>
      </c>
      <c r="P44" s="12">
        <f t="shared" si="16"/>
        <v>5.3579505903055012E-2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167.04370364508489</v>
      </c>
      <c r="J46" s="20">
        <f>SUM(J43:J45)</f>
        <v>466.46808976238856</v>
      </c>
      <c r="K46" s="20">
        <f t="shared" ref="K46:W46" si="18">SUM(K43:K45)</f>
        <v>801.3340777412136</v>
      </c>
      <c r="L46" s="20">
        <f t="shared" si="18"/>
        <v>1344.0293544760634</v>
      </c>
      <c r="M46" s="20">
        <f t="shared" si="18"/>
        <v>1788.4073240247885</v>
      </c>
      <c r="N46" s="20">
        <f t="shared" si="18"/>
        <v>2641.9336155845635</v>
      </c>
      <c r="O46" s="20">
        <f t="shared" si="18"/>
        <v>2824.9319206964501</v>
      </c>
      <c r="P46" s="20">
        <f t="shared" si="18"/>
        <v>2824.9855002023533</v>
      </c>
      <c r="Q46" s="20">
        <f t="shared" si="18"/>
        <v>2824.9855002023533</v>
      </c>
      <c r="R46" s="20">
        <f t="shared" si="18"/>
        <v>2824.9855002023533</v>
      </c>
      <c r="S46" s="20">
        <f t="shared" si="18"/>
        <v>2824.9855002023533</v>
      </c>
      <c r="T46" s="20">
        <f t="shared" si="18"/>
        <v>2824.9855002023533</v>
      </c>
      <c r="U46" s="20">
        <f t="shared" si="18"/>
        <v>2824.9855002023533</v>
      </c>
      <c r="V46" s="20">
        <f t="shared" si="18"/>
        <v>2824.9855002023533</v>
      </c>
      <c r="W46" s="20">
        <f t="shared" si="18"/>
        <v>2824.9855002023533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83.521851822542445</v>
      </c>
      <c r="J47" s="20">
        <f>(J43+J46)/2</f>
        <v>316.75589670373671</v>
      </c>
      <c r="K47" s="20">
        <f t="shared" ref="K47:W47" si="19">(K43+K46)/2</f>
        <v>633.90108375180102</v>
      </c>
      <c r="L47" s="20">
        <f t="shared" si="19"/>
        <v>1072.6817161086385</v>
      </c>
      <c r="M47" s="20">
        <f t="shared" si="19"/>
        <v>1566.218339250426</v>
      </c>
      <c r="N47" s="20">
        <f t="shared" si="19"/>
        <v>2215.170469804676</v>
      </c>
      <c r="O47" s="20">
        <f t="shared" si="19"/>
        <v>2733.4327681405066</v>
      </c>
      <c r="P47" s="20">
        <f t="shared" si="19"/>
        <v>2824.9587104494017</v>
      </c>
      <c r="Q47" s="20">
        <f t="shared" si="19"/>
        <v>2824.9855002023533</v>
      </c>
      <c r="R47" s="20">
        <f t="shared" si="19"/>
        <v>2824.9855002023533</v>
      </c>
      <c r="S47" s="20">
        <f t="shared" si="19"/>
        <v>2824.9855002023533</v>
      </c>
      <c r="T47" s="20">
        <f t="shared" si="19"/>
        <v>2824.9855002023533</v>
      </c>
      <c r="U47" s="20">
        <f t="shared" si="19"/>
        <v>2824.9855002023533</v>
      </c>
      <c r="V47" s="20">
        <f t="shared" si="19"/>
        <v>2824.9855002023533</v>
      </c>
      <c r="W47" s="20">
        <f t="shared" si="19"/>
        <v>2824.9855002023533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2.088046295563561</v>
      </c>
      <c r="K50" s="12">
        <f t="shared" ref="K50:W50" si="20">J53</f>
        <v>10.00694371315698</v>
      </c>
      <c r="L50" s="12">
        <f t="shared" si="20"/>
        <v>25.854470806952008</v>
      </c>
      <c r="M50" s="12">
        <f t="shared" si="20"/>
        <v>52.671513709667977</v>
      </c>
      <c r="N50" s="12">
        <f t="shared" si="20"/>
        <v>91.826972190928629</v>
      </c>
      <c r="O50" s="12">
        <f t="shared" si="20"/>
        <v>147.20623393604552</v>
      </c>
      <c r="P50" s="12">
        <f t="shared" si="20"/>
        <v>215.54205313955822</v>
      </c>
      <c r="Q50" s="12">
        <f t="shared" si="20"/>
        <v>286.16602090079328</v>
      </c>
      <c r="R50" s="12">
        <f t="shared" si="20"/>
        <v>356.79065840585213</v>
      </c>
      <c r="S50" s="12">
        <f>R53</f>
        <v>427.41529591091097</v>
      </c>
      <c r="T50" s="12">
        <f t="shared" si="20"/>
        <v>498.03993341596981</v>
      </c>
      <c r="U50" s="12">
        <f t="shared" si="20"/>
        <v>568.6645709210286</v>
      </c>
      <c r="V50" s="12">
        <f t="shared" si="20"/>
        <v>639.28920842608738</v>
      </c>
      <c r="W50" s="12">
        <f t="shared" si="20"/>
        <v>709.91384593114617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2.088046295563561</v>
      </c>
      <c r="J51" s="12">
        <f t="shared" ref="J51:W51" si="21">MIN(J13*(J43+0.5*J44),J43+J44-I53)</f>
        <v>7.9188974175934197</v>
      </c>
      <c r="K51" s="12">
        <f t="shared" si="21"/>
        <v>15.847527093795026</v>
      </c>
      <c r="L51" s="12">
        <f t="shared" si="21"/>
        <v>26.817042902715965</v>
      </c>
      <c r="M51" s="12">
        <f t="shared" si="21"/>
        <v>39.155458481260652</v>
      </c>
      <c r="N51" s="12">
        <f t="shared" si="21"/>
        <v>55.379261745116906</v>
      </c>
      <c r="O51" s="12">
        <f t="shared" si="21"/>
        <v>68.335819203512685</v>
      </c>
      <c r="P51" s="12">
        <f t="shared" si="21"/>
        <v>70.62396776123505</v>
      </c>
      <c r="Q51" s="12">
        <f t="shared" si="21"/>
        <v>70.624637505058828</v>
      </c>
      <c r="R51" s="12">
        <f t="shared" si="21"/>
        <v>70.624637505058828</v>
      </c>
      <c r="S51" s="12">
        <f>MIN(S13*(S43+0.5*S44),S43+S44-R53)</f>
        <v>70.624637505058828</v>
      </c>
      <c r="T51" s="12">
        <f t="shared" si="21"/>
        <v>70.624637505058828</v>
      </c>
      <c r="U51" s="12">
        <f t="shared" si="21"/>
        <v>70.624637505058828</v>
      </c>
      <c r="V51" s="12">
        <f t="shared" si="21"/>
        <v>70.624637505058828</v>
      </c>
      <c r="W51" s="12">
        <f t="shared" si="21"/>
        <v>70.624637505058828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2.088046295563561</v>
      </c>
      <c r="J53" s="20">
        <f>SUM(J50:J52)</f>
        <v>10.00694371315698</v>
      </c>
      <c r="K53" s="20">
        <f t="shared" ref="K53:W53" si="23">SUM(K50:K52)</f>
        <v>25.854470806952008</v>
      </c>
      <c r="L53" s="20">
        <f t="shared" si="23"/>
        <v>52.671513709667977</v>
      </c>
      <c r="M53" s="20">
        <f t="shared" si="23"/>
        <v>91.826972190928629</v>
      </c>
      <c r="N53" s="20">
        <f t="shared" si="23"/>
        <v>147.20623393604552</v>
      </c>
      <c r="O53" s="20">
        <f t="shared" si="23"/>
        <v>215.54205313955822</v>
      </c>
      <c r="P53" s="20">
        <f t="shared" si="23"/>
        <v>286.16602090079328</v>
      </c>
      <c r="Q53" s="20">
        <f t="shared" si="23"/>
        <v>356.79065840585213</v>
      </c>
      <c r="R53" s="20">
        <f t="shared" si="23"/>
        <v>427.41529591091097</v>
      </c>
      <c r="S53" s="20">
        <f t="shared" si="23"/>
        <v>498.03993341596981</v>
      </c>
      <c r="T53" s="20">
        <f t="shared" si="23"/>
        <v>568.6645709210286</v>
      </c>
      <c r="U53" s="20">
        <f t="shared" si="23"/>
        <v>639.28920842608738</v>
      </c>
      <c r="V53" s="20">
        <f t="shared" si="23"/>
        <v>709.91384593114617</v>
      </c>
      <c r="W53" s="20">
        <f t="shared" si="23"/>
        <v>780.53848343620496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1.0440231477817805</v>
      </c>
      <c r="J54" s="20">
        <f>(J50+J53)/2</f>
        <v>6.0474950043602709</v>
      </c>
      <c r="K54" s="20">
        <f t="shared" ref="K54:W54" si="24">(K50+K53)/2</f>
        <v>17.930707260054493</v>
      </c>
      <c r="L54" s="20">
        <f t="shared" si="24"/>
        <v>39.262992258309993</v>
      </c>
      <c r="M54" s="20">
        <f t="shared" si="24"/>
        <v>72.24924295029831</v>
      </c>
      <c r="N54" s="20">
        <f t="shared" si="24"/>
        <v>119.51660306348708</v>
      </c>
      <c r="O54" s="20">
        <f t="shared" si="24"/>
        <v>181.37414353780187</v>
      </c>
      <c r="P54" s="20">
        <f t="shared" si="24"/>
        <v>250.85403702017575</v>
      </c>
      <c r="Q54" s="20">
        <f t="shared" si="24"/>
        <v>321.47833965332268</v>
      </c>
      <c r="R54" s="20">
        <f t="shared" si="24"/>
        <v>392.10297715838158</v>
      </c>
      <c r="S54" s="20">
        <f t="shared" si="24"/>
        <v>462.72761466344036</v>
      </c>
      <c r="T54" s="20">
        <f t="shared" si="24"/>
        <v>533.35225216849926</v>
      </c>
      <c r="U54" s="20">
        <f t="shared" si="24"/>
        <v>603.97688967355793</v>
      </c>
      <c r="V54" s="20">
        <f t="shared" si="24"/>
        <v>674.60152717861683</v>
      </c>
      <c r="W54" s="20">
        <f t="shared" si="24"/>
        <v>745.22616468367551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158.69151846283066</v>
      </c>
      <c r="K57" s="12">
        <f t="shared" ref="K57:W57" si="25">J60</f>
        <v>427.27553342798615</v>
      </c>
      <c r="L57" s="12">
        <f t="shared" si="25"/>
        <v>702.67066866507128</v>
      </c>
      <c r="M57" s="12">
        <f t="shared" si="25"/>
        <v>1147.9641146966715</v>
      </c>
      <c r="N57" s="12">
        <f t="shared" si="25"/>
        <v>1455.3267742982932</v>
      </c>
      <c r="O57" s="12">
        <f t="shared" si="25"/>
        <v>2120.6440738502502</v>
      </c>
      <c r="P57" s="12">
        <f t="shared" si="25"/>
        <v>2081.9348681386905</v>
      </c>
      <c r="Q57" s="12">
        <f t="shared" si="25"/>
        <v>1871.4286817781567</v>
      </c>
      <c r="R57" s="12">
        <f t="shared" si="25"/>
        <v>1678.1790910136222</v>
      </c>
      <c r="S57" s="12">
        <f t="shared" si="25"/>
        <v>1497.9203810600911</v>
      </c>
      <c r="T57" s="12">
        <f t="shared" si="25"/>
        <v>1326.4391794304734</v>
      </c>
      <c r="U57" s="12">
        <f t="shared" si="25"/>
        <v>1159.0257378566678</v>
      </c>
      <c r="V57" s="12">
        <f t="shared" si="25"/>
        <v>992.21299328764997</v>
      </c>
      <c r="W57" s="12">
        <f t="shared" si="25"/>
        <v>825.40042448620125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167.04370364508489</v>
      </c>
      <c r="J58" s="12">
        <f t="shared" ref="J58:W58" si="26">-J38</f>
        <v>299.4243861173037</v>
      </c>
      <c r="K58" s="12">
        <f t="shared" si="26"/>
        <v>334.86598797882499</v>
      </c>
      <c r="L58" s="12">
        <f t="shared" si="26"/>
        <v>542.69527673484993</v>
      </c>
      <c r="M58" s="12">
        <f t="shared" si="26"/>
        <v>444.37796954872499</v>
      </c>
      <c r="N58" s="12">
        <f t="shared" si="26"/>
        <v>853.5262915597749</v>
      </c>
      <c r="O58" s="12">
        <f t="shared" si="26"/>
        <v>182.99830511188659</v>
      </c>
      <c r="P58" s="12">
        <f t="shared" si="26"/>
        <v>5.3579505903055012E-2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-8.3521851822542441</v>
      </c>
      <c r="J59" s="12">
        <f>-I23*J58-J23*I58-H58*K23</f>
        <v>-30.840371152148251</v>
      </c>
      <c r="K59" s="12">
        <f>-I23*K58-J23*J58-K23*I58-H58*L23</f>
        <v>-59.470852741739854</v>
      </c>
      <c r="L59" s="12">
        <f>-I23*L58-J23*K58-K23*J58-L23*I58-H58*M23</f>
        <v>-97.40183070324963</v>
      </c>
      <c r="M59" s="12">
        <f>-I23*M58-J23*L58-K23*K58-L23*J58-M23*I58-H58*N23</f>
        <v>-137.01530994710342</v>
      </c>
      <c r="N59" s="12">
        <f>-I23*N58-J23*M58-K23*L58-L23*K58-M23*J58-N23*I58-H58*O23</f>
        <v>-188.20899200781804</v>
      </c>
      <c r="O59" s="12">
        <f>-I23*O58-J23*N58-K23*M58-L23*L58-M23*K58-N23*J58-O23*I58-H58*P23</f>
        <v>-221.70751082344628</v>
      </c>
      <c r="P59" s="12">
        <f>-I23*P58-J23*O58-K23*N58-L23*M58-M23*L58-N23*K58-O23*J58-P23*I58-H58*Q23</f>
        <v>-210.559765866437</v>
      </c>
      <c r="Q59" s="12">
        <f>-I23*Q58-J23*P58-K23*O58-L23*N58-M23*M58-N23*L58-O23*K58-P23*J58-Q23*I58-H58*R23</f>
        <v>-193.24959076453447</v>
      </c>
      <c r="R59" s="12">
        <f>-I23*R58-J23*Q58-K23*P58-L23*O58-M23*N58-N23*M58-O23*L58-P23*K58-Q23*J58-R23*I58-H58*S23</f>
        <v>-180.25870995353091</v>
      </c>
      <c r="S59" s="12">
        <f>-I23*S58-J23*R58-K23*Q58-L23*P58-M23*O58-N23*N58-O23*M58-P23*L58-Q23*K58-R23*J58-S23*I58-H58*T23</f>
        <v>-171.48120162961766</v>
      </c>
      <c r="T59" s="12">
        <f>-I23*T58-J23*S58-K23*R58-L23*Q58-M23*P58-N23*O58-O23*N58-P23*M58-Q23*L58-R23*K58-S23*J58-T23*I58-H58*U23</f>
        <v>-167.41344157380553</v>
      </c>
      <c r="U59" s="12">
        <f>-I23*U58-J23*T58-K23*S58-L23*R58-M23*Q58-N23*P58-O23*O58-P23*N58-Q23*M58-R23*L58-S23*K58-T23*J58-U23*I58-H58*V23</f>
        <v>-166.81274456901784</v>
      </c>
      <c r="V59" s="12">
        <f>-I23*V58-J23*U58-K23*T58-L23*S58-M23*R58-N23*Q58-O23*P58-P23*O58-Q23*N58-R23*M58-S23*L58-T23*K58-U23*J58-V23*I58-H58*W23</f>
        <v>-166.81256880144872</v>
      </c>
      <c r="W59" s="12">
        <f>-I23*W58-J23*V58-K23*U58-L23*T58-M23*S58-N23*R58-O23*Q58-P23*P58-Q23*O58-R23*N58-S23*M58-T23*L58-U23*K58-V23*J58-W23*I58-H58*X23</f>
        <v>-166.81256880144869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158.69151846283066</v>
      </c>
      <c r="J60" s="20">
        <f t="shared" si="27"/>
        <v>427.27553342798615</v>
      </c>
      <c r="K60" s="20">
        <f t="shared" si="27"/>
        <v>702.67066866507128</v>
      </c>
      <c r="L60" s="20">
        <f t="shared" si="27"/>
        <v>1147.9641146966715</v>
      </c>
      <c r="M60" s="20">
        <f t="shared" si="27"/>
        <v>1455.3267742982932</v>
      </c>
      <c r="N60" s="20">
        <f t="shared" si="27"/>
        <v>2120.6440738502502</v>
      </c>
      <c r="O60" s="20">
        <f t="shared" si="27"/>
        <v>2081.9348681386905</v>
      </c>
      <c r="P60" s="20">
        <f t="shared" si="27"/>
        <v>1871.4286817781567</v>
      </c>
      <c r="Q60" s="20">
        <f t="shared" si="27"/>
        <v>1678.1790910136222</v>
      </c>
      <c r="R60" s="20">
        <f t="shared" si="27"/>
        <v>1497.9203810600911</v>
      </c>
      <c r="S60" s="20">
        <f t="shared" si="27"/>
        <v>1326.4391794304734</v>
      </c>
      <c r="T60" s="20">
        <f t="shared" si="27"/>
        <v>1159.0257378566678</v>
      </c>
      <c r="U60" s="20">
        <f t="shared" si="27"/>
        <v>992.21299328764997</v>
      </c>
      <c r="V60" s="20">
        <f t="shared" si="27"/>
        <v>825.40042448620125</v>
      </c>
      <c r="W60" s="20">
        <f t="shared" si="27"/>
        <v>658.58785568475253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162.86761105395777</v>
      </c>
      <c r="K63" s="12">
        <f t="shared" si="28"/>
        <v>446.66300696563098</v>
      </c>
      <c r="L63" s="12">
        <f t="shared" si="28"/>
        <v>750.82419489670372</v>
      </c>
      <c r="M63" s="12">
        <f t="shared" si="28"/>
        <v>1242.4108799683472</v>
      </c>
      <c r="N63" s="12">
        <f t="shared" si="28"/>
        <v>1613.5588562799369</v>
      </c>
      <c r="O63" s="12">
        <f t="shared" si="28"/>
        <v>2365.0690477367207</v>
      </c>
      <c r="P63" s="12">
        <f t="shared" si="28"/>
        <v>2425.2389428339739</v>
      </c>
      <c r="Q63" s="12">
        <f t="shared" si="28"/>
        <v>2304.0292357105309</v>
      </c>
      <c r="R63" s="12">
        <f t="shared" si="28"/>
        <v>2188.8277739250043</v>
      </c>
      <c r="S63" s="12">
        <f t="shared" si="28"/>
        <v>2079.3863852287541</v>
      </c>
      <c r="T63" s="12">
        <f t="shared" si="28"/>
        <v>1975.4170659673164</v>
      </c>
      <c r="U63" s="12">
        <f t="shared" si="28"/>
        <v>1876.6462126689505</v>
      </c>
      <c r="V63" s="12">
        <f t="shared" si="28"/>
        <v>1782.8139020355029</v>
      </c>
      <c r="W63" s="12">
        <f t="shared" si="28"/>
        <v>1693.6732069337277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167.04370364508489</v>
      </c>
      <c r="J64" s="12">
        <f t="shared" ref="J64:W64" si="29">-J38</f>
        <v>299.4243861173037</v>
      </c>
      <c r="K64" s="12">
        <f t="shared" si="29"/>
        <v>334.86598797882499</v>
      </c>
      <c r="L64" s="12">
        <f t="shared" si="29"/>
        <v>542.69527673484993</v>
      </c>
      <c r="M64" s="12">
        <f t="shared" si="29"/>
        <v>444.37796954872499</v>
      </c>
      <c r="N64" s="12">
        <f t="shared" si="29"/>
        <v>853.5262915597749</v>
      </c>
      <c r="O64" s="12">
        <f t="shared" si="29"/>
        <v>182.99830511188659</v>
      </c>
      <c r="P64" s="12">
        <f t="shared" si="29"/>
        <v>5.3579505903055012E-2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-4.1760925911271221</v>
      </c>
      <c r="J65" s="12">
        <f t="shared" si="30"/>
        <v>-15.628990205630481</v>
      </c>
      <c r="K65" s="12">
        <f t="shared" si="30"/>
        <v>-30.704800047752173</v>
      </c>
      <c r="L65" s="12">
        <f t="shared" si="30"/>
        <v>-51.10859166320644</v>
      </c>
      <c r="M65" s="12">
        <f t="shared" si="30"/>
        <v>-73.229993237135488</v>
      </c>
      <c r="N65" s="12">
        <f t="shared" si="30"/>
        <v>-102.01610010299123</v>
      </c>
      <c r="O65" s="12">
        <f t="shared" si="30"/>
        <v>-122.82841001463322</v>
      </c>
      <c r="P65" s="12">
        <f t="shared" si="30"/>
        <v>-121.26328662934628</v>
      </c>
      <c r="Q65" s="12">
        <f t="shared" si="30"/>
        <v>-115.20146178552655</v>
      </c>
      <c r="R65" s="12">
        <f t="shared" si="30"/>
        <v>-109.44138869625021</v>
      </c>
      <c r="S65" s="12">
        <f t="shared" si="30"/>
        <v>-103.9693192614377</v>
      </c>
      <c r="T65" s="12">
        <f t="shared" si="30"/>
        <v>-98.770853298365822</v>
      </c>
      <c r="U65" s="12">
        <f t="shared" si="30"/>
        <v>-93.832310633447534</v>
      </c>
      <c r="V65" s="12">
        <f t="shared" si="30"/>
        <v>-89.140695101775151</v>
      </c>
      <c r="W65" s="12">
        <f t="shared" si="30"/>
        <v>-84.683660346686395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162.86761105395777</v>
      </c>
      <c r="J66" s="20">
        <f t="shared" si="31"/>
        <v>446.66300696563098</v>
      </c>
      <c r="K66" s="20">
        <f t="shared" si="31"/>
        <v>750.82419489670372</v>
      </c>
      <c r="L66" s="20">
        <f t="shared" si="31"/>
        <v>1242.4108799683472</v>
      </c>
      <c r="M66" s="20">
        <f t="shared" si="31"/>
        <v>1613.5588562799369</v>
      </c>
      <c r="N66" s="20">
        <f t="shared" si="31"/>
        <v>2365.0690477367207</v>
      </c>
      <c r="O66" s="20">
        <f t="shared" si="31"/>
        <v>2425.2389428339739</v>
      </c>
      <c r="P66" s="20">
        <f t="shared" si="31"/>
        <v>2304.0292357105309</v>
      </c>
      <c r="Q66" s="20">
        <f t="shared" si="31"/>
        <v>2188.8277739250043</v>
      </c>
      <c r="R66" s="20">
        <f t="shared" si="31"/>
        <v>2079.3863852287541</v>
      </c>
      <c r="S66" s="20">
        <f t="shared" si="31"/>
        <v>1975.4170659673164</v>
      </c>
      <c r="T66" s="20">
        <f t="shared" si="31"/>
        <v>1876.6462126689505</v>
      </c>
      <c r="U66" s="20">
        <f t="shared" si="31"/>
        <v>1782.8139020355029</v>
      </c>
      <c r="V66" s="20">
        <f t="shared" si="31"/>
        <v>1693.6732069337277</v>
      </c>
      <c r="W66" s="20">
        <f t="shared" si="31"/>
        <v>1608.9895465870413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1.4612899673020201</v>
      </c>
      <c r="K69" s="12">
        <f t="shared" ref="K69:W69" si="32">J72</f>
        <v>6.8132414915038897</v>
      </c>
      <c r="L69" s="12">
        <f t="shared" si="32"/>
        <v>17.011712391584854</v>
      </c>
      <c r="M69" s="12">
        <f t="shared" si="32"/>
        <v>33.530942428934537</v>
      </c>
      <c r="N69" s="12">
        <f t="shared" si="32"/>
        <v>56.461140445972795</v>
      </c>
      <c r="O69" s="12">
        <f t="shared" si="32"/>
        <v>87.61231404470054</v>
      </c>
      <c r="P69" s="12">
        <f t="shared" si="32"/>
        <v>123.625913856772</v>
      </c>
      <c r="Q69" s="12">
        <f t="shared" si="32"/>
        <v>156.54887893133781</v>
      </c>
      <c r="R69" s="12">
        <f t="shared" si="32"/>
        <v>185.41318621627843</v>
      </c>
      <c r="S69" s="12">
        <f t="shared" si="32"/>
        <v>211.1471480666456</v>
      </c>
      <c r="T69" s="12">
        <f t="shared" si="32"/>
        <v>234.65568572794143</v>
      </c>
      <c r="U69" s="12">
        <f t="shared" si="32"/>
        <v>256.94695370851963</v>
      </c>
      <c r="V69" s="12">
        <f t="shared" si="32"/>
        <v>278.76718725254517</v>
      </c>
      <c r="W69" s="12">
        <f t="shared" si="32"/>
        <v>300.25974022311129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1.2767066747742013</v>
      </c>
      <c r="J70" s="12">
        <f>($F24="Y")*J25*(-J59-J51-J71)</f>
        <v>4.6703793217393939</v>
      </c>
      <c r="K70" s="12">
        <f t="shared" ref="K70:W70" si="33">($F24="Y")*K25*(-K59-K51-K71)</f>
        <v>8.8850879709511528</v>
      </c>
      <c r="L70" s="12">
        <f t="shared" si="33"/>
        <v>14.371857126922322</v>
      </c>
      <c r="M70" s="12">
        <f t="shared" si="33"/>
        <v>19.918009144618921</v>
      </c>
      <c r="N70" s="12">
        <f t="shared" si="33"/>
        <v>27.028477087891659</v>
      </c>
      <c r="O70" s="12">
        <f t="shared" si="33"/>
        <v>31.196454784368413</v>
      </c>
      <c r="P70" s="12">
        <f t="shared" si="33"/>
        <v>28.446449286624798</v>
      </c>
      <c r="Q70" s="12">
        <f t="shared" si="33"/>
        <v>24.923716018547282</v>
      </c>
      <c r="R70" s="12">
        <f t="shared" si="33"/>
        <v>22.302561045065858</v>
      </c>
      <c r="S70" s="12">
        <f t="shared" si="33"/>
        <v>20.560867794031935</v>
      </c>
      <c r="T70" s="12">
        <f t="shared" si="33"/>
        <v>19.803142504449855</v>
      </c>
      <c r="U70" s="12">
        <f t="shared" si="33"/>
        <v>19.768675239475982</v>
      </c>
      <c r="V70" s="12">
        <f t="shared" si="33"/>
        <v>19.855733479016433</v>
      </c>
      <c r="W70" s="12">
        <f t="shared" si="33"/>
        <v>19.938473872209894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0.1845832925278188</v>
      </c>
      <c r="J71" s="12">
        <f t="shared" ref="J71:W71" si="34">($F28="Y")*J29*(-J65-J51)</f>
        <v>0.6815722024624763</v>
      </c>
      <c r="K71" s="12">
        <f t="shared" si="34"/>
        <v>1.3133829291298118</v>
      </c>
      <c r="L71" s="12">
        <f t="shared" si="34"/>
        <v>2.1473729104273582</v>
      </c>
      <c r="M71" s="12">
        <f t="shared" si="34"/>
        <v>3.012188872419336</v>
      </c>
      <c r="N71" s="12">
        <f t="shared" si="34"/>
        <v>4.1226965108360902</v>
      </c>
      <c r="O71" s="12">
        <f t="shared" si="34"/>
        <v>4.8171450277030559</v>
      </c>
      <c r="P71" s="12">
        <f t="shared" si="34"/>
        <v>4.4765157879410333</v>
      </c>
      <c r="Q71" s="12">
        <f t="shared" si="34"/>
        <v>3.9405912663933464</v>
      </c>
      <c r="R71" s="12">
        <f t="shared" si="34"/>
        <v>3.431400805301319</v>
      </c>
      <c r="S71" s="12">
        <f t="shared" si="34"/>
        <v>2.947669867263893</v>
      </c>
      <c r="T71" s="12">
        <f t="shared" si="34"/>
        <v>2.4881254761283382</v>
      </c>
      <c r="U71" s="12">
        <f t="shared" si="34"/>
        <v>2.0515583045495616</v>
      </c>
      <c r="V71" s="12">
        <f t="shared" si="34"/>
        <v>1.6368194915497229</v>
      </c>
      <c r="W71" s="12">
        <f t="shared" si="34"/>
        <v>1.242817619199877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1.4612899673020201</v>
      </c>
      <c r="J72" s="20">
        <f>SUM(J69:J71)</f>
        <v>6.8132414915038897</v>
      </c>
      <c r="K72" s="20">
        <f t="shared" ref="K72:W72" si="35">SUM(K69:K71)</f>
        <v>17.011712391584854</v>
      </c>
      <c r="L72" s="20">
        <f t="shared" si="35"/>
        <v>33.530942428934537</v>
      </c>
      <c r="M72" s="20">
        <f t="shared" si="35"/>
        <v>56.461140445972795</v>
      </c>
      <c r="N72" s="20">
        <f t="shared" si="35"/>
        <v>87.61231404470054</v>
      </c>
      <c r="O72" s="20">
        <f t="shared" si="35"/>
        <v>123.625913856772</v>
      </c>
      <c r="P72" s="20">
        <f t="shared" si="35"/>
        <v>156.54887893133781</v>
      </c>
      <c r="Q72" s="20">
        <f t="shared" si="35"/>
        <v>185.41318621627843</v>
      </c>
      <c r="R72" s="20">
        <f t="shared" si="35"/>
        <v>211.1471480666456</v>
      </c>
      <c r="S72" s="20">
        <f t="shared" si="35"/>
        <v>234.65568572794143</v>
      </c>
      <c r="T72" s="20">
        <f t="shared" si="35"/>
        <v>256.94695370851963</v>
      </c>
      <c r="U72" s="20">
        <f t="shared" si="35"/>
        <v>278.76718725254517</v>
      </c>
      <c r="V72" s="20">
        <f t="shared" si="35"/>
        <v>300.25974022311129</v>
      </c>
      <c r="W72" s="20">
        <f t="shared" si="35"/>
        <v>321.44103171452105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0.73064498365101005</v>
      </c>
      <c r="J73" s="20">
        <f>(J69+J72)/2</f>
        <v>4.1372657294029551</v>
      </c>
      <c r="K73" s="20">
        <f t="shared" ref="K73:W73" si="36">(K69+K72)/2</f>
        <v>11.912476941544373</v>
      </c>
      <c r="L73" s="20">
        <f t="shared" si="36"/>
        <v>25.271327410259694</v>
      </c>
      <c r="M73" s="20">
        <f t="shared" si="36"/>
        <v>44.99604143745367</v>
      </c>
      <c r="N73" s="20">
        <f t="shared" si="36"/>
        <v>72.036727245336664</v>
      </c>
      <c r="O73" s="20">
        <f t="shared" si="36"/>
        <v>105.61911395073628</v>
      </c>
      <c r="P73" s="20">
        <f t="shared" si="36"/>
        <v>140.08739639405491</v>
      </c>
      <c r="Q73" s="20">
        <f t="shared" si="36"/>
        <v>170.98103257380814</v>
      </c>
      <c r="R73" s="20">
        <f t="shared" si="36"/>
        <v>198.28016714146202</v>
      </c>
      <c r="S73" s="20">
        <f t="shared" si="36"/>
        <v>222.90141689729353</v>
      </c>
      <c r="T73" s="20">
        <f t="shared" si="36"/>
        <v>245.80131971823053</v>
      </c>
      <c r="U73" s="20">
        <f t="shared" si="36"/>
        <v>267.8570704805324</v>
      </c>
      <c r="V73" s="20">
        <f t="shared" si="36"/>
        <v>289.51346373782826</v>
      </c>
      <c r="W73" s="20">
        <f t="shared" si="36"/>
        <v>310.85038596881617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83.521851822542445</v>
      </c>
      <c r="J76" s="12">
        <f t="shared" si="37"/>
        <v>316.75589670373671</v>
      </c>
      <c r="K76" s="12">
        <f t="shared" si="37"/>
        <v>633.90108375180102</v>
      </c>
      <c r="L76" s="12">
        <f t="shared" si="37"/>
        <v>1072.6817161086385</v>
      </c>
      <c r="M76" s="12">
        <f t="shared" si="37"/>
        <v>1566.218339250426</v>
      </c>
      <c r="N76" s="12">
        <f t="shared" si="37"/>
        <v>2215.170469804676</v>
      </c>
      <c r="O76" s="12">
        <f t="shared" si="37"/>
        <v>2733.4327681405066</v>
      </c>
      <c r="P76" s="12">
        <f t="shared" si="37"/>
        <v>2824.9587104494017</v>
      </c>
      <c r="Q76" s="12">
        <f t="shared" si="37"/>
        <v>2824.9855002023533</v>
      </c>
      <c r="R76" s="12">
        <f t="shared" si="37"/>
        <v>2824.9855002023533</v>
      </c>
      <c r="S76" s="12">
        <f t="shared" si="37"/>
        <v>2824.9855002023533</v>
      </c>
      <c r="T76" s="12">
        <f t="shared" si="37"/>
        <v>2824.9855002023533</v>
      </c>
      <c r="U76" s="12">
        <f t="shared" si="37"/>
        <v>2824.9855002023533</v>
      </c>
      <c r="V76" s="12">
        <f t="shared" si="37"/>
        <v>2824.9855002023533</v>
      </c>
      <c r="W76" s="12">
        <f t="shared" si="37"/>
        <v>2824.9855002023533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-1.0440231477817805</v>
      </c>
      <c r="J77" s="12">
        <f t="shared" si="38"/>
        <v>-6.0474950043602709</v>
      </c>
      <c r="K77" s="12">
        <f t="shared" si="38"/>
        <v>-17.930707260054493</v>
      </c>
      <c r="L77" s="12">
        <f t="shared" si="38"/>
        <v>-39.262992258309993</v>
      </c>
      <c r="M77" s="12">
        <f t="shared" si="38"/>
        <v>-72.24924295029831</v>
      </c>
      <c r="N77" s="12">
        <f t="shared" si="38"/>
        <v>-119.51660306348708</v>
      </c>
      <c r="O77" s="12">
        <f t="shared" si="38"/>
        <v>-181.37414353780187</v>
      </c>
      <c r="P77" s="12">
        <f t="shared" si="38"/>
        <v>-250.85403702017575</v>
      </c>
      <c r="Q77" s="12">
        <f t="shared" si="38"/>
        <v>-321.47833965332268</v>
      </c>
      <c r="R77" s="12">
        <f t="shared" si="38"/>
        <v>-392.10297715838158</v>
      </c>
      <c r="S77" s="12">
        <f t="shared" si="38"/>
        <v>-462.72761466344036</v>
      </c>
      <c r="T77" s="12">
        <f t="shared" si="38"/>
        <v>-533.35225216849926</v>
      </c>
      <c r="U77" s="12">
        <f t="shared" si="38"/>
        <v>-603.97688967355793</v>
      </c>
      <c r="V77" s="12">
        <f t="shared" si="38"/>
        <v>-674.60152717861683</v>
      </c>
      <c r="W77" s="12">
        <f t="shared" si="38"/>
        <v>-745.22616468367551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-0.73064498365101005</v>
      </c>
      <c r="J79" s="12">
        <f>-J73</f>
        <v>-4.1372657294029551</v>
      </c>
      <c r="K79" s="12">
        <f t="shared" ref="K79:W79" si="40">-K73</f>
        <v>-11.912476941544373</v>
      </c>
      <c r="L79" s="12">
        <f t="shared" si="40"/>
        <v>-25.271327410259694</v>
      </c>
      <c r="M79" s="12">
        <f t="shared" si="40"/>
        <v>-44.99604143745367</v>
      </c>
      <c r="N79" s="12">
        <f t="shared" si="40"/>
        <v>-72.036727245336664</v>
      </c>
      <c r="O79" s="12">
        <f t="shared" si="40"/>
        <v>-105.61911395073628</v>
      </c>
      <c r="P79" s="12">
        <f t="shared" si="40"/>
        <v>-140.08739639405491</v>
      </c>
      <c r="Q79" s="12">
        <f t="shared" si="40"/>
        <v>-170.98103257380814</v>
      </c>
      <c r="R79" s="12">
        <f t="shared" si="40"/>
        <v>-198.28016714146202</v>
      </c>
      <c r="S79" s="12">
        <f t="shared" si="40"/>
        <v>-222.90141689729353</v>
      </c>
      <c r="T79" s="12">
        <f t="shared" si="40"/>
        <v>-245.80131971823053</v>
      </c>
      <c r="U79" s="12">
        <f t="shared" si="40"/>
        <v>-267.8570704805324</v>
      </c>
      <c r="V79" s="12">
        <f t="shared" si="40"/>
        <v>-289.51346373782826</v>
      </c>
      <c r="W79" s="12">
        <f t="shared" si="40"/>
        <v>-310.85038596881617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81.747183691109655</v>
      </c>
      <c r="J80" s="20">
        <f>SUM(J76:J79)</f>
        <v>306.57113596997351</v>
      </c>
      <c r="K80" s="20">
        <f t="shared" ref="K80:W80" si="41">SUM(K76:K79)</f>
        <v>604.05789955020214</v>
      </c>
      <c r="L80" s="20">
        <f>SUM(L76:L79)</f>
        <v>1008.1473964400687</v>
      </c>
      <c r="M80" s="20">
        <f t="shared" si="41"/>
        <v>1448.973054862674</v>
      </c>
      <c r="N80" s="20">
        <f t="shared" si="41"/>
        <v>2023.6171394958521</v>
      </c>
      <c r="O80" s="20">
        <f t="shared" si="41"/>
        <v>2446.4395106519682</v>
      </c>
      <c r="P80" s="20">
        <f t="shared" si="41"/>
        <v>2434.017277035171</v>
      </c>
      <c r="Q80" s="20">
        <f t="shared" si="41"/>
        <v>2332.5261279752226</v>
      </c>
      <c r="R80" s="20">
        <f t="shared" si="41"/>
        <v>2234.6023559025098</v>
      </c>
      <c r="S80" s="20">
        <f t="shared" si="41"/>
        <v>2139.3564686416194</v>
      </c>
      <c r="T80" s="20">
        <f t="shared" si="41"/>
        <v>2045.8319283156236</v>
      </c>
      <c r="U80" s="20">
        <f t="shared" si="41"/>
        <v>1953.1515400482631</v>
      </c>
      <c r="V80" s="20">
        <f t="shared" si="41"/>
        <v>1860.8705092859082</v>
      </c>
      <c r="W80" s="20">
        <f t="shared" si="41"/>
        <v>1768.9089495498615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>I51</f>
        <v>2.088046295563561</v>
      </c>
      <c r="J83" s="12">
        <f t="shared" ref="J83:W83" si="42">J51</f>
        <v>7.9188974175934197</v>
      </c>
      <c r="K83" s="12">
        <f t="shared" si="42"/>
        <v>15.847527093795026</v>
      </c>
      <c r="L83" s="12">
        <f t="shared" si="42"/>
        <v>26.817042902715965</v>
      </c>
      <c r="M83" s="12">
        <f t="shared" si="42"/>
        <v>39.155458481260652</v>
      </c>
      <c r="N83" s="12">
        <f t="shared" si="42"/>
        <v>55.379261745116906</v>
      </c>
      <c r="O83" s="12">
        <f t="shared" si="42"/>
        <v>68.335819203512685</v>
      </c>
      <c r="P83" s="12">
        <f t="shared" si="42"/>
        <v>70.62396776123505</v>
      </c>
      <c r="Q83" s="12">
        <f t="shared" si="42"/>
        <v>70.624637505058828</v>
      </c>
      <c r="R83" s="12">
        <f t="shared" si="42"/>
        <v>70.624637505058828</v>
      </c>
      <c r="S83" s="12">
        <f t="shared" si="42"/>
        <v>70.624637505058828</v>
      </c>
      <c r="T83" s="12">
        <f t="shared" si="42"/>
        <v>70.624637505058828</v>
      </c>
      <c r="U83" s="12">
        <f t="shared" si="42"/>
        <v>70.624637505058828</v>
      </c>
      <c r="V83" s="12">
        <f t="shared" si="42"/>
        <v>70.624637505058828</v>
      </c>
      <c r="W83" s="12">
        <f t="shared" si="42"/>
        <v>70.624637505058828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>I15*I16*I80</f>
        <v>2.4524155107332897</v>
      </c>
      <c r="J84" s="12">
        <f t="shared" ref="J84:W84" si="44">J15*J16*J80</f>
        <v>9.1971340790992056</v>
      </c>
      <c r="K84" s="12">
        <f t="shared" si="44"/>
        <v>18.121736986506065</v>
      </c>
      <c r="L84" s="12">
        <f t="shared" si="44"/>
        <v>30.244421893202063</v>
      </c>
      <c r="M84" s="12">
        <f t="shared" si="44"/>
        <v>43.469191645880215</v>
      </c>
      <c r="N84" s="12">
        <f t="shared" si="44"/>
        <v>60.708514184875561</v>
      </c>
      <c r="O84" s="12">
        <f t="shared" si="44"/>
        <v>73.393185319559038</v>
      </c>
      <c r="P84" s="12">
        <f t="shared" si="44"/>
        <v>73.020518311055127</v>
      </c>
      <c r="Q84" s="12">
        <f t="shared" si="44"/>
        <v>69.975783839256678</v>
      </c>
      <c r="R84" s="12">
        <f t="shared" si="44"/>
        <v>67.038070677075297</v>
      </c>
      <c r="S84" s="12">
        <f t="shared" si="44"/>
        <v>64.18069405924858</v>
      </c>
      <c r="T84" s="12">
        <f t="shared" si="44"/>
        <v>61.374957849468707</v>
      </c>
      <c r="U84" s="12">
        <f t="shared" si="44"/>
        <v>58.594546201447891</v>
      </c>
      <c r="V84" s="12">
        <f t="shared" si="44"/>
        <v>55.826115278577241</v>
      </c>
      <c r="W84" s="12">
        <f t="shared" si="44"/>
        <v>53.067268486495841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>I18*I19*I80</f>
        <v>4.4960951030110312</v>
      </c>
      <c r="J85" s="12">
        <f t="shared" ref="J85:W85" si="45">J18*J19*J80</f>
        <v>16.861412478348544</v>
      </c>
      <c r="K85" s="12">
        <f t="shared" si="45"/>
        <v>33.223184475261121</v>
      </c>
      <c r="L85" s="12">
        <f t="shared" si="45"/>
        <v>55.448106804203782</v>
      </c>
      <c r="M85" s="12">
        <f t="shared" si="45"/>
        <v>79.693518017447062</v>
      </c>
      <c r="N85" s="12">
        <f t="shared" si="45"/>
        <v>111.29894267227186</v>
      </c>
      <c r="O85" s="12">
        <f t="shared" si="45"/>
        <v>134.55417308585825</v>
      </c>
      <c r="P85" s="12">
        <f t="shared" si="45"/>
        <v>133.87095023693442</v>
      </c>
      <c r="Q85" s="12">
        <f t="shared" si="45"/>
        <v>128.28893703863724</v>
      </c>
      <c r="R85" s="12">
        <f t="shared" si="45"/>
        <v>122.90312957463804</v>
      </c>
      <c r="S85" s="12">
        <f t="shared" si="45"/>
        <v>117.66460577528906</v>
      </c>
      <c r="T85" s="12">
        <f t="shared" si="45"/>
        <v>112.52075605735929</v>
      </c>
      <c r="U85" s="12">
        <f t="shared" si="45"/>
        <v>107.42333470265447</v>
      </c>
      <c r="V85" s="12">
        <f t="shared" si="45"/>
        <v>102.34787801072495</v>
      </c>
      <c r="W85" s="12">
        <f t="shared" si="45"/>
        <v>97.289992225242386</v>
      </c>
    </row>
    <row r="86" spans="1:25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1.1951645210535651</v>
      </c>
      <c r="J86" s="12">
        <f t="shared" ref="J86:W86" si="46">IF($F24="Y",J85*J25/(1-J25),J85*J25/(1-J25)+(J51+J59)*J25)</f>
        <v>4.4821476208268276</v>
      </c>
      <c r="K86" s="12">
        <f t="shared" si="46"/>
        <v>8.8314794174744744</v>
      </c>
      <c r="L86" s="12">
        <f t="shared" si="46"/>
        <v>14.739370163142777</v>
      </c>
      <c r="M86" s="12">
        <f t="shared" si="46"/>
        <v>21.184352890713775</v>
      </c>
      <c r="N86" s="12">
        <f t="shared" si="46"/>
        <v>29.585794887565935</v>
      </c>
      <c r="O86" s="12">
        <f t="shared" si="46"/>
        <v>35.767564997506625</v>
      </c>
      <c r="P86" s="12">
        <f t="shared" si="46"/>
        <v>35.58594879715978</v>
      </c>
      <c r="Q86" s="12">
        <f t="shared" si="46"/>
        <v>34.102122503941544</v>
      </c>
      <c r="R86" s="12">
        <f t="shared" si="46"/>
        <v>32.670452165410111</v>
      </c>
      <c r="S86" s="12">
        <f t="shared" si="46"/>
        <v>31.277933180773037</v>
      </c>
      <c r="T86" s="12">
        <f t="shared" si="46"/>
        <v>29.910580724108161</v>
      </c>
      <c r="U86" s="12">
        <f t="shared" si="46"/>
        <v>28.555569984249921</v>
      </c>
      <c r="V86" s="12">
        <f t="shared" si="46"/>
        <v>27.206397952218023</v>
      </c>
      <c r="W86" s="12">
        <f t="shared" si="46"/>
        <v>25.861896667469495</v>
      </c>
    </row>
    <row r="87" spans="1:25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0.55189485604136712</v>
      </c>
      <c r="J87" s="12">
        <f t="shared" ref="J87:W87" si="47">IF($F28="Y",(J85+J86)*J29/(1-J29),(J85+J86)*J29/(1-J29)+(J51+J65)*J29)</f>
        <v>2.0697353145755848</v>
      </c>
      <c r="K87" s="12">
        <f t="shared" si="47"/>
        <v>4.0781398509410129</v>
      </c>
      <c r="L87" s="12">
        <f t="shared" si="47"/>
        <v>6.806245024038434</v>
      </c>
      <c r="M87" s="12">
        <f t="shared" si="47"/>
        <v>9.7823648401507448</v>
      </c>
      <c r="N87" s="12">
        <f t="shared" si="47"/>
        <v>13.661924967408581</v>
      </c>
      <c r="O87" s="12">
        <f t="shared" si="47"/>
        <v>16.516500270479877</v>
      </c>
      <c r="P87" s="12">
        <f t="shared" si="47"/>
        <v>16.43263479005477</v>
      </c>
      <c r="Q87" s="12">
        <f t="shared" si="47"/>
        <v>15.747443685348799</v>
      </c>
      <c r="R87" s="12">
        <f t="shared" si="47"/>
        <v>15.086336798837491</v>
      </c>
      <c r="S87" s="12">
        <f t="shared" si="47"/>
        <v>14.443308955370657</v>
      </c>
      <c r="T87" s="12">
        <f t="shared" si="47"/>
        <v>13.811902338176528</v>
      </c>
      <c r="U87" s="12">
        <f t="shared" si="47"/>
        <v>13.186194794122805</v>
      </c>
      <c r="V87" s="12">
        <f t="shared" si="47"/>
        <v>12.563183408429312</v>
      </c>
      <c r="W87" s="12">
        <f t="shared" si="47"/>
        <v>11.94232884830598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3.3408740729016979</v>
      </c>
      <c r="K88" s="12">
        <f t="shared" ref="K88:W88" si="48">(K80&gt;0)*(J88*(1+K32)+J44*K31)</f>
        <v>9.396179276705805</v>
      </c>
      <c r="L88" s="12">
        <f t="shared" si="48"/>
        <v>16.281422621816422</v>
      </c>
      <c r="M88" s="12">
        <f t="shared" si="48"/>
        <v>27.460956608949751</v>
      </c>
      <c r="N88" s="12">
        <f t="shared" si="48"/>
        <v>36.897735132103243</v>
      </c>
      <c r="O88" s="12">
        <f t="shared" si="48"/>
        <v>54.706215665940803</v>
      </c>
      <c r="P88" s="12">
        <f t="shared" si="48"/>
        <v>59.46030608149735</v>
      </c>
      <c r="Q88" s="12">
        <f t="shared" si="48"/>
        <v>60.65058379324536</v>
      </c>
      <c r="R88" s="12">
        <f t="shared" si="48"/>
        <v>61.863595469110265</v>
      </c>
      <c r="S88" s="12">
        <f t="shared" si="48"/>
        <v>63.100867378492474</v>
      </c>
      <c r="T88" s="12">
        <f t="shared" si="48"/>
        <v>64.362884726062319</v>
      </c>
      <c r="U88" s="12">
        <f t="shared" si="48"/>
        <v>65.650142420583563</v>
      </c>
      <c r="V88" s="12">
        <f t="shared" si="48"/>
        <v>66.963145268995234</v>
      </c>
      <c r="W88" s="12">
        <f t="shared" si="48"/>
        <v>68.302408174375145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10.783616286402813</v>
      </c>
      <c r="J89" s="20">
        <f t="shared" ref="J89:W89" si="49">SUM(J83:J88)</f>
        <v>43.870200983345285</v>
      </c>
      <c r="K89" s="20">
        <f t="shared" si="49"/>
        <v>89.4982471006835</v>
      </c>
      <c r="L89" s="20">
        <f t="shared" si="49"/>
        <v>150.33660940911946</v>
      </c>
      <c r="M89" s="20">
        <f t="shared" si="49"/>
        <v>220.74584248440217</v>
      </c>
      <c r="N89" s="20">
        <f t="shared" si="49"/>
        <v>307.53217358934211</v>
      </c>
      <c r="O89" s="20">
        <f t="shared" si="49"/>
        <v>383.27345854285727</v>
      </c>
      <c r="P89" s="20">
        <f t="shared" si="49"/>
        <v>388.99432597793646</v>
      </c>
      <c r="Q89" s="20">
        <f t="shared" si="49"/>
        <v>379.38950836548844</v>
      </c>
      <c r="R89" s="20">
        <f t="shared" si="49"/>
        <v>370.18622219013002</v>
      </c>
      <c r="S89" s="20">
        <f t="shared" si="49"/>
        <v>361.29204685423264</v>
      </c>
      <c r="T89" s="20">
        <f t="shared" si="49"/>
        <v>352.60571920023386</v>
      </c>
      <c r="U89" s="20">
        <f t="shared" si="49"/>
        <v>344.03442560811749</v>
      </c>
      <c r="V89" s="20">
        <f t="shared" si="49"/>
        <v>335.5313574240036</v>
      </c>
      <c r="W89" s="20">
        <f t="shared" si="49"/>
        <v>327.08853190694771</v>
      </c>
      <c r="X89" s="50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8"/>
      <c r="Y95" s="56"/>
    </row>
    <row r="101" spans="5:6" x14ac:dyDescent="0.2">
      <c r="F101" s="55"/>
    </row>
    <row r="102" spans="5:6" x14ac:dyDescent="0.2">
      <c r="E102" s="53"/>
      <c r="F102" s="54"/>
    </row>
    <row r="103" spans="5:6" x14ac:dyDescent="0.2">
      <c r="E103" s="53"/>
      <c r="F103" s="54"/>
    </row>
    <row r="104" spans="5:6" x14ac:dyDescent="0.2">
      <c r="E104" s="53"/>
      <c r="F104" s="54"/>
    </row>
    <row r="105" spans="5:6" x14ac:dyDescent="0.2">
      <c r="E105" s="53"/>
      <c r="F105" s="54"/>
    </row>
    <row r="106" spans="5:6" x14ac:dyDescent="0.2">
      <c r="E106" s="53"/>
      <c r="F106" s="54"/>
    </row>
    <row r="107" spans="5:6" x14ac:dyDescent="0.2">
      <c r="E107" s="53"/>
      <c r="F107" s="54"/>
    </row>
    <row r="108" spans="5:6" x14ac:dyDescent="0.2">
      <c r="F108" s="59"/>
    </row>
    <row r="114" spans="5:9" x14ac:dyDescent="0.2">
      <c r="E114" s="53"/>
      <c r="F114" s="54"/>
      <c r="I114" s="43"/>
    </row>
    <row r="115" spans="5:9" x14ac:dyDescent="0.2">
      <c r="I115" s="43"/>
    </row>
    <row r="116" spans="5:9" x14ac:dyDescent="0.2">
      <c r="I116" s="43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4"/>
  <sheetViews>
    <sheetView zoomScale="80" zoomScaleNormal="80" workbookViewId="0">
      <selection activeCell="I8" sqref="I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6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161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2019</v>
      </c>
      <c r="I3" s="5">
        <f>Existing!I3</f>
        <v>2020</v>
      </c>
      <c r="J3" s="5">
        <f>Existing!J3</f>
        <v>2021</v>
      </c>
      <c r="K3" s="5">
        <f>Existing!K3</f>
        <v>2022</v>
      </c>
      <c r="L3" s="5">
        <f>Existing!L3</f>
        <v>2023</v>
      </c>
      <c r="M3" s="5">
        <f>Existing!M3</f>
        <v>2024</v>
      </c>
      <c r="N3" s="5">
        <f>Existing!N3</f>
        <v>2025</v>
      </c>
      <c r="O3" s="5">
        <f>Existing!O3</f>
        <v>2026</v>
      </c>
      <c r="P3" s="5">
        <f>Existing!P3</f>
        <v>2027</v>
      </c>
      <c r="Q3" s="5">
        <f>Existing!Q3</f>
        <v>2028</v>
      </c>
      <c r="R3" s="5">
        <f>Existing!R3</f>
        <v>2029</v>
      </c>
      <c r="S3" s="5">
        <f>Existing!S3</f>
        <v>2030</v>
      </c>
      <c r="T3" s="5">
        <f>Existing!T3</f>
        <v>2031</v>
      </c>
      <c r="U3" s="5">
        <f>Existing!U3</f>
        <v>2032</v>
      </c>
      <c r="V3" s="5">
        <f>Existing!V3</f>
        <v>2033</v>
      </c>
      <c r="W3" s="5">
        <f>Existing!W3</f>
        <v>2034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2020</v>
      </c>
      <c r="I7" s="10"/>
      <c r="J7" s="10"/>
      <c r="K7" s="10"/>
      <c r="L7" s="10"/>
      <c r="M7" s="62"/>
      <c r="N7" s="62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>
        <v>0</v>
      </c>
      <c r="I8" s="49">
        <v>317</v>
      </c>
      <c r="J8" s="49">
        <v>351.67276375</v>
      </c>
      <c r="K8" s="49">
        <v>82.583099500000003</v>
      </c>
      <c r="L8" s="49">
        <v>0.79335</v>
      </c>
      <c r="M8" s="49">
        <v>74.792275000000004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317</v>
      </c>
      <c r="J36" s="12">
        <f t="shared" si="10"/>
        <v>351.67276375</v>
      </c>
      <c r="K36" s="12">
        <f t="shared" si="10"/>
        <v>82.583099500000003</v>
      </c>
      <c r="L36" s="12">
        <f t="shared" si="10"/>
        <v>0.79335</v>
      </c>
      <c r="M36" s="12">
        <f>M8</f>
        <v>74.792275000000004</v>
      </c>
      <c r="N36" s="12">
        <f>N8</f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-317</v>
      </c>
      <c r="J38" s="12">
        <f t="shared" si="12"/>
        <v>-351.67276375</v>
      </c>
      <c r="K38" s="12">
        <f t="shared" si="12"/>
        <v>-82.583099500000003</v>
      </c>
      <c r="L38" s="12">
        <f t="shared" si="12"/>
        <v>-0.79335</v>
      </c>
      <c r="M38" s="12">
        <f t="shared" si="12"/>
        <v>-74.792275000000004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317</v>
      </c>
      <c r="K43" s="12">
        <f t="shared" ref="K43:W43" si="15">J46</f>
        <v>668.67276375000006</v>
      </c>
      <c r="L43" s="12">
        <f t="shared" si="15"/>
        <v>751.25586325000006</v>
      </c>
      <c r="M43" s="12">
        <f t="shared" si="15"/>
        <v>752.04921325000009</v>
      </c>
      <c r="N43" s="12">
        <f t="shared" si="15"/>
        <v>826.84148825000011</v>
      </c>
      <c r="O43" s="12">
        <f t="shared" si="15"/>
        <v>826.84148825000011</v>
      </c>
      <c r="P43" s="12">
        <f t="shared" si="15"/>
        <v>826.84148825000011</v>
      </c>
      <c r="Q43" s="12">
        <f t="shared" si="15"/>
        <v>826.84148825000011</v>
      </c>
      <c r="R43" s="12">
        <f t="shared" si="15"/>
        <v>826.84148825000011</v>
      </c>
      <c r="S43" s="12">
        <f t="shared" si="15"/>
        <v>826.84148825000011</v>
      </c>
      <c r="T43" s="12">
        <f t="shared" si="15"/>
        <v>826.84148825000011</v>
      </c>
      <c r="U43" s="12">
        <f t="shared" si="15"/>
        <v>826.84148825000011</v>
      </c>
      <c r="V43" s="12">
        <f t="shared" si="15"/>
        <v>826.84148825000011</v>
      </c>
      <c r="W43" s="12">
        <f t="shared" si="15"/>
        <v>826.84148825000011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317</v>
      </c>
      <c r="J44" s="12">
        <f t="shared" ref="J44:W44" si="16">-J38</f>
        <v>351.67276375</v>
      </c>
      <c r="K44" s="12">
        <f t="shared" si="16"/>
        <v>82.583099500000003</v>
      </c>
      <c r="L44" s="12">
        <f t="shared" si="16"/>
        <v>0.79335</v>
      </c>
      <c r="M44" s="12">
        <f t="shared" si="16"/>
        <v>74.792275000000004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317</v>
      </c>
      <c r="J46" s="20">
        <f>SUM(J43:J45)</f>
        <v>668.67276375000006</v>
      </c>
      <c r="K46" s="20">
        <f t="shared" ref="K46:W46" si="18">SUM(K43:K45)</f>
        <v>751.25586325000006</v>
      </c>
      <c r="L46" s="20">
        <f t="shared" si="18"/>
        <v>752.04921325000009</v>
      </c>
      <c r="M46" s="20">
        <f t="shared" si="18"/>
        <v>826.84148825000011</v>
      </c>
      <c r="N46" s="20">
        <f t="shared" si="18"/>
        <v>826.84148825000011</v>
      </c>
      <c r="O46" s="20">
        <f t="shared" si="18"/>
        <v>826.84148825000011</v>
      </c>
      <c r="P46" s="20">
        <f t="shared" si="18"/>
        <v>826.84148825000011</v>
      </c>
      <c r="Q46" s="20">
        <f t="shared" si="18"/>
        <v>826.84148825000011</v>
      </c>
      <c r="R46" s="20">
        <f t="shared" si="18"/>
        <v>826.84148825000011</v>
      </c>
      <c r="S46" s="20">
        <f t="shared" si="18"/>
        <v>826.84148825000011</v>
      </c>
      <c r="T46" s="20">
        <f t="shared" si="18"/>
        <v>826.84148825000011</v>
      </c>
      <c r="U46" s="20">
        <f t="shared" si="18"/>
        <v>826.84148825000011</v>
      </c>
      <c r="V46" s="20">
        <f t="shared" si="18"/>
        <v>826.84148825000011</v>
      </c>
      <c r="W46" s="20">
        <f t="shared" si="18"/>
        <v>826.84148825000011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158.5</v>
      </c>
      <c r="J47" s="20">
        <f>(J43+J46)/2</f>
        <v>492.83638187500003</v>
      </c>
      <c r="K47" s="20">
        <f t="shared" ref="K47:W47" si="19">(K43+K46)/2</f>
        <v>709.96431350000012</v>
      </c>
      <c r="L47" s="20">
        <f t="shared" si="19"/>
        <v>751.65253825000013</v>
      </c>
      <c r="M47" s="20">
        <f t="shared" si="19"/>
        <v>789.4453507500001</v>
      </c>
      <c r="N47" s="20">
        <f t="shared" si="19"/>
        <v>826.84148825000011</v>
      </c>
      <c r="O47" s="20">
        <f t="shared" si="19"/>
        <v>826.84148825000011</v>
      </c>
      <c r="P47" s="20">
        <f t="shared" si="19"/>
        <v>826.84148825000011</v>
      </c>
      <c r="Q47" s="20">
        <f t="shared" si="19"/>
        <v>826.84148825000011</v>
      </c>
      <c r="R47" s="20">
        <f t="shared" si="19"/>
        <v>826.84148825000011</v>
      </c>
      <c r="S47" s="20">
        <f t="shared" si="19"/>
        <v>826.84148825000011</v>
      </c>
      <c r="T47" s="20">
        <f t="shared" si="19"/>
        <v>826.84148825000011</v>
      </c>
      <c r="U47" s="20">
        <f t="shared" si="19"/>
        <v>826.84148825000011</v>
      </c>
      <c r="V47" s="20">
        <f t="shared" si="19"/>
        <v>826.84148825000011</v>
      </c>
      <c r="W47" s="20">
        <f t="shared" si="19"/>
        <v>826.84148825000011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3.9625000000000004</v>
      </c>
      <c r="K50" s="12">
        <f t="shared" ref="K50:W50" si="20">J53</f>
        <v>16.283409546874999</v>
      </c>
      <c r="L50" s="12">
        <f t="shared" si="20"/>
        <v>34.032517384374998</v>
      </c>
      <c r="M50" s="12">
        <f t="shared" si="20"/>
        <v>52.823830840625</v>
      </c>
      <c r="N50" s="12">
        <f t="shared" si="20"/>
        <v>72.559964609375001</v>
      </c>
      <c r="O50" s="12">
        <f t="shared" si="20"/>
        <v>93.231001815625007</v>
      </c>
      <c r="P50" s="12">
        <f t="shared" si="20"/>
        <v>113.90203902187501</v>
      </c>
      <c r="Q50" s="12">
        <f t="shared" si="20"/>
        <v>134.57307622812502</v>
      </c>
      <c r="R50" s="12">
        <f t="shared" si="20"/>
        <v>155.24411343437504</v>
      </c>
      <c r="S50" s="12">
        <f t="shared" si="20"/>
        <v>175.91515064062503</v>
      </c>
      <c r="T50" s="12">
        <f t="shared" si="20"/>
        <v>196.58618784687502</v>
      </c>
      <c r="U50" s="12">
        <f t="shared" si="20"/>
        <v>217.25722505312501</v>
      </c>
      <c r="V50" s="12">
        <f t="shared" si="20"/>
        <v>237.928262259375</v>
      </c>
      <c r="W50" s="12">
        <f t="shared" si="20"/>
        <v>258.59929946562499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3.9625000000000004</v>
      </c>
      <c r="J51" s="12">
        <f t="shared" ref="J51:W51" si="21">MIN(J13*(J43+0.5*J44),J43+J44-I53)</f>
        <v>12.320909546875001</v>
      </c>
      <c r="K51" s="12">
        <f t="shared" si="21"/>
        <v>17.749107837500002</v>
      </c>
      <c r="L51" s="12">
        <f t="shared" si="21"/>
        <v>18.791313456250002</v>
      </c>
      <c r="M51" s="12">
        <f t="shared" si="21"/>
        <v>19.736133768750005</v>
      </c>
      <c r="N51" s="12">
        <f t="shared" si="21"/>
        <v>20.671037206250006</v>
      </c>
      <c r="O51" s="12">
        <f t="shared" si="21"/>
        <v>20.671037206250006</v>
      </c>
      <c r="P51" s="12">
        <f t="shared" si="21"/>
        <v>20.671037206250006</v>
      </c>
      <c r="Q51" s="12">
        <f t="shared" si="21"/>
        <v>20.671037206250006</v>
      </c>
      <c r="R51" s="12">
        <f t="shared" si="21"/>
        <v>20.671037206250006</v>
      </c>
      <c r="S51" s="12">
        <f t="shared" si="21"/>
        <v>20.671037206250006</v>
      </c>
      <c r="T51" s="12">
        <f t="shared" si="21"/>
        <v>20.671037206250006</v>
      </c>
      <c r="U51" s="12">
        <f t="shared" si="21"/>
        <v>20.671037206250006</v>
      </c>
      <c r="V51" s="12">
        <f t="shared" si="21"/>
        <v>20.671037206250006</v>
      </c>
      <c r="W51" s="12">
        <f t="shared" si="21"/>
        <v>20.671037206250006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3.9625000000000004</v>
      </c>
      <c r="J53" s="20">
        <f>SUM(J50:J52)</f>
        <v>16.283409546874999</v>
      </c>
      <c r="K53" s="20">
        <f t="shared" ref="K53:W53" si="23">SUM(K50:K52)</f>
        <v>34.032517384374998</v>
      </c>
      <c r="L53" s="20">
        <f t="shared" si="23"/>
        <v>52.823830840625</v>
      </c>
      <c r="M53" s="20">
        <f t="shared" si="23"/>
        <v>72.559964609375001</v>
      </c>
      <c r="N53" s="20">
        <f t="shared" si="23"/>
        <v>93.231001815625007</v>
      </c>
      <c r="O53" s="20">
        <f t="shared" si="23"/>
        <v>113.90203902187501</v>
      </c>
      <c r="P53" s="20">
        <f t="shared" si="23"/>
        <v>134.57307622812502</v>
      </c>
      <c r="Q53" s="20">
        <f t="shared" si="23"/>
        <v>155.24411343437504</v>
      </c>
      <c r="R53" s="20">
        <f t="shared" si="23"/>
        <v>175.91515064062503</v>
      </c>
      <c r="S53" s="20">
        <f t="shared" si="23"/>
        <v>196.58618784687502</v>
      </c>
      <c r="T53" s="20">
        <f t="shared" si="23"/>
        <v>217.25722505312501</v>
      </c>
      <c r="U53" s="20">
        <f t="shared" si="23"/>
        <v>237.928262259375</v>
      </c>
      <c r="V53" s="20">
        <f t="shared" si="23"/>
        <v>258.59929946562499</v>
      </c>
      <c r="W53" s="20">
        <f t="shared" si="23"/>
        <v>279.27033667187499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1.9812500000000002</v>
      </c>
      <c r="J54" s="20">
        <f>(J50+J53)/2</f>
        <v>10.122954773437499</v>
      </c>
      <c r="K54" s="20">
        <f t="shared" ref="K54:W54" si="24">(K50+K53)/2</f>
        <v>25.157963465624999</v>
      </c>
      <c r="L54" s="20">
        <f t="shared" si="24"/>
        <v>43.428174112500002</v>
      </c>
      <c r="M54" s="20">
        <f t="shared" si="24"/>
        <v>62.691897725000004</v>
      </c>
      <c r="N54" s="20">
        <f t="shared" si="24"/>
        <v>82.895483212500011</v>
      </c>
      <c r="O54" s="20">
        <f t="shared" si="24"/>
        <v>103.56652041875</v>
      </c>
      <c r="P54" s="20">
        <f t="shared" si="24"/>
        <v>124.23755762500002</v>
      </c>
      <c r="Q54" s="20">
        <f t="shared" si="24"/>
        <v>144.90859483125001</v>
      </c>
      <c r="R54" s="20">
        <f t="shared" si="24"/>
        <v>165.57963203750003</v>
      </c>
      <c r="S54" s="20">
        <f t="shared" si="24"/>
        <v>186.25066924375002</v>
      </c>
      <c r="T54" s="20">
        <f t="shared" si="24"/>
        <v>206.92170645000002</v>
      </c>
      <c r="U54" s="20">
        <f t="shared" si="24"/>
        <v>227.59274365625001</v>
      </c>
      <c r="V54" s="20">
        <f t="shared" si="24"/>
        <v>248.2637808625</v>
      </c>
      <c r="W54" s="20">
        <f t="shared" si="24"/>
        <v>268.93481806875002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301.14999999999998</v>
      </c>
      <c r="K57" s="12">
        <f t="shared" ref="K57:W57" si="25">J60</f>
        <v>605.1241255624999</v>
      </c>
      <c r="L57" s="12">
        <f t="shared" si="25"/>
        <v>623.06565753124994</v>
      </c>
      <c r="M57" s="12">
        <f t="shared" si="25"/>
        <v>561.51277427812499</v>
      </c>
      <c r="N57" s="12">
        <f t="shared" si="25"/>
        <v>576.41415810031253</v>
      </c>
      <c r="O57" s="12">
        <f t="shared" si="25"/>
        <v>518.77274229028126</v>
      </c>
      <c r="P57" s="12">
        <f t="shared" si="25"/>
        <v>465.95954141125316</v>
      </c>
      <c r="Q57" s="12">
        <f t="shared" si="25"/>
        <v>415.51751106879419</v>
      </c>
      <c r="R57" s="12">
        <f t="shared" si="25"/>
        <v>365.92741548579494</v>
      </c>
      <c r="S57" s="12">
        <f t="shared" si="25"/>
        <v>316.8578963879832</v>
      </c>
      <c r="T57" s="12">
        <f t="shared" si="25"/>
        <v>268.03373334830894</v>
      </c>
      <c r="U57" s="12">
        <f t="shared" si="25"/>
        <v>219.20957030863471</v>
      </c>
      <c r="V57" s="12">
        <f t="shared" si="25"/>
        <v>170.38540726896048</v>
      </c>
      <c r="W57" s="12">
        <f t="shared" si="25"/>
        <v>121.56124422928626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317</v>
      </c>
      <c r="J58" s="12">
        <f t="shared" ref="J58:W58" si="26">-J38</f>
        <v>351.67276375</v>
      </c>
      <c r="K58" s="12">
        <f t="shared" si="26"/>
        <v>82.583099500000003</v>
      </c>
      <c r="L58" s="12">
        <f t="shared" si="26"/>
        <v>0.79335</v>
      </c>
      <c r="M58" s="12">
        <f t="shared" si="26"/>
        <v>74.792275000000004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-15.850000000000001</v>
      </c>
      <c r="J59" s="12">
        <f>-I23*J58-J23*I58-H58*K23</f>
        <v>-47.698638187500002</v>
      </c>
      <c r="K59" s="12">
        <f>-I23*K58-J23*J58-K23*I58-H58*L23</f>
        <v>-64.641567531250004</v>
      </c>
      <c r="L59" s="12">
        <f>-I23*L58-J23*K58-K23*J58-L23*I58-H58*M23</f>
        <v>-62.346233253125007</v>
      </c>
      <c r="M59" s="12">
        <f>-I23*M58-J23*L58-K23*K58-L23*J58-M23*I58-H58*N23</f>
        <v>-59.890891177812499</v>
      </c>
      <c r="N59" s="12">
        <f>-I23*N58-J23*M58-K23*L58-L23*K58-M23*J58-N23*I58-H58*O23</f>
        <v>-57.641415810031248</v>
      </c>
      <c r="O59" s="12">
        <f>-I23*O58-J23*N58-K23*M58-L23*L58-M23*K58-N23*J58-O23*I58-H58*P23</f>
        <v>-52.813200879028123</v>
      </c>
      <c r="P59" s="12">
        <f>-I23*P58-J23*O58-K23*N58-L23*M58-M23*L58-N23*K58-O23*J58-P23*I58-H58*Q23</f>
        <v>-50.442030342458992</v>
      </c>
      <c r="Q59" s="12">
        <f>-I23*Q58-J23*P58-K23*O58-L23*N58-M23*M58-N23*L58-O23*K58-P23*J58-Q23*I58-H58*R23</f>
        <v>-49.590095582999247</v>
      </c>
      <c r="R59" s="12">
        <f>-I23*R58-J23*Q58-K23*P58-L23*O58-M23*N58-N23*M58-O23*L58-P23*K58-Q23*J58-R23*I58-H58*S23</f>
        <v>-49.069519097811749</v>
      </c>
      <c r="S59" s="12">
        <f>-I23*S58-J23*R58-K23*Q58-L23*P58-M23*O58-N23*N58-O23*M58-P23*L58-Q23*K58-R23*J58-S23*I58-H58*T23</f>
        <v>-48.824163039674247</v>
      </c>
      <c r="T59" s="12">
        <f>-I23*T58-J23*S58-K23*R58-L23*Q58-M23*P58-N23*O58-O23*N58-P23*M58-Q23*L58-R23*K58-S23*J58-T23*I58-H58*U23</f>
        <v>-48.824163039674239</v>
      </c>
      <c r="U59" s="12">
        <f>-I23*U58-J23*T58-K23*S58-L23*R58-M23*Q58-N23*P58-O23*O58-P23*N58-Q23*M58-R23*L58-S23*K58-T23*J58-U23*I58-H58*V23</f>
        <v>-48.824163039674232</v>
      </c>
      <c r="V59" s="12">
        <f>-I23*V58-J23*U58-K23*T58-L23*S58-M23*R58-N23*Q58-O23*P58-P23*O58-Q23*N58-R23*M58-S23*L58-T23*K58-U23*J58-V23*I58-H58*W23</f>
        <v>-48.824163039674218</v>
      </c>
      <c r="W59" s="12">
        <f>-I23*W58-J23*V58-K23*U58-L23*T58-M23*S58-N23*R58-O23*Q58-P23*P58-Q23*O58-R23*N58-S23*M58-T23*L58-U23*K58-V23*J58-W23*I58-H58*X23</f>
        <v>-48.824163039674218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301.14999999999998</v>
      </c>
      <c r="J60" s="20">
        <f t="shared" si="27"/>
        <v>605.1241255624999</v>
      </c>
      <c r="K60" s="20">
        <f t="shared" si="27"/>
        <v>623.06565753124994</v>
      </c>
      <c r="L60" s="20">
        <f t="shared" si="27"/>
        <v>561.51277427812499</v>
      </c>
      <c r="M60" s="20">
        <f t="shared" si="27"/>
        <v>576.41415810031253</v>
      </c>
      <c r="N60" s="20">
        <f t="shared" si="27"/>
        <v>518.77274229028126</v>
      </c>
      <c r="O60" s="20">
        <f t="shared" si="27"/>
        <v>465.95954141125316</v>
      </c>
      <c r="P60" s="20">
        <f t="shared" si="27"/>
        <v>415.51751106879419</v>
      </c>
      <c r="Q60" s="20">
        <f t="shared" si="27"/>
        <v>365.92741548579494</v>
      </c>
      <c r="R60" s="20">
        <f t="shared" si="27"/>
        <v>316.8578963879832</v>
      </c>
      <c r="S60" s="20">
        <f t="shared" si="27"/>
        <v>268.03373334830894</v>
      </c>
      <c r="T60" s="20">
        <f t="shared" si="27"/>
        <v>219.20957030863471</v>
      </c>
      <c r="U60" s="20">
        <f t="shared" si="27"/>
        <v>170.38540726896048</v>
      </c>
      <c r="V60" s="20">
        <f t="shared" si="27"/>
        <v>121.56124422928626</v>
      </c>
      <c r="W60" s="20">
        <f t="shared" si="27"/>
        <v>72.737081189612041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309.07499999999999</v>
      </c>
      <c r="K63" s="12">
        <f t="shared" si="28"/>
        <v>636.50219465625003</v>
      </c>
      <c r="L63" s="12">
        <f t="shared" si="28"/>
        <v>685.19560693593758</v>
      </c>
      <c r="M63" s="12">
        <f t="shared" si="28"/>
        <v>651.70934283914073</v>
      </c>
      <c r="N63" s="12">
        <f t="shared" si="28"/>
        <v>692.04634382218376</v>
      </c>
      <c r="O63" s="12">
        <f t="shared" si="28"/>
        <v>657.44402663107462</v>
      </c>
      <c r="P63" s="12">
        <f t="shared" si="28"/>
        <v>624.57182529952092</v>
      </c>
      <c r="Q63" s="12">
        <f t="shared" si="28"/>
        <v>593.34323403454482</v>
      </c>
      <c r="R63" s="12">
        <f t="shared" si="28"/>
        <v>563.67607233281763</v>
      </c>
      <c r="S63" s="12">
        <f t="shared" si="28"/>
        <v>535.4922687161768</v>
      </c>
      <c r="T63" s="12">
        <f t="shared" si="28"/>
        <v>508.71765528036798</v>
      </c>
      <c r="U63" s="12">
        <f t="shared" si="28"/>
        <v>483.28177251634958</v>
      </c>
      <c r="V63" s="12">
        <f t="shared" si="28"/>
        <v>459.11768389053208</v>
      </c>
      <c r="W63" s="12">
        <f t="shared" si="28"/>
        <v>436.16179969600546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317</v>
      </c>
      <c r="J64" s="12">
        <f t="shared" ref="J64:W64" si="29">-J38</f>
        <v>351.67276375</v>
      </c>
      <c r="K64" s="12">
        <f t="shared" si="29"/>
        <v>82.583099500000003</v>
      </c>
      <c r="L64" s="12">
        <f t="shared" si="29"/>
        <v>0.79335</v>
      </c>
      <c r="M64" s="12">
        <f t="shared" si="29"/>
        <v>74.792275000000004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-7.9250000000000007</v>
      </c>
      <c r="J65" s="12">
        <f t="shared" si="30"/>
        <v>-24.245569093749999</v>
      </c>
      <c r="K65" s="12">
        <f t="shared" si="30"/>
        <v>-33.889687220312503</v>
      </c>
      <c r="L65" s="12">
        <f t="shared" si="30"/>
        <v>-34.279614096796877</v>
      </c>
      <c r="M65" s="12">
        <f t="shared" si="30"/>
        <v>-34.455274016957041</v>
      </c>
      <c r="N65" s="12">
        <f t="shared" si="30"/>
        <v>-34.602317191109186</v>
      </c>
      <c r="O65" s="12">
        <f t="shared" si="30"/>
        <v>-32.872201331553732</v>
      </c>
      <c r="P65" s="12">
        <f t="shared" si="30"/>
        <v>-31.228591264976046</v>
      </c>
      <c r="Q65" s="12">
        <f t="shared" si="30"/>
        <v>-29.667161701727242</v>
      </c>
      <c r="R65" s="12">
        <f t="shared" si="30"/>
        <v>-28.183803616640883</v>
      </c>
      <c r="S65" s="12">
        <f t="shared" si="30"/>
        <v>-26.774613435808842</v>
      </c>
      <c r="T65" s="12">
        <f t="shared" si="30"/>
        <v>-25.435882764018402</v>
      </c>
      <c r="U65" s="12">
        <f t="shared" si="30"/>
        <v>-24.164088625817481</v>
      </c>
      <c r="V65" s="12">
        <f t="shared" si="30"/>
        <v>-22.955884194526604</v>
      </c>
      <c r="W65" s="12">
        <f t="shared" si="30"/>
        <v>-21.808089984800276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309.07499999999999</v>
      </c>
      <c r="J66" s="20">
        <f t="shared" si="31"/>
        <v>636.50219465625003</v>
      </c>
      <c r="K66" s="20">
        <f t="shared" si="31"/>
        <v>685.19560693593758</v>
      </c>
      <c r="L66" s="20">
        <f t="shared" si="31"/>
        <v>651.70934283914073</v>
      </c>
      <c r="M66" s="20">
        <f t="shared" si="31"/>
        <v>692.04634382218376</v>
      </c>
      <c r="N66" s="20">
        <f t="shared" si="31"/>
        <v>657.44402663107462</v>
      </c>
      <c r="O66" s="20">
        <f t="shared" si="31"/>
        <v>624.57182529952092</v>
      </c>
      <c r="P66" s="20">
        <f t="shared" si="31"/>
        <v>593.34323403454482</v>
      </c>
      <c r="Q66" s="20">
        <f t="shared" si="31"/>
        <v>563.67607233281763</v>
      </c>
      <c r="R66" s="20">
        <f t="shared" si="31"/>
        <v>535.4922687161768</v>
      </c>
      <c r="S66" s="20">
        <f t="shared" si="31"/>
        <v>508.71765528036798</v>
      </c>
      <c r="T66" s="20">
        <f t="shared" si="31"/>
        <v>483.28177251634958</v>
      </c>
      <c r="U66" s="20">
        <f t="shared" si="31"/>
        <v>459.11768389053208</v>
      </c>
      <c r="V66" s="20">
        <f t="shared" si="31"/>
        <v>436.16179969600546</v>
      </c>
      <c r="W66" s="20">
        <f t="shared" si="31"/>
        <v>414.35370971120517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2.7731001500000003</v>
      </c>
      <c r="K69" s="12">
        <f t="shared" ref="K69:W69" si="32">J72</f>
        <v>11.035193688646812</v>
      </c>
      <c r="L69" s="12">
        <f t="shared" si="32"/>
        <v>22.009803726112406</v>
      </c>
      <c r="M69" s="12">
        <f t="shared" si="32"/>
        <v>32.237977846989388</v>
      </c>
      <c r="N69" s="12">
        <f t="shared" si="32"/>
        <v>41.698402781266303</v>
      </c>
      <c r="O69" s="12">
        <f t="shared" si="32"/>
        <v>50.43508715708299</v>
      </c>
      <c r="P69" s="12">
        <f t="shared" si="32"/>
        <v>58.037022026221109</v>
      </c>
      <c r="Q69" s="12">
        <f t="shared" si="32"/>
        <v>65.026227930070192</v>
      </c>
      <c r="R69" s="12">
        <f t="shared" si="32"/>
        <v>71.727483539453686</v>
      </c>
      <c r="S69" s="12">
        <f t="shared" si="32"/>
        <v>78.215826291717718</v>
      </c>
      <c r="T69" s="12">
        <f t="shared" si="32"/>
        <v>84.55423206630428</v>
      </c>
      <c r="U69" s="12">
        <f t="shared" si="32"/>
        <v>90.799146245695681</v>
      </c>
      <c r="V69" s="12">
        <f t="shared" si="32"/>
        <v>96.955243409651686</v>
      </c>
      <c r="W69" s="12">
        <f t="shared" si="32"/>
        <v>103.02696440894405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2.4228151500000004</v>
      </c>
      <c r="J70" s="12">
        <f>($F24="Y")*J25*(-J59-J51-J71)</f>
        <v>7.2079536347030624</v>
      </c>
      <c r="K70" s="12">
        <f t="shared" ref="K70:W70" si="33">($F24="Y")*K25*(-K59-K51-K71)</f>
        <v>9.5477828200249686</v>
      </c>
      <c r="L70" s="12">
        <f t="shared" si="33"/>
        <v>8.8590083442526382</v>
      </c>
      <c r="M70" s="12">
        <f t="shared" si="33"/>
        <v>8.1592529363354096</v>
      </c>
      <c r="N70" s="12">
        <f t="shared" si="33"/>
        <v>7.5051592251551345</v>
      </c>
      <c r="O70" s="12">
        <f t="shared" si="33"/>
        <v>6.523351960461266</v>
      </c>
      <c r="P70" s="12">
        <f t="shared" si="33"/>
        <v>6.0559181250576968</v>
      </c>
      <c r="Q70" s="12">
        <f t="shared" si="33"/>
        <v>5.9059982039833008</v>
      </c>
      <c r="R70" s="12">
        <f t="shared" si="33"/>
        <v>5.8242142015854697</v>
      </c>
      <c r="S70" s="12">
        <f t="shared" si="33"/>
        <v>5.7988496358935597</v>
      </c>
      <c r="T70" s="12">
        <f t="shared" si="33"/>
        <v>5.8237018320846756</v>
      </c>
      <c r="U70" s="12">
        <f t="shared" si="33"/>
        <v>5.8473114184662371</v>
      </c>
      <c r="V70" s="12">
        <f t="shared" si="33"/>
        <v>5.8697405255287176</v>
      </c>
      <c r="W70" s="12">
        <f t="shared" si="33"/>
        <v>5.8910481772380772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0.35028500000000007</v>
      </c>
      <c r="J71" s="12">
        <f t="shared" ref="J71:W71" si="34">($F28="Y")*J29*(-J65-J51)</f>
        <v>1.05413990394375</v>
      </c>
      <c r="K71" s="12">
        <f t="shared" si="34"/>
        <v>1.4268272174406251</v>
      </c>
      <c r="L71" s="12">
        <f t="shared" si="34"/>
        <v>1.3691657766243439</v>
      </c>
      <c r="M71" s="12">
        <f t="shared" si="34"/>
        <v>1.3011719979415022</v>
      </c>
      <c r="N71" s="12">
        <f t="shared" si="34"/>
        <v>1.2315251506615517</v>
      </c>
      <c r="O71" s="12">
        <f t="shared" si="34"/>
        <v>1.0785829086768495</v>
      </c>
      <c r="P71" s="12">
        <f t="shared" si="34"/>
        <v>0.93328777879138203</v>
      </c>
      <c r="Q71" s="12">
        <f t="shared" si="34"/>
        <v>0.79525740540018774</v>
      </c>
      <c r="R71" s="12">
        <f t="shared" si="34"/>
        <v>0.6641285506785537</v>
      </c>
      <c r="S71" s="12">
        <f t="shared" si="34"/>
        <v>0.53955613869300112</v>
      </c>
      <c r="T71" s="12">
        <f t="shared" si="34"/>
        <v>0.42121234730672624</v>
      </c>
      <c r="U71" s="12">
        <f t="shared" si="34"/>
        <v>0.30878574548976484</v>
      </c>
      <c r="V71" s="12">
        <f t="shared" si="34"/>
        <v>0.2019804737636513</v>
      </c>
      <c r="W71" s="12">
        <f t="shared" si="34"/>
        <v>0.10051546562384389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2.7731001500000003</v>
      </c>
      <c r="J72" s="20">
        <f>SUM(J69:J71)</f>
        <v>11.035193688646812</v>
      </c>
      <c r="K72" s="20">
        <f t="shared" ref="K72:W72" si="35">SUM(K69:K71)</f>
        <v>22.009803726112406</v>
      </c>
      <c r="L72" s="20">
        <f t="shared" si="35"/>
        <v>32.237977846989388</v>
      </c>
      <c r="M72" s="20">
        <f t="shared" si="35"/>
        <v>41.698402781266303</v>
      </c>
      <c r="N72" s="20">
        <f t="shared" si="35"/>
        <v>50.43508715708299</v>
      </c>
      <c r="O72" s="20">
        <f t="shared" si="35"/>
        <v>58.037022026221109</v>
      </c>
      <c r="P72" s="20">
        <f t="shared" si="35"/>
        <v>65.026227930070192</v>
      </c>
      <c r="Q72" s="20">
        <f t="shared" si="35"/>
        <v>71.727483539453686</v>
      </c>
      <c r="R72" s="20">
        <f t="shared" si="35"/>
        <v>78.215826291717718</v>
      </c>
      <c r="S72" s="20">
        <f t="shared" si="35"/>
        <v>84.55423206630428</v>
      </c>
      <c r="T72" s="20">
        <f t="shared" si="35"/>
        <v>90.799146245695681</v>
      </c>
      <c r="U72" s="20">
        <f t="shared" si="35"/>
        <v>96.955243409651686</v>
      </c>
      <c r="V72" s="20">
        <f t="shared" si="35"/>
        <v>103.02696440894405</v>
      </c>
      <c r="W72" s="20">
        <f t="shared" si="35"/>
        <v>109.01852805180597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1.3865500750000002</v>
      </c>
      <c r="J73" s="20">
        <f>(J69+J72)/2</f>
        <v>6.9041469193234057</v>
      </c>
      <c r="K73" s="20">
        <f t="shared" ref="K73:W73" si="36">(K69+K72)/2</f>
        <v>16.522498707379608</v>
      </c>
      <c r="L73" s="20">
        <f t="shared" si="36"/>
        <v>27.123890786550895</v>
      </c>
      <c r="M73" s="20">
        <f t="shared" si="36"/>
        <v>36.968190314127845</v>
      </c>
      <c r="N73" s="20">
        <f t="shared" si="36"/>
        <v>46.06674496917465</v>
      </c>
      <c r="O73" s="20">
        <f t="shared" si="36"/>
        <v>54.236054591652049</v>
      </c>
      <c r="P73" s="20">
        <f t="shared" si="36"/>
        <v>61.531624978145651</v>
      </c>
      <c r="Q73" s="20">
        <f t="shared" si="36"/>
        <v>68.376855734761932</v>
      </c>
      <c r="R73" s="20">
        <f t="shared" si="36"/>
        <v>74.971654915585702</v>
      </c>
      <c r="S73" s="20">
        <f t="shared" si="36"/>
        <v>81.385029179010999</v>
      </c>
      <c r="T73" s="20">
        <f t="shared" si="36"/>
        <v>87.676689155999981</v>
      </c>
      <c r="U73" s="20">
        <f t="shared" si="36"/>
        <v>93.877194827673691</v>
      </c>
      <c r="V73" s="20">
        <f t="shared" si="36"/>
        <v>99.991103909297863</v>
      </c>
      <c r="W73" s="20">
        <f t="shared" si="36"/>
        <v>106.02274623037502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158.5</v>
      </c>
      <c r="J76" s="12">
        <f t="shared" si="37"/>
        <v>492.83638187500003</v>
      </c>
      <c r="K76" s="12">
        <f t="shared" si="37"/>
        <v>709.96431350000012</v>
      </c>
      <c r="L76" s="12">
        <f t="shared" si="37"/>
        <v>751.65253825000013</v>
      </c>
      <c r="M76" s="12">
        <f t="shared" si="37"/>
        <v>789.4453507500001</v>
      </c>
      <c r="N76" s="12">
        <f t="shared" si="37"/>
        <v>826.84148825000011</v>
      </c>
      <c r="O76" s="12">
        <f t="shared" si="37"/>
        <v>826.84148825000011</v>
      </c>
      <c r="P76" s="12">
        <f t="shared" si="37"/>
        <v>826.84148825000011</v>
      </c>
      <c r="Q76" s="12">
        <f t="shared" si="37"/>
        <v>826.84148825000011</v>
      </c>
      <c r="R76" s="12">
        <f t="shared" si="37"/>
        <v>826.84148825000011</v>
      </c>
      <c r="S76" s="12">
        <f t="shared" si="37"/>
        <v>826.84148825000011</v>
      </c>
      <c r="T76" s="12">
        <f t="shared" si="37"/>
        <v>826.84148825000011</v>
      </c>
      <c r="U76" s="12">
        <f t="shared" si="37"/>
        <v>826.84148825000011</v>
      </c>
      <c r="V76" s="12">
        <f t="shared" si="37"/>
        <v>826.84148825000011</v>
      </c>
      <c r="W76" s="12">
        <f t="shared" si="37"/>
        <v>826.84148825000011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-1.9812500000000002</v>
      </c>
      <c r="J77" s="12">
        <f t="shared" si="38"/>
        <v>-10.122954773437499</v>
      </c>
      <c r="K77" s="12">
        <f t="shared" si="38"/>
        <v>-25.157963465624999</v>
      </c>
      <c r="L77" s="12">
        <f t="shared" si="38"/>
        <v>-43.428174112500002</v>
      </c>
      <c r="M77" s="12">
        <f t="shared" si="38"/>
        <v>-62.691897725000004</v>
      </c>
      <c r="N77" s="12">
        <f t="shared" si="38"/>
        <v>-82.895483212500011</v>
      </c>
      <c r="O77" s="12">
        <f t="shared" si="38"/>
        <v>-103.56652041875</v>
      </c>
      <c r="P77" s="12">
        <f t="shared" si="38"/>
        <v>-124.23755762500002</v>
      </c>
      <c r="Q77" s="12">
        <f t="shared" si="38"/>
        <v>-144.90859483125001</v>
      </c>
      <c r="R77" s="12">
        <f t="shared" si="38"/>
        <v>-165.57963203750003</v>
      </c>
      <c r="S77" s="12">
        <f t="shared" si="38"/>
        <v>-186.25066924375002</v>
      </c>
      <c r="T77" s="12">
        <f t="shared" si="38"/>
        <v>-206.92170645000002</v>
      </c>
      <c r="U77" s="12">
        <f t="shared" si="38"/>
        <v>-227.59274365625001</v>
      </c>
      <c r="V77" s="12">
        <f t="shared" si="38"/>
        <v>-248.2637808625</v>
      </c>
      <c r="W77" s="12">
        <f t="shared" si="38"/>
        <v>-268.93481806875002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-1.3865500750000002</v>
      </c>
      <c r="J79" s="12">
        <f>-J73</f>
        <v>-6.9041469193234057</v>
      </c>
      <c r="K79" s="12">
        <f t="shared" ref="K79:W79" si="40">-K73</f>
        <v>-16.522498707379608</v>
      </c>
      <c r="L79" s="12">
        <f t="shared" si="40"/>
        <v>-27.123890786550895</v>
      </c>
      <c r="M79" s="12">
        <f t="shared" si="40"/>
        <v>-36.968190314127845</v>
      </c>
      <c r="N79" s="12">
        <f t="shared" si="40"/>
        <v>-46.06674496917465</v>
      </c>
      <c r="O79" s="12">
        <f t="shared" si="40"/>
        <v>-54.236054591652049</v>
      </c>
      <c r="P79" s="12">
        <f t="shared" si="40"/>
        <v>-61.531624978145651</v>
      </c>
      <c r="Q79" s="12">
        <f t="shared" si="40"/>
        <v>-68.376855734761932</v>
      </c>
      <c r="R79" s="12">
        <f t="shared" si="40"/>
        <v>-74.971654915585702</v>
      </c>
      <c r="S79" s="12">
        <f t="shared" si="40"/>
        <v>-81.385029179010999</v>
      </c>
      <c r="T79" s="12">
        <f t="shared" si="40"/>
        <v>-87.676689155999981</v>
      </c>
      <c r="U79" s="12">
        <f t="shared" si="40"/>
        <v>-93.877194827673691</v>
      </c>
      <c r="V79" s="12">
        <f t="shared" si="40"/>
        <v>-99.991103909297863</v>
      </c>
      <c r="W79" s="12">
        <f t="shared" si="40"/>
        <v>-106.02274623037502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155.13219992500001</v>
      </c>
      <c r="J80" s="20">
        <f>SUM(J76:J79)</f>
        <v>475.80928018223909</v>
      </c>
      <c r="K80" s="20">
        <f t="shared" ref="K80:W80" si="41">SUM(K76:K79)</f>
        <v>668.28385132699555</v>
      </c>
      <c r="L80" s="20">
        <f t="shared" si="41"/>
        <v>681.1004733509493</v>
      </c>
      <c r="M80" s="20">
        <f t="shared" si="41"/>
        <v>689.7852627108723</v>
      </c>
      <c r="N80" s="20">
        <f t="shared" si="41"/>
        <v>697.87926006832538</v>
      </c>
      <c r="O80" s="20">
        <f t="shared" si="41"/>
        <v>669.03891323959806</v>
      </c>
      <c r="P80" s="20">
        <f t="shared" si="41"/>
        <v>641.07230564685449</v>
      </c>
      <c r="Q80" s="20">
        <f t="shared" si="41"/>
        <v>613.55603768398828</v>
      </c>
      <c r="R80" s="20">
        <f t="shared" si="41"/>
        <v>586.29020129691435</v>
      </c>
      <c r="S80" s="20">
        <f t="shared" si="41"/>
        <v>559.20578982723907</v>
      </c>
      <c r="T80" s="20">
        <f t="shared" si="41"/>
        <v>532.24309264400017</v>
      </c>
      <c r="U80" s="20">
        <f t="shared" si="41"/>
        <v>505.37154976607638</v>
      </c>
      <c r="V80" s="20">
        <f t="shared" si="41"/>
        <v>478.58660347820228</v>
      </c>
      <c r="W80" s="20">
        <f t="shared" si="41"/>
        <v>451.8839239508751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3.9625000000000004</v>
      </c>
      <c r="J83" s="12">
        <f t="shared" si="42"/>
        <v>12.320909546875001</v>
      </c>
      <c r="K83" s="12">
        <f t="shared" si="42"/>
        <v>17.749107837500002</v>
      </c>
      <c r="L83" s="12">
        <f t="shared" si="42"/>
        <v>18.791313456250002</v>
      </c>
      <c r="M83" s="12">
        <f t="shared" si="42"/>
        <v>19.736133768750005</v>
      </c>
      <c r="N83" s="12">
        <f t="shared" si="42"/>
        <v>20.671037206250006</v>
      </c>
      <c r="O83" s="12">
        <f t="shared" si="42"/>
        <v>20.671037206250006</v>
      </c>
      <c r="P83" s="12">
        <f t="shared" si="42"/>
        <v>20.671037206250006</v>
      </c>
      <c r="Q83" s="12">
        <f t="shared" si="42"/>
        <v>20.671037206250006</v>
      </c>
      <c r="R83" s="12">
        <f t="shared" si="42"/>
        <v>20.671037206250006</v>
      </c>
      <c r="S83" s="12">
        <f t="shared" si="42"/>
        <v>20.671037206250006</v>
      </c>
      <c r="T83" s="12">
        <f t="shared" si="42"/>
        <v>20.671037206250006</v>
      </c>
      <c r="U83" s="12">
        <f t="shared" si="42"/>
        <v>20.671037206250006</v>
      </c>
      <c r="V83" s="12">
        <f t="shared" si="42"/>
        <v>20.671037206250006</v>
      </c>
      <c r="W83" s="12">
        <f t="shared" si="42"/>
        <v>20.671037206250006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4.6539659977500003</v>
      </c>
      <c r="J84" s="12">
        <f t="shared" si="44"/>
        <v>14.274278405467172</v>
      </c>
      <c r="K84" s="12">
        <f t="shared" si="44"/>
        <v>20.048515539809866</v>
      </c>
      <c r="L84" s="12">
        <f t="shared" si="44"/>
        <v>20.433014200528479</v>
      </c>
      <c r="M84" s="12">
        <f t="shared" si="44"/>
        <v>20.693557881326168</v>
      </c>
      <c r="N84" s="12">
        <f t="shared" si="44"/>
        <v>20.936377802049762</v>
      </c>
      <c r="O84" s="12">
        <f t="shared" si="44"/>
        <v>20.071167397187942</v>
      </c>
      <c r="P84" s="12">
        <f t="shared" si="44"/>
        <v>19.232169169405633</v>
      </c>
      <c r="Q84" s="12">
        <f t="shared" si="44"/>
        <v>18.406681130519647</v>
      </c>
      <c r="R84" s="12">
        <f t="shared" si="44"/>
        <v>17.588706038907429</v>
      </c>
      <c r="S84" s="12">
        <f t="shared" si="44"/>
        <v>16.776173694817171</v>
      </c>
      <c r="T84" s="12">
        <f t="shared" si="44"/>
        <v>15.967292779320005</v>
      </c>
      <c r="U84" s="12">
        <f t="shared" si="44"/>
        <v>15.16114649298229</v>
      </c>
      <c r="V84" s="12">
        <f t="shared" si="44"/>
        <v>14.357598104346067</v>
      </c>
      <c r="W84" s="12">
        <f t="shared" si="44"/>
        <v>13.556517718526253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8.5322709958750007</v>
      </c>
      <c r="J85" s="12">
        <f t="shared" si="45"/>
        <v>26.16951041002315</v>
      </c>
      <c r="K85" s="12">
        <f t="shared" si="45"/>
        <v>36.755611822984754</v>
      </c>
      <c r="L85" s="12">
        <f t="shared" si="45"/>
        <v>37.460526034302212</v>
      </c>
      <c r="M85" s="12">
        <f t="shared" si="45"/>
        <v>37.938189449097976</v>
      </c>
      <c r="N85" s="12">
        <f t="shared" si="45"/>
        <v>38.383359303757899</v>
      </c>
      <c r="O85" s="12">
        <f t="shared" si="45"/>
        <v>36.797140228177895</v>
      </c>
      <c r="P85" s="12">
        <f t="shared" si="45"/>
        <v>35.258976810576996</v>
      </c>
      <c r="Q85" s="12">
        <f t="shared" si="45"/>
        <v>33.745582072619356</v>
      </c>
      <c r="R85" s="12">
        <f t="shared" si="45"/>
        <v>32.245961071330292</v>
      </c>
      <c r="S85" s="12">
        <f t="shared" si="45"/>
        <v>30.756318440498148</v>
      </c>
      <c r="T85" s="12">
        <f t="shared" si="45"/>
        <v>29.27337009542001</v>
      </c>
      <c r="U85" s="12">
        <f t="shared" si="45"/>
        <v>27.7954352371342</v>
      </c>
      <c r="V85" s="12">
        <f t="shared" si="45"/>
        <v>26.322263191301126</v>
      </c>
      <c r="W85" s="12">
        <f t="shared" si="45"/>
        <v>24.853615817298131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2.2680720368781646</v>
      </c>
      <c r="J86" s="12">
        <f t="shared" ref="J86:W86" si="46">IF($F24="Y",J85*J25/(1-J25),J85*J25/(1-J25)+(J51+J59)*J25)</f>
        <v>6.9564521343099504</v>
      </c>
      <c r="K86" s="12">
        <f t="shared" si="46"/>
        <v>9.7704790921858198</v>
      </c>
      <c r="L86" s="12">
        <f t="shared" si="46"/>
        <v>9.957861350890461</v>
      </c>
      <c r="M86" s="12">
        <f t="shared" si="46"/>
        <v>10.084835170013385</v>
      </c>
      <c r="N86" s="12">
        <f t="shared" si="46"/>
        <v>10.203171460492605</v>
      </c>
      <c r="O86" s="12">
        <f t="shared" si="46"/>
        <v>9.7815182885029834</v>
      </c>
      <c r="P86" s="12">
        <f t="shared" si="46"/>
        <v>9.37263940534325</v>
      </c>
      <c r="Q86" s="12">
        <f t="shared" si="46"/>
        <v>8.9703446015823598</v>
      </c>
      <c r="R86" s="12">
        <f t="shared" si="46"/>
        <v>8.5717111708599507</v>
      </c>
      <c r="S86" s="12">
        <f t="shared" si="46"/>
        <v>8.1757302183602665</v>
      </c>
      <c r="T86" s="12">
        <f t="shared" si="46"/>
        <v>7.7815287595420273</v>
      </c>
      <c r="U86" s="12">
        <f t="shared" si="46"/>
        <v>7.388659999744533</v>
      </c>
      <c r="V86" s="12">
        <f t="shared" si="46"/>
        <v>6.9970573040167539</v>
      </c>
      <c r="W86" s="12">
        <f t="shared" si="46"/>
        <v>6.6066573691551991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1.0473347126978718</v>
      </c>
      <c r="J87" s="12">
        <f t="shared" ref="J87:W87" si="47">IF($F28="Y",(J85+J86)*J29/(1-J29),(J85+J86)*J29/(1-J29)+(J51+J65)*J29)</f>
        <v>3.212302642517602</v>
      </c>
      <c r="K87" s="12">
        <f t="shared" si="47"/>
        <v>4.5117446653149171</v>
      </c>
      <c r="L87" s="12">
        <f t="shared" si="47"/>
        <v>4.598272756528119</v>
      </c>
      <c r="M87" s="12">
        <f t="shared" si="47"/>
        <v>4.6569058538058856</v>
      </c>
      <c r="N87" s="12">
        <f t="shared" si="47"/>
        <v>4.7115503724876531</v>
      </c>
      <c r="O87" s="12">
        <f t="shared" si="47"/>
        <v>4.516842269498234</v>
      </c>
      <c r="P87" s="12">
        <f t="shared" si="47"/>
        <v>4.3280329897842806</v>
      </c>
      <c r="Q87" s="12">
        <f t="shared" si="47"/>
        <v>4.1422640609910397</v>
      </c>
      <c r="R87" s="12">
        <f t="shared" si="47"/>
        <v>3.9581858558683827</v>
      </c>
      <c r="S87" s="12">
        <f t="shared" si="47"/>
        <v>3.7753324939042168</v>
      </c>
      <c r="T87" s="12">
        <f t="shared" si="47"/>
        <v>3.593300854298644</v>
      </c>
      <c r="U87" s="12">
        <f t="shared" si="47"/>
        <v>3.4118846192848622</v>
      </c>
      <c r="V87" s="12">
        <f t="shared" si="47"/>
        <v>3.2310530186332835</v>
      </c>
      <c r="W87" s="12">
        <f t="shared" si="47"/>
        <v>3.0507768206257948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6.34</v>
      </c>
      <c r="K88" s="12">
        <f t="shared" ref="K88:W88" si="48">(K80&gt;0)*(J88*(1+K32)+J44*K31)</f>
        <v>13.500255275000001</v>
      </c>
      <c r="L88" s="12">
        <f t="shared" si="48"/>
        <v>15.421922370500003</v>
      </c>
      <c r="M88" s="12">
        <f t="shared" si="48"/>
        <v>15.746227817910002</v>
      </c>
      <c r="N88" s="12">
        <f t="shared" si="48"/>
        <v>17.556997874268205</v>
      </c>
      <c r="O88" s="12">
        <f t="shared" si="48"/>
        <v>17.908137831753571</v>
      </c>
      <c r="P88" s="12">
        <f t="shared" si="48"/>
        <v>18.266300588388642</v>
      </c>
      <c r="Q88" s="12">
        <f t="shared" si="48"/>
        <v>18.631626600156416</v>
      </c>
      <c r="R88" s="12">
        <f t="shared" si="48"/>
        <v>19.004259132159543</v>
      </c>
      <c r="S88" s="12">
        <f t="shared" si="48"/>
        <v>19.384344314802735</v>
      </c>
      <c r="T88" s="12">
        <f t="shared" si="48"/>
        <v>19.772031201098791</v>
      </c>
      <c r="U88" s="12">
        <f t="shared" si="48"/>
        <v>20.167471825120767</v>
      </c>
      <c r="V88" s="12">
        <f t="shared" si="48"/>
        <v>20.570821261623184</v>
      </c>
      <c r="W88" s="12">
        <f t="shared" si="48"/>
        <v>20.982237686855647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20.464143743201038</v>
      </c>
      <c r="J89" s="20">
        <f t="shared" ref="J89:W89" si="49">SUM(J83:J88)</f>
        <v>69.273453139192867</v>
      </c>
      <c r="K89" s="20">
        <f t="shared" si="49"/>
        <v>102.33571423279537</v>
      </c>
      <c r="L89" s="20">
        <f t="shared" si="49"/>
        <v>106.66291016899926</v>
      </c>
      <c r="M89" s="20">
        <f t="shared" si="49"/>
        <v>108.85584994090341</v>
      </c>
      <c r="N89" s="20">
        <f t="shared" si="49"/>
        <v>112.46249401930613</v>
      </c>
      <c r="O89" s="20">
        <f t="shared" si="49"/>
        <v>109.74584322137062</v>
      </c>
      <c r="P89" s="20">
        <f t="shared" si="49"/>
        <v>107.12915616974881</v>
      </c>
      <c r="Q89" s="20">
        <f t="shared" si="49"/>
        <v>104.56753567211882</v>
      </c>
      <c r="R89" s="20">
        <f t="shared" si="49"/>
        <v>102.03986047537562</v>
      </c>
      <c r="S89" s="20">
        <f t="shared" si="49"/>
        <v>99.538936368632548</v>
      </c>
      <c r="T89" s="20">
        <f t="shared" si="49"/>
        <v>97.058560895929475</v>
      </c>
      <c r="U89" s="20">
        <f t="shared" si="49"/>
        <v>94.595635380516669</v>
      </c>
      <c r="V89" s="20">
        <f t="shared" si="49"/>
        <v>92.149830086170425</v>
      </c>
      <c r="W89" s="20">
        <f t="shared" si="49"/>
        <v>89.720842618711032</v>
      </c>
      <c r="X89" s="51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</row>
    <row r="93" spans="1:24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</row>
    <row r="94" spans="1:24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5"/>
  <sheetViews>
    <sheetView zoomScale="90" zoomScaleNormal="90" workbookViewId="0">
      <selection activeCell="J8" sqref="J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67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2019</v>
      </c>
      <c r="I3" s="5">
        <f>Existing!I3</f>
        <v>2020</v>
      </c>
      <c r="J3" s="5">
        <f>Existing!J3</f>
        <v>2021</v>
      </c>
      <c r="K3" s="5">
        <f>Existing!K3</f>
        <v>2022</v>
      </c>
      <c r="L3" s="5">
        <f>Existing!L3</f>
        <v>2023</v>
      </c>
      <c r="M3" s="5">
        <f>Existing!M3</f>
        <v>2024</v>
      </c>
      <c r="N3" s="5">
        <f>Existing!N3</f>
        <v>2025</v>
      </c>
      <c r="O3" s="5">
        <f>Existing!O3</f>
        <v>2026</v>
      </c>
      <c r="P3" s="5">
        <f>Existing!P3</f>
        <v>2027</v>
      </c>
      <c r="Q3" s="5">
        <f>Existing!Q3</f>
        <v>2028</v>
      </c>
      <c r="R3" s="5">
        <f>Existing!R3</f>
        <v>2029</v>
      </c>
      <c r="S3" s="5">
        <f>Existing!S3</f>
        <v>2030</v>
      </c>
      <c r="T3" s="5">
        <f>Existing!T3</f>
        <v>2031</v>
      </c>
      <c r="U3" s="5">
        <f>Existing!U3</f>
        <v>2032</v>
      </c>
      <c r="V3" s="5">
        <f>Existing!V3</f>
        <v>2033</v>
      </c>
      <c r="W3" s="5">
        <f>Existing!W3</f>
        <v>2034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9">
        <v>0</v>
      </c>
      <c r="I8" s="49">
        <v>0</v>
      </c>
      <c r="J8" s="49">
        <v>89.824941374999995</v>
      </c>
      <c r="K8" s="49">
        <v>118.20231401049996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2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89.824941374999995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89.824941374999995</v>
      </c>
      <c r="K36" s="12">
        <f t="shared" si="10"/>
        <v>118.20231401049996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-208.02725538549996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89.824941374999995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44.912470687499997</v>
      </c>
      <c r="K40" s="20">
        <f t="shared" ref="K40:W40" si="14">(K35+K39)/2</f>
        <v>44.912470687499997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208.02725538549996</v>
      </c>
      <c r="M43" s="12">
        <f t="shared" si="15"/>
        <v>208.02725538549996</v>
      </c>
      <c r="N43" s="12">
        <f t="shared" si="15"/>
        <v>208.02725538549996</v>
      </c>
      <c r="O43" s="12">
        <f t="shared" si="15"/>
        <v>208.02725538549996</v>
      </c>
      <c r="P43" s="12">
        <f t="shared" si="15"/>
        <v>208.02725538549996</v>
      </c>
      <c r="Q43" s="12">
        <f t="shared" si="15"/>
        <v>208.02725538549996</v>
      </c>
      <c r="R43" s="12">
        <f t="shared" si="15"/>
        <v>208.02725538549996</v>
      </c>
      <c r="S43" s="12">
        <f t="shared" si="15"/>
        <v>208.02725538549996</v>
      </c>
      <c r="T43" s="12">
        <f t="shared" si="15"/>
        <v>208.02725538549996</v>
      </c>
      <c r="U43" s="12">
        <f t="shared" si="15"/>
        <v>208.02725538549996</v>
      </c>
      <c r="V43" s="12">
        <f t="shared" si="15"/>
        <v>208.02725538549996</v>
      </c>
      <c r="W43" s="12">
        <f t="shared" si="15"/>
        <v>208.02725538549996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208.02725538549996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208.02725538549996</v>
      </c>
      <c r="L46" s="20">
        <f t="shared" si="18"/>
        <v>208.02725538549996</v>
      </c>
      <c r="M46" s="20">
        <f t="shared" si="18"/>
        <v>208.02725538549996</v>
      </c>
      <c r="N46" s="20">
        <f t="shared" si="18"/>
        <v>208.02725538549996</v>
      </c>
      <c r="O46" s="20">
        <f t="shared" si="18"/>
        <v>208.02725538549996</v>
      </c>
      <c r="P46" s="20">
        <f t="shared" si="18"/>
        <v>208.02725538549996</v>
      </c>
      <c r="Q46" s="20">
        <f t="shared" si="18"/>
        <v>208.02725538549996</v>
      </c>
      <c r="R46" s="20">
        <f t="shared" si="18"/>
        <v>208.02725538549996</v>
      </c>
      <c r="S46" s="20">
        <f t="shared" si="18"/>
        <v>208.02725538549996</v>
      </c>
      <c r="T46" s="20">
        <f t="shared" si="18"/>
        <v>208.02725538549996</v>
      </c>
      <c r="U46" s="20">
        <f t="shared" si="18"/>
        <v>208.02725538549996</v>
      </c>
      <c r="V46" s="20">
        <f t="shared" si="18"/>
        <v>208.02725538549996</v>
      </c>
      <c r="W46" s="20">
        <f t="shared" si="18"/>
        <v>208.02725538549996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104.01362769274998</v>
      </c>
      <c r="L47" s="20">
        <f t="shared" si="19"/>
        <v>208.02725538549996</v>
      </c>
      <c r="M47" s="20">
        <f t="shared" si="19"/>
        <v>208.02725538549996</v>
      </c>
      <c r="N47" s="20">
        <f t="shared" si="19"/>
        <v>208.02725538549996</v>
      </c>
      <c r="O47" s="20">
        <f t="shared" si="19"/>
        <v>208.02725538549996</v>
      </c>
      <c r="P47" s="20">
        <f t="shared" si="19"/>
        <v>208.02725538549996</v>
      </c>
      <c r="Q47" s="20">
        <f t="shared" si="19"/>
        <v>208.02725538549996</v>
      </c>
      <c r="R47" s="20">
        <f t="shared" si="19"/>
        <v>208.02725538549996</v>
      </c>
      <c r="S47" s="20">
        <f t="shared" si="19"/>
        <v>208.02725538549996</v>
      </c>
      <c r="T47" s="20">
        <f t="shared" si="19"/>
        <v>208.02725538549996</v>
      </c>
      <c r="U47" s="20">
        <f t="shared" si="19"/>
        <v>208.02725538549996</v>
      </c>
      <c r="V47" s="20">
        <f t="shared" si="19"/>
        <v>208.02725538549996</v>
      </c>
      <c r="W47" s="20">
        <f t="shared" si="19"/>
        <v>208.02725538549996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2.6003406923187495</v>
      </c>
      <c r="M50" s="12">
        <f t="shared" si="20"/>
        <v>7.8010220769562491</v>
      </c>
      <c r="N50" s="12">
        <f t="shared" si="20"/>
        <v>13.001703461593749</v>
      </c>
      <c r="O50" s="12">
        <f t="shared" si="20"/>
        <v>18.202384846231247</v>
      </c>
      <c r="P50" s="12">
        <f t="shared" si="20"/>
        <v>23.403066230868745</v>
      </c>
      <c r="Q50" s="12">
        <f t="shared" si="20"/>
        <v>28.603747615506244</v>
      </c>
      <c r="R50" s="12">
        <f t="shared" si="20"/>
        <v>33.804429000143742</v>
      </c>
      <c r="S50" s="12">
        <f t="shared" si="20"/>
        <v>39.00511038478124</v>
      </c>
      <c r="T50" s="12">
        <f t="shared" si="20"/>
        <v>44.205791769418738</v>
      </c>
      <c r="U50" s="12">
        <f t="shared" si="20"/>
        <v>49.406473154056236</v>
      </c>
      <c r="V50" s="12">
        <f t="shared" si="20"/>
        <v>54.607154538693734</v>
      </c>
      <c r="W50" s="12">
        <f t="shared" si="20"/>
        <v>59.807835923331233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2.6003406923187495</v>
      </c>
      <c r="L51" s="12">
        <f t="shared" si="21"/>
        <v>5.2006813846374991</v>
      </c>
      <c r="M51" s="12">
        <f t="shared" si="21"/>
        <v>5.2006813846374991</v>
      </c>
      <c r="N51" s="12">
        <f t="shared" si="21"/>
        <v>5.2006813846374991</v>
      </c>
      <c r="O51" s="12">
        <f t="shared" si="21"/>
        <v>5.2006813846374991</v>
      </c>
      <c r="P51" s="12">
        <f t="shared" si="21"/>
        <v>5.2006813846374991</v>
      </c>
      <c r="Q51" s="12">
        <f t="shared" si="21"/>
        <v>5.2006813846374991</v>
      </c>
      <c r="R51" s="12">
        <f t="shared" si="21"/>
        <v>5.2006813846374991</v>
      </c>
      <c r="S51" s="12">
        <f t="shared" si="21"/>
        <v>5.2006813846374991</v>
      </c>
      <c r="T51" s="12">
        <f t="shared" si="21"/>
        <v>5.2006813846374991</v>
      </c>
      <c r="U51" s="12">
        <f t="shared" si="21"/>
        <v>5.2006813846374991</v>
      </c>
      <c r="V51" s="12">
        <f t="shared" si="21"/>
        <v>5.2006813846374991</v>
      </c>
      <c r="W51" s="12">
        <f t="shared" si="21"/>
        <v>5.2006813846374991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2.6003406923187495</v>
      </c>
      <c r="L53" s="20">
        <f t="shared" si="23"/>
        <v>7.8010220769562491</v>
      </c>
      <c r="M53" s="20">
        <f t="shared" si="23"/>
        <v>13.001703461593749</v>
      </c>
      <c r="N53" s="20">
        <f t="shared" si="23"/>
        <v>18.202384846231247</v>
      </c>
      <c r="O53" s="20">
        <f t="shared" si="23"/>
        <v>23.403066230868745</v>
      </c>
      <c r="P53" s="20">
        <f t="shared" si="23"/>
        <v>28.603747615506244</v>
      </c>
      <c r="Q53" s="20">
        <f t="shared" si="23"/>
        <v>33.804429000143742</v>
      </c>
      <c r="R53" s="20">
        <f t="shared" si="23"/>
        <v>39.00511038478124</v>
      </c>
      <c r="S53" s="20">
        <f t="shared" si="23"/>
        <v>44.205791769418738</v>
      </c>
      <c r="T53" s="20">
        <f t="shared" si="23"/>
        <v>49.406473154056236</v>
      </c>
      <c r="U53" s="20">
        <f t="shared" si="23"/>
        <v>54.607154538693734</v>
      </c>
      <c r="V53" s="20">
        <f t="shared" si="23"/>
        <v>59.807835923331233</v>
      </c>
      <c r="W53" s="20">
        <f t="shared" si="23"/>
        <v>65.008517307968731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1.3001703461593748</v>
      </c>
      <c r="L54" s="20">
        <f t="shared" si="24"/>
        <v>5.2006813846374991</v>
      </c>
      <c r="M54" s="20">
        <f t="shared" si="24"/>
        <v>10.401362769275</v>
      </c>
      <c r="N54" s="20">
        <f t="shared" si="24"/>
        <v>15.602044153912498</v>
      </c>
      <c r="O54" s="20">
        <f t="shared" si="24"/>
        <v>20.802725538549996</v>
      </c>
      <c r="P54" s="20">
        <f t="shared" si="24"/>
        <v>26.003406923187494</v>
      </c>
      <c r="Q54" s="20">
        <f t="shared" si="24"/>
        <v>31.204088307824993</v>
      </c>
      <c r="R54" s="20">
        <f t="shared" si="24"/>
        <v>36.404769692462494</v>
      </c>
      <c r="S54" s="20">
        <f t="shared" si="24"/>
        <v>41.605451077099985</v>
      </c>
      <c r="T54" s="20">
        <f t="shared" si="24"/>
        <v>46.806132461737491</v>
      </c>
      <c r="U54" s="20">
        <f t="shared" si="24"/>
        <v>52.006813846374982</v>
      </c>
      <c r="V54" s="20">
        <f t="shared" si="24"/>
        <v>57.207495231012487</v>
      </c>
      <c r="W54" s="20">
        <f t="shared" si="24"/>
        <v>62.408176615649978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197.62589261622495</v>
      </c>
      <c r="M57" s="12">
        <f t="shared" si="25"/>
        <v>177.86330335460246</v>
      </c>
      <c r="N57" s="12">
        <f t="shared" si="25"/>
        <v>160.0769730191422</v>
      </c>
      <c r="O57" s="12">
        <f t="shared" si="25"/>
        <v>144.06927571722798</v>
      </c>
      <c r="P57" s="12">
        <f t="shared" si="25"/>
        <v>129.66234814550518</v>
      </c>
      <c r="Q57" s="12">
        <f t="shared" si="25"/>
        <v>116.69611333095466</v>
      </c>
      <c r="R57" s="12">
        <f t="shared" si="25"/>
        <v>104.41231192769627</v>
      </c>
      <c r="S57" s="12">
        <f t="shared" si="25"/>
        <v>92.128510524437885</v>
      </c>
      <c r="T57" s="12">
        <f t="shared" si="25"/>
        <v>79.844709121179505</v>
      </c>
      <c r="U57" s="12">
        <f t="shared" si="25"/>
        <v>67.560907717921125</v>
      </c>
      <c r="V57" s="12">
        <f t="shared" si="25"/>
        <v>55.277106314662738</v>
      </c>
      <c r="W57" s="12">
        <f t="shared" si="25"/>
        <v>42.993304911404351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208.02725538549996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-10.401362769274998</v>
      </c>
      <c r="L59" s="12">
        <f>-I23*L58-J23*K58-K23*J58-L23*I58-H58*M23</f>
        <v>-19.762589261622495</v>
      </c>
      <c r="M59" s="12">
        <f>-I23*M58-J23*L58-K23*K58-L23*J58-M23*I58-H58*N23</f>
        <v>-17.786330335460249</v>
      </c>
      <c r="N59" s="12">
        <f>-I23*N58-J23*M58-K23*L58-L23*K58-M23*J58-N23*I58-H58*O23</f>
        <v>-16.007697301914224</v>
      </c>
      <c r="O59" s="12">
        <f>-I23*O58-J23*N58-K23*M58-L23*L58-M23*K58-N23*J58-O23*I58-H58*P23</f>
        <v>-14.406927571722798</v>
      </c>
      <c r="P59" s="12">
        <f>-I23*P58-J23*O58-K23*N58-L23*M58-M23*L58-N23*K58-O23*J58-P23*I58-H58*Q23</f>
        <v>-12.96623481455052</v>
      </c>
      <c r="Q59" s="12">
        <f>-I23*Q58-J23*P58-K23*O58-L23*N58-M23*M58-N23*L58-O23*K58-P23*J58-Q23*I58-H58*R23</f>
        <v>-12.283801403258387</v>
      </c>
      <c r="R59" s="12">
        <f>-I23*R58-J23*Q58-K23*P58-L23*O58-M23*N58-N23*M58-O23*L58-P23*K58-Q23*J58-R23*I58-H58*S23</f>
        <v>-12.283801403258384</v>
      </c>
      <c r="S59" s="12">
        <f>-I23*S58-J23*R58-K23*Q58-L23*P58-M23*O58-N23*N58-O23*M58-P23*L58-Q23*K58-R23*J58-S23*I58-H58*T23</f>
        <v>-12.283801403258387</v>
      </c>
      <c r="T59" s="12">
        <f>-I23*T58-J23*S58-K23*R58-L23*Q58-M23*P58-N23*O58-O23*N58-P23*M58-Q23*L58-R23*K58-S23*J58-T23*I58-H58*U23</f>
        <v>-12.283801403258385</v>
      </c>
      <c r="U59" s="12">
        <f>-I23*U58-J23*T58-K23*S58-L23*R58-M23*Q58-N23*P58-O23*O58-P23*N58-Q23*M58-R23*L58-S23*K58-T23*J58-U23*I58-H58*V23</f>
        <v>-12.283801403258385</v>
      </c>
      <c r="V59" s="12">
        <f>-I23*V58-J23*U58-K23*T58-L23*S58-M23*R58-N23*Q58-O23*P58-P23*O58-Q23*N58-R23*M58-S23*L58-T23*K58-U23*J58-V23*I58-H58*W23</f>
        <v>-12.283801403258384</v>
      </c>
      <c r="W59" s="12">
        <f>-I23*W58-J23*V58-K23*U58-L23*T58-M23*S58-N23*R58-O23*Q58-P23*P58-Q23*O58-R23*N58-S23*M58-T23*L58-U23*K58-V23*J58-W23*I58-H58*X23</f>
        <v>-12.28380140325838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197.62589261622495</v>
      </c>
      <c r="L60" s="20">
        <f t="shared" si="27"/>
        <v>177.86330335460246</v>
      </c>
      <c r="M60" s="20">
        <f t="shared" si="27"/>
        <v>160.0769730191422</v>
      </c>
      <c r="N60" s="20">
        <f t="shared" si="27"/>
        <v>144.06927571722798</v>
      </c>
      <c r="O60" s="20">
        <f t="shared" si="27"/>
        <v>129.66234814550518</v>
      </c>
      <c r="P60" s="20">
        <f t="shared" si="27"/>
        <v>116.69611333095466</v>
      </c>
      <c r="Q60" s="20">
        <f t="shared" si="27"/>
        <v>104.41231192769627</v>
      </c>
      <c r="R60" s="20">
        <f t="shared" si="27"/>
        <v>92.128510524437885</v>
      </c>
      <c r="S60" s="20">
        <f t="shared" si="27"/>
        <v>79.844709121179505</v>
      </c>
      <c r="T60" s="20">
        <f t="shared" si="27"/>
        <v>67.560907717921125</v>
      </c>
      <c r="U60" s="20">
        <f t="shared" si="27"/>
        <v>55.277106314662738</v>
      </c>
      <c r="V60" s="20">
        <f t="shared" si="27"/>
        <v>42.993304911404351</v>
      </c>
      <c r="W60" s="20">
        <f t="shared" si="27"/>
        <v>30.709503508145971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202.82657400086245</v>
      </c>
      <c r="M63" s="12">
        <f t="shared" si="28"/>
        <v>192.68524530081933</v>
      </c>
      <c r="N63" s="12">
        <f t="shared" si="28"/>
        <v>183.05098303577836</v>
      </c>
      <c r="O63" s="12">
        <f t="shared" si="28"/>
        <v>173.89843388398944</v>
      </c>
      <c r="P63" s="12">
        <f t="shared" si="28"/>
        <v>165.20351218978996</v>
      </c>
      <c r="Q63" s="12">
        <f t="shared" si="28"/>
        <v>156.94333658030047</v>
      </c>
      <c r="R63" s="12">
        <f t="shared" si="28"/>
        <v>149.09616975128546</v>
      </c>
      <c r="S63" s="12">
        <f t="shared" si="28"/>
        <v>141.64136126372119</v>
      </c>
      <c r="T63" s="12">
        <f t="shared" si="28"/>
        <v>134.55929320053514</v>
      </c>
      <c r="U63" s="12">
        <f t="shared" si="28"/>
        <v>127.83132854050838</v>
      </c>
      <c r="V63" s="12">
        <f t="shared" si="28"/>
        <v>121.43976211348296</v>
      </c>
      <c r="W63" s="12">
        <f t="shared" si="28"/>
        <v>115.3677740078088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208.02725538549996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-5.2006813846374991</v>
      </c>
      <c r="L65" s="12">
        <f t="shared" si="30"/>
        <v>-10.141328700043124</v>
      </c>
      <c r="M65" s="12">
        <f t="shared" si="30"/>
        <v>-9.6342622650409666</v>
      </c>
      <c r="N65" s="12">
        <f t="shared" si="30"/>
        <v>-9.1525491517889179</v>
      </c>
      <c r="O65" s="12">
        <f t="shared" si="30"/>
        <v>-8.694921694199472</v>
      </c>
      <c r="P65" s="12">
        <f t="shared" si="30"/>
        <v>-8.2601756094894991</v>
      </c>
      <c r="Q65" s="12">
        <f t="shared" si="30"/>
        <v>-7.8471668290150234</v>
      </c>
      <c r="R65" s="12">
        <f t="shared" si="30"/>
        <v>-7.4548084875642733</v>
      </c>
      <c r="S65" s="12">
        <f t="shared" si="30"/>
        <v>-7.0820680631860604</v>
      </c>
      <c r="T65" s="12">
        <f t="shared" si="30"/>
        <v>-6.7279646600267569</v>
      </c>
      <c r="U65" s="12">
        <f t="shared" si="30"/>
        <v>-6.3915664270254196</v>
      </c>
      <c r="V65" s="12">
        <f t="shared" si="30"/>
        <v>-6.0719881056741478</v>
      </c>
      <c r="W65" s="12">
        <f t="shared" si="30"/>
        <v>-5.7683887003904406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202.82657400086245</v>
      </c>
      <c r="L66" s="20">
        <f t="shared" si="31"/>
        <v>192.68524530081933</v>
      </c>
      <c r="M66" s="20">
        <f t="shared" si="31"/>
        <v>183.05098303577836</v>
      </c>
      <c r="N66" s="20">
        <f t="shared" si="31"/>
        <v>173.89843388398944</v>
      </c>
      <c r="O66" s="20">
        <f t="shared" si="31"/>
        <v>165.20351218978996</v>
      </c>
      <c r="P66" s="20">
        <f t="shared" si="31"/>
        <v>156.94333658030047</v>
      </c>
      <c r="Q66" s="20">
        <f t="shared" si="31"/>
        <v>149.09616975128546</v>
      </c>
      <c r="R66" s="20">
        <f t="shared" si="31"/>
        <v>141.64136126372119</v>
      </c>
      <c r="S66" s="20">
        <f t="shared" si="31"/>
        <v>134.55929320053514</v>
      </c>
      <c r="T66" s="20">
        <f t="shared" si="31"/>
        <v>127.83132854050838</v>
      </c>
      <c r="U66" s="20">
        <f t="shared" si="31"/>
        <v>121.43976211348296</v>
      </c>
      <c r="V66" s="20">
        <f t="shared" si="31"/>
        <v>115.3677740078088</v>
      </c>
      <c r="W66" s="20">
        <f t="shared" si="31"/>
        <v>109.59938530741836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1.8198120287495843</v>
      </c>
      <c r="M69" s="12">
        <f t="shared" si="32"/>
        <v>5.2228477288351014</v>
      </c>
      <c r="N69" s="12">
        <f t="shared" si="32"/>
        <v>8.1754575628717348</v>
      </c>
      <c r="O69" s="12">
        <f t="shared" si="32"/>
        <v>10.720913542886633</v>
      </c>
      <c r="P69" s="12">
        <f t="shared" si="32"/>
        <v>12.898249008433115</v>
      </c>
      <c r="Q69" s="12">
        <f t="shared" si="32"/>
        <v>14.742678067401613</v>
      </c>
      <c r="R69" s="12">
        <f t="shared" si="32"/>
        <v>16.414953228805548</v>
      </c>
      <c r="S69" s="12">
        <f t="shared" si="32"/>
        <v>18.059827653075928</v>
      </c>
      <c r="T69" s="12">
        <f t="shared" si="32"/>
        <v>19.678671377069431</v>
      </c>
      <c r="U69" s="12">
        <f t="shared" si="32"/>
        <v>21.272785935799902</v>
      </c>
      <c r="V69" s="12">
        <f t="shared" si="32"/>
        <v>22.843407787530492</v>
      </c>
      <c r="W69" s="12">
        <f t="shared" si="32"/>
        <v>24.391711567611193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1.5899419115486069</v>
      </c>
      <c r="L70" s="12">
        <f t="shared" si="33"/>
        <v>2.9662824774036594</v>
      </c>
      <c r="M70" s="12">
        <f t="shared" si="33"/>
        <v>2.5606812842089677</v>
      </c>
      <c r="N70" s="12">
        <f t="shared" si="33"/>
        <v>2.196110869398713</v>
      </c>
      <c r="O70" s="12">
        <f t="shared" si="33"/>
        <v>1.8684446221812043</v>
      </c>
      <c r="P70" s="12">
        <f t="shared" si="33"/>
        <v>1.5739697694915817</v>
      </c>
      <c r="Q70" s="12">
        <f t="shared" si="33"/>
        <v>1.4383258481209622</v>
      </c>
      <c r="R70" s="12">
        <f t="shared" si="33"/>
        <v>1.4456095883716531</v>
      </c>
      <c r="S70" s="12">
        <f t="shared" si="33"/>
        <v>1.4525291416098109</v>
      </c>
      <c r="T70" s="12">
        <f t="shared" si="33"/>
        <v>1.4591027171860598</v>
      </c>
      <c r="U70" s="12">
        <f t="shared" si="33"/>
        <v>1.4653476139834967</v>
      </c>
      <c r="V70" s="12">
        <f t="shared" si="33"/>
        <v>1.4712802659410613</v>
      </c>
      <c r="W70" s="12">
        <f t="shared" si="33"/>
        <v>1.4769162853007474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0.22987011720097747</v>
      </c>
      <c r="L71" s="12">
        <f t="shared" si="34"/>
        <v>0.43675322268185723</v>
      </c>
      <c r="M71" s="12">
        <f t="shared" si="34"/>
        <v>0.39192854982766656</v>
      </c>
      <c r="N71" s="12">
        <f t="shared" si="34"/>
        <v>0.34934511061618545</v>
      </c>
      <c r="O71" s="12">
        <f t="shared" si="34"/>
        <v>0.30889084336527844</v>
      </c>
      <c r="P71" s="12">
        <f t="shared" si="34"/>
        <v>0.27045928947691683</v>
      </c>
      <c r="Q71" s="12">
        <f t="shared" si="34"/>
        <v>0.23394931328297316</v>
      </c>
      <c r="R71" s="12">
        <f t="shared" si="34"/>
        <v>0.19926483589872684</v>
      </c>
      <c r="S71" s="12">
        <f t="shared" si="34"/>
        <v>0.16631458238369284</v>
      </c>
      <c r="T71" s="12">
        <f t="shared" si="34"/>
        <v>0.1350118415444104</v>
      </c>
      <c r="U71" s="12">
        <f t="shared" si="34"/>
        <v>0.10527423774709217</v>
      </c>
      <c r="V71" s="12">
        <f t="shared" si="34"/>
        <v>7.7023514139639759E-2</v>
      </c>
      <c r="W71" s="12">
        <f t="shared" si="34"/>
        <v>5.0185326712560034E-2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1.8198120287495843</v>
      </c>
      <c r="L72" s="20">
        <f t="shared" si="35"/>
        <v>5.2228477288351014</v>
      </c>
      <c r="M72" s="20">
        <f t="shared" si="35"/>
        <v>8.1754575628717348</v>
      </c>
      <c r="N72" s="20">
        <f t="shared" si="35"/>
        <v>10.720913542886633</v>
      </c>
      <c r="O72" s="20">
        <f t="shared" si="35"/>
        <v>12.898249008433115</v>
      </c>
      <c r="P72" s="20">
        <f t="shared" si="35"/>
        <v>14.742678067401613</v>
      </c>
      <c r="Q72" s="20">
        <f t="shared" si="35"/>
        <v>16.414953228805548</v>
      </c>
      <c r="R72" s="20">
        <f t="shared" si="35"/>
        <v>18.059827653075928</v>
      </c>
      <c r="S72" s="20">
        <f t="shared" si="35"/>
        <v>19.678671377069431</v>
      </c>
      <c r="T72" s="20">
        <f t="shared" si="35"/>
        <v>21.272785935799902</v>
      </c>
      <c r="U72" s="20">
        <f t="shared" si="35"/>
        <v>22.843407787530492</v>
      </c>
      <c r="V72" s="20">
        <f t="shared" si="35"/>
        <v>24.391711567611193</v>
      </c>
      <c r="W72" s="20">
        <f t="shared" si="35"/>
        <v>25.918813179624497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0.90990601437479213</v>
      </c>
      <c r="L73" s="20">
        <f t="shared" si="36"/>
        <v>3.5213298787923426</v>
      </c>
      <c r="M73" s="20">
        <f t="shared" si="36"/>
        <v>6.6991526458534185</v>
      </c>
      <c r="N73" s="20">
        <f t="shared" si="36"/>
        <v>9.4481855528791847</v>
      </c>
      <c r="O73" s="20">
        <f t="shared" si="36"/>
        <v>11.809581275659873</v>
      </c>
      <c r="P73" s="20">
        <f t="shared" si="36"/>
        <v>13.820463537917364</v>
      </c>
      <c r="Q73" s="20">
        <f t="shared" si="36"/>
        <v>15.57881564810358</v>
      </c>
      <c r="R73" s="20">
        <f t="shared" si="36"/>
        <v>17.237390440940736</v>
      </c>
      <c r="S73" s="20">
        <f t="shared" si="36"/>
        <v>18.869249515072681</v>
      </c>
      <c r="T73" s="20">
        <f t="shared" si="36"/>
        <v>20.475728656434669</v>
      </c>
      <c r="U73" s="20">
        <f t="shared" si="36"/>
        <v>22.058096861665199</v>
      </c>
      <c r="V73" s="20">
        <f t="shared" si="36"/>
        <v>23.617559677570842</v>
      </c>
      <c r="W73" s="20">
        <f t="shared" si="36"/>
        <v>25.155262373617845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104.01362769274998</v>
      </c>
      <c r="L76" s="12">
        <f t="shared" si="37"/>
        <v>208.02725538549996</v>
      </c>
      <c r="M76" s="12">
        <f t="shared" si="37"/>
        <v>208.02725538549996</v>
      </c>
      <c r="N76" s="12">
        <f t="shared" si="37"/>
        <v>208.02725538549996</v>
      </c>
      <c r="O76" s="12">
        <f t="shared" si="37"/>
        <v>208.02725538549996</v>
      </c>
      <c r="P76" s="12">
        <f t="shared" si="37"/>
        <v>208.02725538549996</v>
      </c>
      <c r="Q76" s="12">
        <f t="shared" si="37"/>
        <v>208.02725538549996</v>
      </c>
      <c r="R76" s="12">
        <f t="shared" si="37"/>
        <v>208.02725538549996</v>
      </c>
      <c r="S76" s="12">
        <f t="shared" si="37"/>
        <v>208.02725538549996</v>
      </c>
      <c r="T76" s="12">
        <f t="shared" si="37"/>
        <v>208.02725538549996</v>
      </c>
      <c r="U76" s="12">
        <f t="shared" si="37"/>
        <v>208.02725538549996</v>
      </c>
      <c r="V76" s="12">
        <f t="shared" si="37"/>
        <v>208.02725538549996</v>
      </c>
      <c r="W76" s="12">
        <f t="shared" si="37"/>
        <v>208.02725538549996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-1.3001703461593748</v>
      </c>
      <c r="L77" s="12">
        <f t="shared" si="38"/>
        <v>-5.2006813846374991</v>
      </c>
      <c r="M77" s="12">
        <f t="shared" si="38"/>
        <v>-10.401362769275</v>
      </c>
      <c r="N77" s="12">
        <f t="shared" si="38"/>
        <v>-15.602044153912498</v>
      </c>
      <c r="O77" s="12">
        <f t="shared" si="38"/>
        <v>-20.802725538549996</v>
      </c>
      <c r="P77" s="12">
        <f t="shared" si="38"/>
        <v>-26.003406923187494</v>
      </c>
      <c r="Q77" s="12">
        <f t="shared" si="38"/>
        <v>-31.204088307824993</v>
      </c>
      <c r="R77" s="12">
        <f t="shared" si="38"/>
        <v>-36.404769692462494</v>
      </c>
      <c r="S77" s="12">
        <f t="shared" si="38"/>
        <v>-41.605451077099985</v>
      </c>
      <c r="T77" s="12">
        <f t="shared" si="38"/>
        <v>-46.806132461737491</v>
      </c>
      <c r="U77" s="12">
        <f t="shared" si="38"/>
        <v>-52.006813846374982</v>
      </c>
      <c r="V77" s="12">
        <f t="shared" si="38"/>
        <v>-57.207495231012487</v>
      </c>
      <c r="W77" s="12">
        <f t="shared" si="38"/>
        <v>-62.408176615649978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44.912470687499997</v>
      </c>
      <c r="K78" s="12">
        <f t="shared" si="39"/>
        <v>44.912470687499997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-0.90990601437479213</v>
      </c>
      <c r="L79" s="12">
        <f t="shared" si="40"/>
        <v>-3.5213298787923426</v>
      </c>
      <c r="M79" s="12">
        <f t="shared" si="40"/>
        <v>-6.6991526458534185</v>
      </c>
      <c r="N79" s="12">
        <f t="shared" si="40"/>
        <v>-9.4481855528791847</v>
      </c>
      <c r="O79" s="12">
        <f t="shared" si="40"/>
        <v>-11.809581275659873</v>
      </c>
      <c r="P79" s="12">
        <f t="shared" si="40"/>
        <v>-13.820463537917364</v>
      </c>
      <c r="Q79" s="12">
        <f t="shared" si="40"/>
        <v>-15.57881564810358</v>
      </c>
      <c r="R79" s="12">
        <f t="shared" si="40"/>
        <v>-17.237390440940736</v>
      </c>
      <c r="S79" s="12">
        <f t="shared" si="40"/>
        <v>-18.869249515072681</v>
      </c>
      <c r="T79" s="12">
        <f t="shared" si="40"/>
        <v>-20.475728656434669</v>
      </c>
      <c r="U79" s="12">
        <f t="shared" si="40"/>
        <v>-22.058096861665199</v>
      </c>
      <c r="V79" s="12">
        <f t="shared" si="40"/>
        <v>-23.617559677570842</v>
      </c>
      <c r="W79" s="12">
        <f t="shared" si="40"/>
        <v>-25.155262373617845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44.912470687499997</v>
      </c>
      <c r="K80" s="20">
        <f t="shared" ref="K80:W80" si="41">SUM(K76:K79)</f>
        <v>146.71602201971581</v>
      </c>
      <c r="L80" s="20">
        <f t="shared" si="41"/>
        <v>199.30524412207012</v>
      </c>
      <c r="M80" s="20">
        <f t="shared" si="41"/>
        <v>190.92673997037153</v>
      </c>
      <c r="N80" s="20">
        <f t="shared" si="41"/>
        <v>182.97702567870829</v>
      </c>
      <c r="O80" s="20">
        <f t="shared" si="41"/>
        <v>175.4149485712901</v>
      </c>
      <c r="P80" s="20">
        <f t="shared" si="41"/>
        <v>168.2033849243951</v>
      </c>
      <c r="Q80" s="20">
        <f t="shared" si="41"/>
        <v>161.24435142957137</v>
      </c>
      <c r="R80" s="20">
        <f t="shared" si="41"/>
        <v>154.3850952520967</v>
      </c>
      <c r="S80" s="20">
        <f t="shared" si="41"/>
        <v>147.55255479332729</v>
      </c>
      <c r="T80" s="20">
        <f t="shared" si="41"/>
        <v>140.74539426732781</v>
      </c>
      <c r="U80" s="20">
        <f t="shared" si="41"/>
        <v>133.96234467745978</v>
      </c>
      <c r="V80" s="20">
        <f t="shared" si="41"/>
        <v>127.20220047691664</v>
      </c>
      <c r="W80" s="20">
        <f t="shared" si="41"/>
        <v>120.46381639623213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2.6003406923187495</v>
      </c>
      <c r="L83" s="12">
        <f t="shared" si="42"/>
        <v>5.2006813846374991</v>
      </c>
      <c r="M83" s="12">
        <f t="shared" si="42"/>
        <v>5.2006813846374991</v>
      </c>
      <c r="N83" s="12">
        <f t="shared" si="42"/>
        <v>5.2006813846374991</v>
      </c>
      <c r="O83" s="12">
        <f t="shared" si="42"/>
        <v>5.2006813846374991</v>
      </c>
      <c r="P83" s="12">
        <f t="shared" si="42"/>
        <v>5.2006813846374991</v>
      </c>
      <c r="Q83" s="12">
        <f t="shared" si="42"/>
        <v>5.2006813846374991</v>
      </c>
      <c r="R83" s="12">
        <f t="shared" si="42"/>
        <v>5.2006813846374991</v>
      </c>
      <c r="S83" s="12">
        <f t="shared" si="42"/>
        <v>5.2006813846374991</v>
      </c>
      <c r="T83" s="12">
        <f t="shared" si="42"/>
        <v>5.2006813846374991</v>
      </c>
      <c r="U83" s="12">
        <f t="shared" si="42"/>
        <v>5.2006813846374991</v>
      </c>
      <c r="V83" s="12">
        <f t="shared" si="42"/>
        <v>5.2006813846374991</v>
      </c>
      <c r="W83" s="12">
        <f t="shared" si="42"/>
        <v>5.2006813846374991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1.3473741206249998</v>
      </c>
      <c r="K84" s="12">
        <f t="shared" si="44"/>
        <v>4.4014806605914742</v>
      </c>
      <c r="L84" s="12">
        <f t="shared" si="44"/>
        <v>5.9791573236621032</v>
      </c>
      <c r="M84" s="12">
        <f t="shared" si="44"/>
        <v>5.7278021991111459</v>
      </c>
      <c r="N84" s="12">
        <f t="shared" si="44"/>
        <v>5.4893107703612483</v>
      </c>
      <c r="O84" s="12">
        <f t="shared" si="44"/>
        <v>5.2624484571387029</v>
      </c>
      <c r="P84" s="12">
        <f t="shared" si="44"/>
        <v>5.0461015477318529</v>
      </c>
      <c r="Q84" s="12">
        <f t="shared" si="44"/>
        <v>4.8373305428871411</v>
      </c>
      <c r="R84" s="12">
        <f t="shared" si="44"/>
        <v>4.6315528575629008</v>
      </c>
      <c r="S84" s="12">
        <f t="shared" si="44"/>
        <v>4.4265766437998186</v>
      </c>
      <c r="T84" s="12">
        <f t="shared" si="44"/>
        <v>4.2223618280198343</v>
      </c>
      <c r="U84" s="12">
        <f t="shared" si="44"/>
        <v>4.0188703403237938</v>
      </c>
      <c r="V84" s="12">
        <f t="shared" si="44"/>
        <v>3.8160660143074994</v>
      </c>
      <c r="W84" s="12">
        <f t="shared" si="44"/>
        <v>3.6139144918869639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2.4701858878124998</v>
      </c>
      <c r="K85" s="12">
        <f t="shared" si="45"/>
        <v>8.0693812110843695</v>
      </c>
      <c r="L85" s="12">
        <f t="shared" si="45"/>
        <v>10.961788426713857</v>
      </c>
      <c r="M85" s="12">
        <f t="shared" si="45"/>
        <v>10.500970698370434</v>
      </c>
      <c r="N85" s="12">
        <f t="shared" si="45"/>
        <v>10.063736412328955</v>
      </c>
      <c r="O85" s="12">
        <f t="shared" si="45"/>
        <v>9.6478221714209553</v>
      </c>
      <c r="P85" s="12">
        <f t="shared" si="45"/>
        <v>9.2511861708417307</v>
      </c>
      <c r="Q85" s="12">
        <f t="shared" si="45"/>
        <v>8.868439328626426</v>
      </c>
      <c r="R85" s="12">
        <f t="shared" si="45"/>
        <v>8.4911802388653186</v>
      </c>
      <c r="S85" s="12">
        <f t="shared" si="45"/>
        <v>8.1153905136330007</v>
      </c>
      <c r="T85" s="12">
        <f t="shared" si="45"/>
        <v>7.7409966847030294</v>
      </c>
      <c r="U85" s="12">
        <f t="shared" si="45"/>
        <v>7.367928957260288</v>
      </c>
      <c r="V85" s="12">
        <f t="shared" si="45"/>
        <v>6.9961210262304157</v>
      </c>
      <c r="W85" s="12">
        <f t="shared" si="45"/>
        <v>6.6255099017927677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0.65663169169699354</v>
      </c>
      <c r="K86" s="12">
        <f t="shared" si="46"/>
        <v>2.145025385224959</v>
      </c>
      <c r="L86" s="12">
        <f t="shared" si="46"/>
        <v>2.9138931260884937</v>
      </c>
      <c r="M86" s="12">
        <f t="shared" si="46"/>
        <v>2.7913972742503681</v>
      </c>
      <c r="N86" s="12">
        <f t="shared" si="46"/>
        <v>2.6751704387203548</v>
      </c>
      <c r="O86" s="12">
        <f t="shared" si="46"/>
        <v>2.5646109569600002</v>
      </c>
      <c r="P86" s="12">
        <f t="shared" si="46"/>
        <v>2.4591760707300803</v>
      </c>
      <c r="Q86" s="12">
        <f t="shared" si="46"/>
        <v>2.3574332392551258</v>
      </c>
      <c r="R86" s="12">
        <f t="shared" si="46"/>
        <v>2.2571491774198948</v>
      </c>
      <c r="S86" s="12">
        <f t="shared" si="46"/>
        <v>2.1572557061556075</v>
      </c>
      <c r="T86" s="12">
        <f t="shared" si="46"/>
        <v>2.0577332959337165</v>
      </c>
      <c r="U86" s="12">
        <f t="shared" si="46"/>
        <v>1.9585633937021016</v>
      </c>
      <c r="V86" s="12">
        <f t="shared" si="46"/>
        <v>1.8597283740612496</v>
      </c>
      <c r="W86" s="12">
        <f t="shared" si="46"/>
        <v>1.7612114928816216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0.30321486839473372</v>
      </c>
      <c r="K87" s="12">
        <f t="shared" si="47"/>
        <v>0.9905150758158674</v>
      </c>
      <c r="L87" s="12">
        <f t="shared" si="47"/>
        <v>1.3455575353968057</v>
      </c>
      <c r="M87" s="12">
        <f t="shared" si="47"/>
        <v>1.2889922430667826</v>
      </c>
      <c r="N87" s="12">
        <f t="shared" si="47"/>
        <v>1.2353218139894244</v>
      </c>
      <c r="O87" s="12">
        <f t="shared" si="47"/>
        <v>1.1842684165740198</v>
      </c>
      <c r="P87" s="12">
        <f t="shared" si="47"/>
        <v>1.1355814196522029</v>
      </c>
      <c r="Q87" s="12">
        <f t="shared" si="47"/>
        <v>1.0885993143930774</v>
      </c>
      <c r="R87" s="12">
        <f t="shared" si="47"/>
        <v>1.0422908297494657</v>
      </c>
      <c r="S87" s="12">
        <f t="shared" si="47"/>
        <v>0.99616270933448126</v>
      </c>
      <c r="T87" s="12">
        <f t="shared" si="47"/>
        <v>0.95020593493669203</v>
      </c>
      <c r="U87" s="12">
        <f t="shared" si="47"/>
        <v>0.90441193925523844</v>
      </c>
      <c r="V87" s="12">
        <f t="shared" si="47"/>
        <v>0.85877258335430373</v>
      </c>
      <c r="W87" s="12">
        <f t="shared" si="47"/>
        <v>0.81328013524486187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4.1605451077099991</v>
      </c>
      <c r="M88" s="12">
        <f t="shared" si="48"/>
        <v>4.2437560098641995</v>
      </c>
      <c r="N88" s="12">
        <f t="shared" si="48"/>
        <v>4.3286311300614839</v>
      </c>
      <c r="O88" s="12">
        <f t="shared" si="48"/>
        <v>4.4152037526627135</v>
      </c>
      <c r="P88" s="12">
        <f t="shared" si="48"/>
        <v>4.5035078277159677</v>
      </c>
      <c r="Q88" s="12">
        <f t="shared" si="48"/>
        <v>4.5935779842702873</v>
      </c>
      <c r="R88" s="12">
        <f t="shared" si="48"/>
        <v>4.6854495439556931</v>
      </c>
      <c r="S88" s="12">
        <f t="shared" si="48"/>
        <v>4.7791585348348073</v>
      </c>
      <c r="T88" s="12">
        <f t="shared" si="48"/>
        <v>4.8747417055315037</v>
      </c>
      <c r="U88" s="12">
        <f t="shared" si="48"/>
        <v>4.9722365396421342</v>
      </c>
      <c r="V88" s="12">
        <f t="shared" si="48"/>
        <v>5.0716812704349765</v>
      </c>
      <c r="W88" s="12">
        <f t="shared" si="48"/>
        <v>5.1731148958436766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4.7774065685292273</v>
      </c>
      <c r="K89" s="20">
        <f t="shared" si="49"/>
        <v>18.206743025035419</v>
      </c>
      <c r="L89" s="20">
        <f t="shared" si="49"/>
        <v>30.561622904208757</v>
      </c>
      <c r="M89" s="20">
        <f t="shared" si="49"/>
        <v>29.753599809300429</v>
      </c>
      <c r="N89" s="20">
        <f t="shared" si="49"/>
        <v>28.99285195009897</v>
      </c>
      <c r="O89" s="20">
        <f t="shared" si="49"/>
        <v>28.275035139393889</v>
      </c>
      <c r="P89" s="20">
        <f t="shared" si="49"/>
        <v>27.596234421309337</v>
      </c>
      <c r="Q89" s="20">
        <f t="shared" si="49"/>
        <v>26.946061794069557</v>
      </c>
      <c r="R89" s="20">
        <f t="shared" si="49"/>
        <v>26.308304032190769</v>
      </c>
      <c r="S89" s="20">
        <f t="shared" si="49"/>
        <v>25.675225492395214</v>
      </c>
      <c r="T89" s="20">
        <f t="shared" si="49"/>
        <v>25.046720833762272</v>
      </c>
      <c r="U89" s="20">
        <f t="shared" si="49"/>
        <v>24.422692554821055</v>
      </c>
      <c r="V89" s="20">
        <f t="shared" si="49"/>
        <v>23.803050653025942</v>
      </c>
      <c r="W89" s="20">
        <f t="shared" si="49"/>
        <v>23.187712302287395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</row>
    <row r="93" spans="1:24" x14ac:dyDescent="0.2"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</row>
    <row r="94" spans="1:24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</row>
    <row r="95" spans="1:24" x14ac:dyDescent="0.2"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zoomScale="80" zoomScaleNormal="80" workbookViewId="0">
      <selection activeCell="I8" sqref="I8:W8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111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2019</v>
      </c>
      <c r="I3" s="5">
        <f>Existing!I3</f>
        <v>2020</v>
      </c>
      <c r="J3" s="5">
        <f>Existing!J3</f>
        <v>2021</v>
      </c>
      <c r="K3" s="5">
        <f>Existing!K3</f>
        <v>2022</v>
      </c>
      <c r="L3" s="5">
        <f>Existing!L3</f>
        <v>2023</v>
      </c>
      <c r="M3" s="5">
        <f>Existing!M3</f>
        <v>2024</v>
      </c>
      <c r="N3" s="5">
        <f>Existing!N3</f>
        <v>2025</v>
      </c>
      <c r="O3" s="5">
        <f>Existing!O3</f>
        <v>2026</v>
      </c>
      <c r="P3" s="5">
        <f>Existing!P3</f>
        <v>2027</v>
      </c>
      <c r="Q3" s="5">
        <f>Existing!Q3</f>
        <v>2028</v>
      </c>
      <c r="R3" s="5">
        <f>Existing!R3</f>
        <v>2029</v>
      </c>
      <c r="S3" s="5">
        <f>Existing!S3</f>
        <v>2030</v>
      </c>
      <c r="T3" s="5">
        <f>Existing!T3</f>
        <v>2031</v>
      </c>
      <c r="U3" s="5">
        <f>Existing!U3</f>
        <v>2032</v>
      </c>
      <c r="V3" s="5">
        <f>Existing!V3</f>
        <v>2033</v>
      </c>
      <c r="W3" s="5">
        <f>Existing!W3</f>
        <v>2034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9">
        <v>0</v>
      </c>
      <c r="J8" s="49">
        <v>13.351216200000001</v>
      </c>
      <c r="K8" s="49">
        <v>16.124739850000001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13.351216200000001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13.351216200000001</v>
      </c>
      <c r="K36" s="12">
        <f t="shared" si="10"/>
        <v>16.124739850000001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>IF(K3&gt;=$F7,-SUM(K35:K37),0)</f>
        <v>-29.475956050000001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13.351216200000001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6.6756081000000007</v>
      </c>
      <c r="K40" s="20">
        <f t="shared" ref="K40:W40" si="14">(K35+K39)/2</f>
        <v>6.6756081000000007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29.475956050000001</v>
      </c>
      <c r="M43" s="12">
        <f t="shared" si="15"/>
        <v>29.475956050000001</v>
      </c>
      <c r="N43" s="12">
        <f t="shared" si="15"/>
        <v>29.475956050000001</v>
      </c>
      <c r="O43" s="12">
        <f t="shared" si="15"/>
        <v>29.475956050000001</v>
      </c>
      <c r="P43" s="12">
        <f t="shared" si="15"/>
        <v>29.475956050000001</v>
      </c>
      <c r="Q43" s="12">
        <f t="shared" si="15"/>
        <v>29.475956050000001</v>
      </c>
      <c r="R43" s="12">
        <f t="shared" si="15"/>
        <v>29.475956050000001</v>
      </c>
      <c r="S43" s="12">
        <f t="shared" si="15"/>
        <v>29.475956050000001</v>
      </c>
      <c r="T43" s="12">
        <f t="shared" si="15"/>
        <v>29.475956050000001</v>
      </c>
      <c r="U43" s="12">
        <f t="shared" si="15"/>
        <v>29.475956050000001</v>
      </c>
      <c r="V43" s="12">
        <f t="shared" si="15"/>
        <v>29.475956050000001</v>
      </c>
      <c r="W43" s="12">
        <f t="shared" si="15"/>
        <v>29.475956050000001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29.475956050000001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29.475956050000001</v>
      </c>
      <c r="L46" s="20">
        <f t="shared" si="18"/>
        <v>29.475956050000001</v>
      </c>
      <c r="M46" s="20">
        <f t="shared" si="18"/>
        <v>29.475956050000001</v>
      </c>
      <c r="N46" s="20">
        <f t="shared" si="18"/>
        <v>29.475956050000001</v>
      </c>
      <c r="O46" s="20">
        <f t="shared" si="18"/>
        <v>29.475956050000001</v>
      </c>
      <c r="P46" s="20">
        <f t="shared" si="18"/>
        <v>29.475956050000001</v>
      </c>
      <c r="Q46" s="20">
        <f t="shared" si="18"/>
        <v>29.475956050000001</v>
      </c>
      <c r="R46" s="20">
        <f t="shared" si="18"/>
        <v>29.475956050000001</v>
      </c>
      <c r="S46" s="20">
        <f t="shared" si="18"/>
        <v>29.475956050000001</v>
      </c>
      <c r="T46" s="20">
        <f t="shared" si="18"/>
        <v>29.475956050000001</v>
      </c>
      <c r="U46" s="20">
        <f t="shared" si="18"/>
        <v>29.475956050000001</v>
      </c>
      <c r="V46" s="20">
        <f t="shared" si="18"/>
        <v>29.475956050000001</v>
      </c>
      <c r="W46" s="20">
        <f t="shared" si="18"/>
        <v>29.475956050000001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14.737978025</v>
      </c>
      <c r="L47" s="20">
        <f t="shared" si="19"/>
        <v>29.475956050000001</v>
      </c>
      <c r="M47" s="20">
        <f t="shared" si="19"/>
        <v>29.475956050000001</v>
      </c>
      <c r="N47" s="20">
        <f t="shared" si="19"/>
        <v>29.475956050000001</v>
      </c>
      <c r="O47" s="20">
        <f t="shared" si="19"/>
        <v>29.475956050000001</v>
      </c>
      <c r="P47" s="20">
        <f t="shared" si="19"/>
        <v>29.475956050000001</v>
      </c>
      <c r="Q47" s="20">
        <f t="shared" si="19"/>
        <v>29.475956050000001</v>
      </c>
      <c r="R47" s="20">
        <f t="shared" si="19"/>
        <v>29.475956050000001</v>
      </c>
      <c r="S47" s="20">
        <f t="shared" si="19"/>
        <v>29.475956050000001</v>
      </c>
      <c r="T47" s="20">
        <f t="shared" si="19"/>
        <v>29.475956050000001</v>
      </c>
      <c r="U47" s="20">
        <f t="shared" si="19"/>
        <v>29.475956050000001</v>
      </c>
      <c r="V47" s="20">
        <f t="shared" si="19"/>
        <v>29.475956050000001</v>
      </c>
      <c r="W47" s="20">
        <f t="shared" si="19"/>
        <v>29.475956050000001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0.36844945062500001</v>
      </c>
      <c r="M50" s="12">
        <f t="shared" si="20"/>
        <v>1.105348351875</v>
      </c>
      <c r="N50" s="12">
        <f t="shared" si="20"/>
        <v>1.842247253125</v>
      </c>
      <c r="O50" s="12">
        <f t="shared" si="20"/>
        <v>2.5791461543750001</v>
      </c>
      <c r="P50" s="12">
        <f t="shared" si="20"/>
        <v>3.3160450556250001</v>
      </c>
      <c r="Q50" s="12">
        <f t="shared" si="20"/>
        <v>4.0529439568749996</v>
      </c>
      <c r="R50" s="12">
        <f t="shared" si="20"/>
        <v>4.7898428581249997</v>
      </c>
      <c r="S50" s="12">
        <f t="shared" si="20"/>
        <v>5.5267417593749997</v>
      </c>
      <c r="T50" s="12">
        <f t="shared" si="20"/>
        <v>6.2636406606249997</v>
      </c>
      <c r="U50" s="12">
        <f t="shared" si="20"/>
        <v>7.0005395618749997</v>
      </c>
      <c r="V50" s="12">
        <f t="shared" si="20"/>
        <v>7.7374384631249997</v>
      </c>
      <c r="W50" s="12">
        <f t="shared" si="20"/>
        <v>8.4743373643749997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0.36844945062500001</v>
      </c>
      <c r="L51" s="12">
        <f t="shared" si="21"/>
        <v>0.73689890125000002</v>
      </c>
      <c r="M51" s="12">
        <f t="shared" si="21"/>
        <v>0.73689890125000002</v>
      </c>
      <c r="N51" s="12">
        <f t="shared" si="21"/>
        <v>0.73689890125000002</v>
      </c>
      <c r="O51" s="12">
        <f t="shared" si="21"/>
        <v>0.73689890125000002</v>
      </c>
      <c r="P51" s="12">
        <f t="shared" si="21"/>
        <v>0.73689890125000002</v>
      </c>
      <c r="Q51" s="12">
        <f t="shared" si="21"/>
        <v>0.73689890125000002</v>
      </c>
      <c r="R51" s="12">
        <f t="shared" si="21"/>
        <v>0.73689890125000002</v>
      </c>
      <c r="S51" s="12">
        <f t="shared" si="21"/>
        <v>0.73689890125000002</v>
      </c>
      <c r="T51" s="12">
        <f t="shared" si="21"/>
        <v>0.73689890125000002</v>
      </c>
      <c r="U51" s="12">
        <f t="shared" si="21"/>
        <v>0.73689890125000002</v>
      </c>
      <c r="V51" s="12">
        <f t="shared" si="21"/>
        <v>0.73689890125000002</v>
      </c>
      <c r="W51" s="12">
        <f t="shared" si="21"/>
        <v>0.73689890125000002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0.36844945062500001</v>
      </c>
      <c r="L53" s="20">
        <f t="shared" si="23"/>
        <v>1.105348351875</v>
      </c>
      <c r="M53" s="20">
        <f t="shared" si="23"/>
        <v>1.842247253125</v>
      </c>
      <c r="N53" s="20">
        <f t="shared" si="23"/>
        <v>2.5791461543750001</v>
      </c>
      <c r="O53" s="20">
        <f t="shared" si="23"/>
        <v>3.3160450556250001</v>
      </c>
      <c r="P53" s="20">
        <f t="shared" si="23"/>
        <v>4.0529439568749996</v>
      </c>
      <c r="Q53" s="20">
        <f t="shared" si="23"/>
        <v>4.7898428581249997</v>
      </c>
      <c r="R53" s="20">
        <f t="shared" si="23"/>
        <v>5.5267417593749997</v>
      </c>
      <c r="S53" s="20">
        <f t="shared" si="23"/>
        <v>6.2636406606249997</v>
      </c>
      <c r="T53" s="20">
        <f t="shared" si="23"/>
        <v>7.0005395618749997</v>
      </c>
      <c r="U53" s="20">
        <f t="shared" si="23"/>
        <v>7.7374384631249997</v>
      </c>
      <c r="V53" s="20">
        <f t="shared" si="23"/>
        <v>8.4743373643749997</v>
      </c>
      <c r="W53" s="20">
        <f t="shared" si="23"/>
        <v>9.2112362656250006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0.1842247253125</v>
      </c>
      <c r="L54" s="20">
        <f t="shared" si="24"/>
        <v>0.73689890125000002</v>
      </c>
      <c r="M54" s="20">
        <f t="shared" si="24"/>
        <v>1.4737978025</v>
      </c>
      <c r="N54" s="20">
        <f t="shared" si="24"/>
        <v>2.21069670375</v>
      </c>
      <c r="O54" s="20">
        <f t="shared" si="24"/>
        <v>2.9475956050000001</v>
      </c>
      <c r="P54" s="20">
        <f t="shared" si="24"/>
        <v>3.6844945062500001</v>
      </c>
      <c r="Q54" s="20">
        <f t="shared" si="24"/>
        <v>4.4213934075000001</v>
      </c>
      <c r="R54" s="20">
        <f t="shared" si="24"/>
        <v>5.1582923087499992</v>
      </c>
      <c r="S54" s="20">
        <f t="shared" si="24"/>
        <v>5.8951912100000001</v>
      </c>
      <c r="T54" s="20">
        <f t="shared" si="24"/>
        <v>6.6320901112499993</v>
      </c>
      <c r="U54" s="20">
        <f t="shared" si="24"/>
        <v>7.3689890125000002</v>
      </c>
      <c r="V54" s="20">
        <f t="shared" si="24"/>
        <v>8.1058879137499993</v>
      </c>
      <c r="W54" s="20">
        <f t="shared" si="24"/>
        <v>8.8427868150000002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28.002158247499999</v>
      </c>
      <c r="M57" s="12">
        <f t="shared" si="25"/>
        <v>25.201942422749998</v>
      </c>
      <c r="N57" s="12">
        <f t="shared" si="25"/>
        <v>22.681748180474997</v>
      </c>
      <c r="O57" s="12">
        <f t="shared" si="25"/>
        <v>20.413573362427499</v>
      </c>
      <c r="P57" s="12">
        <f t="shared" si="25"/>
        <v>18.372216026184748</v>
      </c>
      <c r="Q57" s="12">
        <f t="shared" si="25"/>
        <v>16.534994423566275</v>
      </c>
      <c r="R57" s="12">
        <f t="shared" si="25"/>
        <v>14.794468694769824</v>
      </c>
      <c r="S57" s="12">
        <f t="shared" si="25"/>
        <v>13.053942965973375</v>
      </c>
      <c r="T57" s="12">
        <f t="shared" si="25"/>
        <v>11.313417237176925</v>
      </c>
      <c r="U57" s="12">
        <f t="shared" si="25"/>
        <v>9.5728915083804758</v>
      </c>
      <c r="V57" s="12">
        <f t="shared" si="25"/>
        <v>7.832365779584026</v>
      </c>
      <c r="W57" s="12">
        <f t="shared" si="25"/>
        <v>6.0918400507875763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29.475956050000001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-1.4737978025</v>
      </c>
      <c r="L59" s="12">
        <f>-I23*L58-J23*K58-K23*J58-L23*I58</f>
        <v>-2.80021582475</v>
      </c>
      <c r="M59" s="12">
        <f>-I23*M58-J23*L58-K23*K58-L23*J58-M23*I58</f>
        <v>-2.5201942422750001</v>
      </c>
      <c r="N59" s="12">
        <f>-I23*N58-J23*M58-K23*L58-L23*K58-M23*J58-N23*I58</f>
        <v>-2.2681748180475001</v>
      </c>
      <c r="O59" s="12">
        <f>-I23*O58-J23*N58-K23*M58-L23*L58-M23*K58-N23*J58-O23*I58</f>
        <v>-2.0413573362427502</v>
      </c>
      <c r="P59" s="12">
        <f>-I23*P58-J23*O58-K23*N58-L23*M58-M23*L58-N23*K58-O23*J58-P23*I58</f>
        <v>-1.8372216026184749</v>
      </c>
      <c r="Q59" s="12">
        <f>-I23*Q58-J23*P58-K23*O58-L23*N58-M23*M58-N23*L58-O23*K58-P23*J58-Q23*I58</f>
        <v>-1.74052572879645</v>
      </c>
      <c r="R59" s="12">
        <f>-I23*R58-J23*Q58-K23*P58-L23*O58-M23*N58-N23*M58-O23*L58-P23*K58-Q23*J58-R23*I58</f>
        <v>-1.7405257287964495</v>
      </c>
      <c r="S59" s="12">
        <f>-I23*S58-J23*R58-K23*Q58-L23*P58-M23*O58-N23*N58-O23*M58-P23*L58-Q23*K58-R23*J58-S23*I58</f>
        <v>-1.74052572879645</v>
      </c>
      <c r="T59" s="12">
        <f>-I23*T58-J23*S58-K23*R58-L23*Q58-M23*P58-N23*O58-O23*N58-P23*M58-Q23*L58-R23*K58-S23*J58-T23*I58</f>
        <v>-1.7405257287964497</v>
      </c>
      <c r="U59" s="12">
        <f>-I23*U58-J23*T58-K23*S58-L23*R58-M23*Q58-N23*P58-O23*O58-P23*N58-Q23*M58-R23*L58-S23*K58-T23*J58-U23*I58</f>
        <v>-1.7405257287964497</v>
      </c>
      <c r="V59" s="12">
        <f>-I23*V58-J23*U58-K23*T58-L23*S58-M23*R58-N23*Q58-O23*P58-P23*O58-Q23*N58-R23*M58-S23*L58-T23*K58-U23*J58-V23*I58</f>
        <v>-1.7405257287964495</v>
      </c>
      <c r="W59" s="12">
        <f>-I23*W58-J23*V58-K23*U58-L23*T58-M23*S58-N23*R58-O23*Q58-P23*P58-Q23*O58-R23*N58-S23*M58-T23*L58-U23*K58-V23*J58-W23*I58</f>
        <v>-1.7405257287964491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28.002158247499999</v>
      </c>
      <c r="L60" s="20">
        <f t="shared" si="27"/>
        <v>25.201942422749998</v>
      </c>
      <c r="M60" s="20">
        <f t="shared" si="27"/>
        <v>22.681748180474997</v>
      </c>
      <c r="N60" s="20">
        <f t="shared" si="27"/>
        <v>20.413573362427499</v>
      </c>
      <c r="O60" s="20">
        <f t="shared" si="27"/>
        <v>18.372216026184748</v>
      </c>
      <c r="P60" s="20">
        <f t="shared" si="27"/>
        <v>16.534994423566275</v>
      </c>
      <c r="Q60" s="20">
        <f t="shared" si="27"/>
        <v>14.794468694769824</v>
      </c>
      <c r="R60" s="20">
        <f t="shared" si="27"/>
        <v>13.053942965973375</v>
      </c>
      <c r="S60" s="20">
        <f t="shared" si="27"/>
        <v>11.313417237176925</v>
      </c>
      <c r="T60" s="20">
        <f t="shared" si="27"/>
        <v>9.5728915083804758</v>
      </c>
      <c r="U60" s="20">
        <f t="shared" si="27"/>
        <v>7.832365779584026</v>
      </c>
      <c r="V60" s="20">
        <f t="shared" si="27"/>
        <v>6.0918400507875763</v>
      </c>
      <c r="W60" s="20">
        <f t="shared" si="27"/>
        <v>4.3513143219911274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28.73905714875</v>
      </c>
      <c r="M63" s="12">
        <f t="shared" si="28"/>
        <v>27.302104291312499</v>
      </c>
      <c r="N63" s="12">
        <f t="shared" si="28"/>
        <v>25.936999076746876</v>
      </c>
      <c r="O63" s="12">
        <f t="shared" si="28"/>
        <v>24.640149122909531</v>
      </c>
      <c r="P63" s="12">
        <f t="shared" si="28"/>
        <v>23.408141666764053</v>
      </c>
      <c r="Q63" s="12">
        <f t="shared" si="28"/>
        <v>22.237734583425851</v>
      </c>
      <c r="R63" s="12">
        <f t="shared" si="28"/>
        <v>21.125847854254559</v>
      </c>
      <c r="S63" s="12">
        <f t="shared" si="28"/>
        <v>20.069555461541832</v>
      </c>
      <c r="T63" s="12">
        <f t="shared" si="28"/>
        <v>19.066077688464741</v>
      </c>
      <c r="U63" s="12">
        <f t="shared" si="28"/>
        <v>18.112773804041503</v>
      </c>
      <c r="V63" s="12">
        <f t="shared" si="28"/>
        <v>17.207135113839428</v>
      </c>
      <c r="W63" s="12">
        <f t="shared" si="28"/>
        <v>16.346778358147457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29.475956050000001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-0.73689890125000002</v>
      </c>
      <c r="L65" s="12">
        <f t="shared" si="30"/>
        <v>-1.4369528574375001</v>
      </c>
      <c r="M65" s="12">
        <f t="shared" si="30"/>
        <v>-1.3651052145656251</v>
      </c>
      <c r="N65" s="12">
        <f t="shared" si="30"/>
        <v>-1.2968499538373439</v>
      </c>
      <c r="O65" s="12">
        <f t="shared" si="30"/>
        <v>-1.2320074561454766</v>
      </c>
      <c r="P65" s="12">
        <f t="shared" si="30"/>
        <v>-1.1704070833382028</v>
      </c>
      <c r="Q65" s="12">
        <f t="shared" si="30"/>
        <v>-1.1118867291712926</v>
      </c>
      <c r="R65" s="12">
        <f t="shared" si="30"/>
        <v>-1.0562923927127279</v>
      </c>
      <c r="S65" s="12">
        <f t="shared" si="30"/>
        <v>-1.0034777730770916</v>
      </c>
      <c r="T65" s="12">
        <f t="shared" si="30"/>
        <v>-0.9533038844232371</v>
      </c>
      <c r="U65" s="12">
        <f t="shared" si="30"/>
        <v>-0.90563869020207521</v>
      </c>
      <c r="V65" s="12">
        <f t="shared" si="30"/>
        <v>-0.86035675569197145</v>
      </c>
      <c r="W65" s="12">
        <f t="shared" si="30"/>
        <v>-0.8173389179073729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28.73905714875</v>
      </c>
      <c r="L66" s="20">
        <f t="shared" si="31"/>
        <v>27.302104291312499</v>
      </c>
      <c r="M66" s="20">
        <f t="shared" si="31"/>
        <v>25.936999076746876</v>
      </c>
      <c r="N66" s="20">
        <f t="shared" si="31"/>
        <v>24.640149122909531</v>
      </c>
      <c r="O66" s="20">
        <f t="shared" si="31"/>
        <v>23.408141666764053</v>
      </c>
      <c r="P66" s="20">
        <f t="shared" si="31"/>
        <v>22.237734583425851</v>
      </c>
      <c r="Q66" s="20">
        <f t="shared" si="31"/>
        <v>21.125847854254559</v>
      </c>
      <c r="R66" s="20">
        <f t="shared" si="31"/>
        <v>20.069555461541832</v>
      </c>
      <c r="S66" s="20">
        <f t="shared" si="31"/>
        <v>19.066077688464741</v>
      </c>
      <c r="T66" s="20">
        <f t="shared" si="31"/>
        <v>18.112773804041503</v>
      </c>
      <c r="U66" s="20">
        <f t="shared" si="31"/>
        <v>17.207135113839428</v>
      </c>
      <c r="V66" s="20">
        <f t="shared" si="31"/>
        <v>16.346778358147457</v>
      </c>
      <c r="W66" s="20">
        <f t="shared" si="31"/>
        <v>15.529439440240084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0.25785418972759749</v>
      </c>
      <c r="M69" s="12">
        <f t="shared" si="32"/>
        <v>0.74003971174690764</v>
      </c>
      <c r="N69" s="12">
        <f t="shared" si="32"/>
        <v>1.1584031494588678</v>
      </c>
      <c r="O69" s="12">
        <f t="shared" si="32"/>
        <v>1.5190758336948325</v>
      </c>
      <c r="P69" s="12">
        <f t="shared" si="32"/>
        <v>1.8275885060829904</v>
      </c>
      <c r="Q69" s="12">
        <f t="shared" si="32"/>
        <v>2.0889307507746819</v>
      </c>
      <c r="R69" s="12">
        <f t="shared" si="32"/>
        <v>2.3258800345101478</v>
      </c>
      <c r="S69" s="12">
        <f t="shared" si="32"/>
        <v>2.5589468321646933</v>
      </c>
      <c r="T69" s="12">
        <f t="shared" si="32"/>
        <v>2.7883252680423647</v>
      </c>
      <c r="U69" s="12">
        <f t="shared" si="32"/>
        <v>3.0141997602320054</v>
      </c>
      <c r="V69" s="12">
        <f t="shared" si="32"/>
        <v>3.2367455059180172</v>
      </c>
      <c r="W69" s="12">
        <f t="shared" si="32"/>
        <v>3.4561289424255808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0.22528325829234749</v>
      </c>
      <c r="L70" s="12">
        <f t="shared" si="33"/>
        <v>0.42030075229233521</v>
      </c>
      <c r="M70" s="12">
        <f t="shared" si="33"/>
        <v>0.36282999961485873</v>
      </c>
      <c r="N70" s="12">
        <f t="shared" si="33"/>
        <v>0.31117301118724355</v>
      </c>
      <c r="O70" s="12">
        <f t="shared" si="33"/>
        <v>0.26474507613539788</v>
      </c>
      <c r="P70" s="12">
        <f t="shared" si="33"/>
        <v>0.22302012139509433</v>
      </c>
      <c r="Q70" s="12">
        <f t="shared" si="33"/>
        <v>0.2038003597472236</v>
      </c>
      <c r="R70" s="12">
        <f t="shared" si="33"/>
        <v>0.20483241300924029</v>
      </c>
      <c r="S70" s="12">
        <f t="shared" si="33"/>
        <v>0.20581286360815634</v>
      </c>
      <c r="T70" s="12">
        <f t="shared" si="33"/>
        <v>0.20674429167712646</v>
      </c>
      <c r="U70" s="12">
        <f t="shared" si="33"/>
        <v>0.20762914834264809</v>
      </c>
      <c r="V70" s="12">
        <f t="shared" si="33"/>
        <v>0.20846976217489363</v>
      </c>
      <c r="W70" s="12">
        <f t="shared" si="33"/>
        <v>0.20926834531552682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3.257093143525E-2</v>
      </c>
      <c r="L71" s="12">
        <f t="shared" si="34"/>
        <v>6.1884769726975014E-2</v>
      </c>
      <c r="M71" s="12">
        <f t="shared" si="34"/>
        <v>5.5533438097101255E-2</v>
      </c>
      <c r="N71" s="12">
        <f t="shared" si="34"/>
        <v>4.9499673048721202E-2</v>
      </c>
      <c r="O71" s="12">
        <f t="shared" si="34"/>
        <v>4.3767596252760131E-2</v>
      </c>
      <c r="P71" s="12">
        <f t="shared" si="34"/>
        <v>3.8322123296597128E-2</v>
      </c>
      <c r="Q71" s="12">
        <f t="shared" si="34"/>
        <v>3.314892398824227E-2</v>
      </c>
      <c r="R71" s="12">
        <f t="shared" si="34"/>
        <v>2.8234384645305147E-2</v>
      </c>
      <c r="S71" s="12">
        <f t="shared" si="34"/>
        <v>2.35655722695149E-2</v>
      </c>
      <c r="T71" s="12">
        <f t="shared" si="34"/>
        <v>1.913020051251416E-2</v>
      </c>
      <c r="U71" s="12">
        <f t="shared" si="34"/>
        <v>1.4916597343363449E-2</v>
      </c>
      <c r="V71" s="12">
        <f t="shared" si="34"/>
        <v>1.0913674332670277E-2</v>
      </c>
      <c r="W71" s="12">
        <f t="shared" si="34"/>
        <v>7.1108974725117629E-3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0.25785418972759749</v>
      </c>
      <c r="L72" s="20">
        <f t="shared" si="35"/>
        <v>0.74003971174690764</v>
      </c>
      <c r="M72" s="20">
        <f t="shared" si="35"/>
        <v>1.1584031494588678</v>
      </c>
      <c r="N72" s="20">
        <f t="shared" si="35"/>
        <v>1.5190758336948325</v>
      </c>
      <c r="O72" s="20">
        <f t="shared" si="35"/>
        <v>1.8275885060829904</v>
      </c>
      <c r="P72" s="20">
        <f t="shared" si="35"/>
        <v>2.0889307507746819</v>
      </c>
      <c r="Q72" s="20">
        <f t="shared" si="35"/>
        <v>2.3258800345101478</v>
      </c>
      <c r="R72" s="20">
        <f t="shared" si="35"/>
        <v>2.5589468321646933</v>
      </c>
      <c r="S72" s="20">
        <f t="shared" si="35"/>
        <v>2.7883252680423647</v>
      </c>
      <c r="T72" s="20">
        <f t="shared" si="35"/>
        <v>3.0141997602320054</v>
      </c>
      <c r="U72" s="20">
        <f t="shared" si="35"/>
        <v>3.2367455059180172</v>
      </c>
      <c r="V72" s="20">
        <f t="shared" si="35"/>
        <v>3.4561289424255808</v>
      </c>
      <c r="W72" s="20">
        <f t="shared" si="35"/>
        <v>3.6725081852136192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0.12892709486379875</v>
      </c>
      <c r="L73" s="20">
        <f t="shared" si="36"/>
        <v>0.49894695073725259</v>
      </c>
      <c r="M73" s="20">
        <f t="shared" si="36"/>
        <v>0.94922143060288766</v>
      </c>
      <c r="N73" s="20">
        <f t="shared" si="36"/>
        <v>1.3387394915768502</v>
      </c>
      <c r="O73" s="20">
        <f t="shared" si="36"/>
        <v>1.6733321698889114</v>
      </c>
      <c r="P73" s="20">
        <f t="shared" si="36"/>
        <v>1.9582596284288361</v>
      </c>
      <c r="Q73" s="20">
        <f t="shared" si="36"/>
        <v>2.2074053926424151</v>
      </c>
      <c r="R73" s="20">
        <f t="shared" si="36"/>
        <v>2.4424134333374203</v>
      </c>
      <c r="S73" s="20">
        <f t="shared" si="36"/>
        <v>2.673636050103529</v>
      </c>
      <c r="T73" s="20">
        <f t="shared" si="36"/>
        <v>2.9012625141371853</v>
      </c>
      <c r="U73" s="20">
        <f t="shared" si="36"/>
        <v>3.1254726330750113</v>
      </c>
      <c r="V73" s="20">
        <f t="shared" si="36"/>
        <v>3.3464372241717992</v>
      </c>
      <c r="W73" s="20">
        <f t="shared" si="36"/>
        <v>3.5643185638196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14.737978025</v>
      </c>
      <c r="L76" s="12">
        <f t="shared" si="37"/>
        <v>29.475956050000001</v>
      </c>
      <c r="M76" s="12">
        <f t="shared" si="37"/>
        <v>29.475956050000001</v>
      </c>
      <c r="N76" s="12">
        <f t="shared" si="37"/>
        <v>29.475956050000001</v>
      </c>
      <c r="O76" s="12">
        <f t="shared" si="37"/>
        <v>29.475956050000001</v>
      </c>
      <c r="P76" s="12">
        <f t="shared" si="37"/>
        <v>29.475956050000001</v>
      </c>
      <c r="Q76" s="12">
        <f t="shared" si="37"/>
        <v>29.475956050000001</v>
      </c>
      <c r="R76" s="12">
        <f t="shared" si="37"/>
        <v>29.475956050000001</v>
      </c>
      <c r="S76" s="12">
        <f t="shared" si="37"/>
        <v>29.475956050000001</v>
      </c>
      <c r="T76" s="12">
        <f t="shared" si="37"/>
        <v>29.475956050000001</v>
      </c>
      <c r="U76" s="12">
        <f t="shared" si="37"/>
        <v>29.475956050000001</v>
      </c>
      <c r="V76" s="12">
        <f t="shared" si="37"/>
        <v>29.475956050000001</v>
      </c>
      <c r="W76" s="12">
        <f t="shared" si="37"/>
        <v>29.475956050000001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-0.1842247253125</v>
      </c>
      <c r="L77" s="12">
        <f t="shared" si="38"/>
        <v>-0.73689890125000002</v>
      </c>
      <c r="M77" s="12">
        <f t="shared" si="38"/>
        <v>-1.4737978025</v>
      </c>
      <c r="N77" s="12">
        <f t="shared" si="38"/>
        <v>-2.21069670375</v>
      </c>
      <c r="O77" s="12">
        <f t="shared" si="38"/>
        <v>-2.9475956050000001</v>
      </c>
      <c r="P77" s="12">
        <f t="shared" si="38"/>
        <v>-3.6844945062500001</v>
      </c>
      <c r="Q77" s="12">
        <f t="shared" si="38"/>
        <v>-4.4213934075000001</v>
      </c>
      <c r="R77" s="12">
        <f t="shared" si="38"/>
        <v>-5.1582923087499992</v>
      </c>
      <c r="S77" s="12">
        <f t="shared" si="38"/>
        <v>-5.8951912100000001</v>
      </c>
      <c r="T77" s="12">
        <f t="shared" si="38"/>
        <v>-6.6320901112499993</v>
      </c>
      <c r="U77" s="12">
        <f t="shared" si="38"/>
        <v>-7.3689890125000002</v>
      </c>
      <c r="V77" s="12">
        <f t="shared" si="38"/>
        <v>-8.1058879137499993</v>
      </c>
      <c r="W77" s="12">
        <f t="shared" si="38"/>
        <v>-8.8427868150000002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6.6756081000000007</v>
      </c>
      <c r="K78" s="12">
        <f t="shared" si="39"/>
        <v>6.6756081000000007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-0.12892709486379875</v>
      </c>
      <c r="L79" s="12">
        <f t="shared" si="40"/>
        <v>-0.49894695073725259</v>
      </c>
      <c r="M79" s="12">
        <f t="shared" si="40"/>
        <v>-0.94922143060288766</v>
      </c>
      <c r="N79" s="12">
        <f t="shared" si="40"/>
        <v>-1.3387394915768502</v>
      </c>
      <c r="O79" s="12">
        <f t="shared" si="40"/>
        <v>-1.6733321698889114</v>
      </c>
      <c r="P79" s="12">
        <f t="shared" si="40"/>
        <v>-1.9582596284288361</v>
      </c>
      <c r="Q79" s="12">
        <f t="shared" si="40"/>
        <v>-2.2074053926424151</v>
      </c>
      <c r="R79" s="12">
        <f t="shared" si="40"/>
        <v>-2.4424134333374203</v>
      </c>
      <c r="S79" s="12">
        <f t="shared" si="40"/>
        <v>-2.673636050103529</v>
      </c>
      <c r="T79" s="12">
        <f t="shared" si="40"/>
        <v>-2.9012625141371853</v>
      </c>
      <c r="U79" s="12">
        <f t="shared" si="40"/>
        <v>-3.1254726330750113</v>
      </c>
      <c r="V79" s="12">
        <f t="shared" si="40"/>
        <v>-3.3464372241717992</v>
      </c>
      <c r="W79" s="12">
        <f t="shared" si="40"/>
        <v>-3.5643185638196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6.6756081000000007</v>
      </c>
      <c r="K80" s="20">
        <f t="shared" ref="K80:W80" si="41">SUM(K76:K79)</f>
        <v>21.100434304823704</v>
      </c>
      <c r="L80" s="20">
        <f t="shared" si="41"/>
        <v>28.240110198012747</v>
      </c>
      <c r="M80" s="20">
        <f t="shared" si="41"/>
        <v>27.052936816897112</v>
      </c>
      <c r="N80" s="20">
        <f t="shared" si="41"/>
        <v>25.926519854673153</v>
      </c>
      <c r="O80" s="20">
        <f t="shared" si="41"/>
        <v>24.855028275111088</v>
      </c>
      <c r="P80" s="20">
        <f t="shared" si="41"/>
        <v>23.833201915321162</v>
      </c>
      <c r="Q80" s="20">
        <f t="shared" si="41"/>
        <v>22.847157249857588</v>
      </c>
      <c r="R80" s="20">
        <f t="shared" si="41"/>
        <v>21.87525030791258</v>
      </c>
      <c r="S80" s="20">
        <f t="shared" si="41"/>
        <v>20.907128789896472</v>
      </c>
      <c r="T80" s="20">
        <f t="shared" si="41"/>
        <v>19.942603424612813</v>
      </c>
      <c r="U80" s="20">
        <f t="shared" si="41"/>
        <v>18.981494404424986</v>
      </c>
      <c r="V80" s="20">
        <f t="shared" si="41"/>
        <v>18.023630912078204</v>
      </c>
      <c r="W80" s="20">
        <f t="shared" si="41"/>
        <v>17.0688506711804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0.36844945062500001</v>
      </c>
      <c r="L83" s="12">
        <f t="shared" si="42"/>
        <v>0.73689890125000002</v>
      </c>
      <c r="M83" s="12">
        <f t="shared" si="42"/>
        <v>0.73689890125000002</v>
      </c>
      <c r="N83" s="12">
        <f t="shared" si="42"/>
        <v>0.73689890125000002</v>
      </c>
      <c r="O83" s="12">
        <f t="shared" si="42"/>
        <v>0.73689890125000002</v>
      </c>
      <c r="P83" s="12">
        <f t="shared" si="42"/>
        <v>0.73689890125000002</v>
      </c>
      <c r="Q83" s="12">
        <f t="shared" si="42"/>
        <v>0.73689890125000002</v>
      </c>
      <c r="R83" s="12">
        <f t="shared" si="42"/>
        <v>0.73689890125000002</v>
      </c>
      <c r="S83" s="12">
        <f t="shared" si="42"/>
        <v>0.73689890125000002</v>
      </c>
      <c r="T83" s="12">
        <f t="shared" si="42"/>
        <v>0.73689890125000002</v>
      </c>
      <c r="U83" s="12">
        <f t="shared" si="42"/>
        <v>0.73689890125000002</v>
      </c>
      <c r="V83" s="12">
        <f t="shared" si="42"/>
        <v>0.73689890125000002</v>
      </c>
      <c r="W83" s="12">
        <f t="shared" si="42"/>
        <v>0.73689890125000002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0.20026824300000001</v>
      </c>
      <c r="K84" s="12">
        <f t="shared" si="44"/>
        <v>0.63301302914471114</v>
      </c>
      <c r="L84" s="12">
        <f t="shared" si="44"/>
        <v>0.8472033059403824</v>
      </c>
      <c r="M84" s="12">
        <f t="shared" si="44"/>
        <v>0.81158810450691332</v>
      </c>
      <c r="N84" s="12">
        <f t="shared" si="44"/>
        <v>0.77779559564019451</v>
      </c>
      <c r="O84" s="12">
        <f t="shared" si="44"/>
        <v>0.74565084825333261</v>
      </c>
      <c r="P84" s="12">
        <f t="shared" si="44"/>
        <v>0.71499605745963479</v>
      </c>
      <c r="Q84" s="12">
        <f t="shared" si="44"/>
        <v>0.68541471749572758</v>
      </c>
      <c r="R84" s="12">
        <f t="shared" si="44"/>
        <v>0.65625750923737736</v>
      </c>
      <c r="S84" s="12">
        <f t="shared" si="44"/>
        <v>0.62721386369689414</v>
      </c>
      <c r="T84" s="12">
        <f t="shared" si="44"/>
        <v>0.59827810273838433</v>
      </c>
      <c r="U84" s="12">
        <f t="shared" si="44"/>
        <v>0.56944483213274955</v>
      </c>
      <c r="V84" s="12">
        <f t="shared" si="44"/>
        <v>0.5407089273623461</v>
      </c>
      <c r="W84" s="12">
        <f t="shared" si="44"/>
        <v>0.51206552013541196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0.36715844550000004</v>
      </c>
      <c r="K85" s="12">
        <f t="shared" si="45"/>
        <v>1.1605238867653038</v>
      </c>
      <c r="L85" s="12">
        <f t="shared" si="45"/>
        <v>1.553206060890701</v>
      </c>
      <c r="M85" s="12">
        <f t="shared" si="45"/>
        <v>1.4879115249293411</v>
      </c>
      <c r="N85" s="12">
        <f t="shared" si="45"/>
        <v>1.4259585920070235</v>
      </c>
      <c r="O85" s="12">
        <f t="shared" si="45"/>
        <v>1.3670265551311098</v>
      </c>
      <c r="P85" s="12">
        <f t="shared" si="45"/>
        <v>1.310826105342664</v>
      </c>
      <c r="Q85" s="12">
        <f t="shared" si="45"/>
        <v>1.2565936487421674</v>
      </c>
      <c r="R85" s="12">
        <f t="shared" si="45"/>
        <v>1.2031387669351918</v>
      </c>
      <c r="S85" s="12">
        <f t="shared" si="45"/>
        <v>1.149892083444306</v>
      </c>
      <c r="T85" s="12">
        <f t="shared" si="45"/>
        <v>1.0968431883537046</v>
      </c>
      <c r="U85" s="12">
        <f t="shared" si="45"/>
        <v>1.0439821922433743</v>
      </c>
      <c r="V85" s="12">
        <f t="shared" si="45"/>
        <v>0.99129970016430125</v>
      </c>
      <c r="W85" s="12">
        <f t="shared" si="45"/>
        <v>0.93878678691492201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9.759908044936709E-2</v>
      </c>
      <c r="K86" s="12">
        <f t="shared" si="46"/>
        <v>0.30849369141862504</v>
      </c>
      <c r="L86" s="12">
        <f t="shared" si="46"/>
        <v>0.41287756048993318</v>
      </c>
      <c r="M86" s="12">
        <f t="shared" si="46"/>
        <v>0.39552078510779948</v>
      </c>
      <c r="N86" s="12">
        <f t="shared" si="46"/>
        <v>0.37905228395123408</v>
      </c>
      <c r="O86" s="12">
        <f t="shared" si="46"/>
        <v>0.36338680579434562</v>
      </c>
      <c r="P86" s="12">
        <f t="shared" si="46"/>
        <v>0.34844744572399922</v>
      </c>
      <c r="Q86" s="12">
        <f t="shared" si="46"/>
        <v>0.33403122308336097</v>
      </c>
      <c r="R86" s="12">
        <f t="shared" si="46"/>
        <v>0.3198216975397345</v>
      </c>
      <c r="S86" s="12">
        <f t="shared" si="46"/>
        <v>0.30566751585228386</v>
      </c>
      <c r="T86" s="12">
        <f t="shared" si="46"/>
        <v>0.29156591082819994</v>
      </c>
      <c r="U86" s="12">
        <f t="shared" si="46"/>
        <v>0.2775142536343147</v>
      </c>
      <c r="V86" s="12">
        <f t="shared" si="46"/>
        <v>0.26351004687911805</v>
      </c>
      <c r="W86" s="12">
        <f t="shared" si="46"/>
        <v>0.24955091804067547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4.506863239789826E-2</v>
      </c>
      <c r="K87" s="12">
        <f t="shared" si="47"/>
        <v>0.14245409599765171</v>
      </c>
      <c r="L87" s="12">
        <f t="shared" si="47"/>
        <v>0.19065576144147445</v>
      </c>
      <c r="M87" s="12">
        <f t="shared" si="47"/>
        <v>0.1826408690294902</v>
      </c>
      <c r="N87" s="12">
        <f t="shared" si="47"/>
        <v>0.17503615778270071</v>
      </c>
      <c r="O87" s="12">
        <f t="shared" si="47"/>
        <v>0.16780226097609729</v>
      </c>
      <c r="P87" s="12">
        <f t="shared" si="47"/>
        <v>0.16090366598759659</v>
      </c>
      <c r="Q87" s="12">
        <f t="shared" si="47"/>
        <v>0.15424664180493278</v>
      </c>
      <c r="R87" s="12">
        <f t="shared" si="47"/>
        <v>0.14768506478673046</v>
      </c>
      <c r="S87" s="12">
        <f t="shared" si="47"/>
        <v>0.14114904407395629</v>
      </c>
      <c r="T87" s="12">
        <f t="shared" si="47"/>
        <v>0.13463730185133874</v>
      </c>
      <c r="U87" s="12">
        <f t="shared" si="47"/>
        <v>0.12814862419437004</v>
      </c>
      <c r="V87" s="12">
        <f t="shared" si="47"/>
        <v>0.12168185787476775</v>
      </c>
      <c r="W87" s="12">
        <f t="shared" si="47"/>
        <v>0.11523590732566347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0.58951912100000003</v>
      </c>
      <c r="M88" s="12">
        <f t="shared" si="48"/>
        <v>0.60130950342</v>
      </c>
      <c r="N88" s="12">
        <f t="shared" si="48"/>
        <v>0.6133356934884</v>
      </c>
      <c r="O88" s="12">
        <f t="shared" si="48"/>
        <v>0.62560240735816797</v>
      </c>
      <c r="P88" s="12">
        <f t="shared" si="48"/>
        <v>0.6381144555053313</v>
      </c>
      <c r="Q88" s="12">
        <f t="shared" si="48"/>
        <v>0.65087674461543799</v>
      </c>
      <c r="R88" s="12">
        <f t="shared" si="48"/>
        <v>0.66389427950774671</v>
      </c>
      <c r="S88" s="12">
        <f t="shared" si="48"/>
        <v>0.67717216509790168</v>
      </c>
      <c r="T88" s="12">
        <f t="shared" si="48"/>
        <v>0.69071560839985968</v>
      </c>
      <c r="U88" s="12">
        <f t="shared" si="48"/>
        <v>0.7045299205678569</v>
      </c>
      <c r="V88" s="12">
        <f t="shared" si="48"/>
        <v>0.71862051897921408</v>
      </c>
      <c r="W88" s="12">
        <f t="shared" si="48"/>
        <v>0.73299292935879834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0.71009440134726542</v>
      </c>
      <c r="K89" s="20">
        <f t="shared" si="49"/>
        <v>2.6129341539512918</v>
      </c>
      <c r="L89" s="20">
        <f t="shared" si="49"/>
        <v>4.3303607110124913</v>
      </c>
      <c r="M89" s="20">
        <f t="shared" si="49"/>
        <v>4.2158696882435436</v>
      </c>
      <c r="N89" s="20">
        <f t="shared" si="49"/>
        <v>4.1080772241195529</v>
      </c>
      <c r="O89" s="20">
        <f t="shared" si="49"/>
        <v>4.0063677787630532</v>
      </c>
      <c r="P89" s="20">
        <f t="shared" si="49"/>
        <v>3.9101866312692257</v>
      </c>
      <c r="Q89" s="20">
        <f t="shared" si="49"/>
        <v>3.8180618769916266</v>
      </c>
      <c r="R89" s="20">
        <f t="shared" si="49"/>
        <v>3.7276962192567806</v>
      </c>
      <c r="S89" s="20">
        <f t="shared" si="49"/>
        <v>3.6379935734153421</v>
      </c>
      <c r="T89" s="20">
        <f t="shared" si="49"/>
        <v>3.5489390134214873</v>
      </c>
      <c r="U89" s="20">
        <f t="shared" si="49"/>
        <v>3.4605187240226654</v>
      </c>
      <c r="V89" s="20">
        <f t="shared" si="49"/>
        <v>3.3727199525097475</v>
      </c>
      <c r="W89" s="20">
        <f t="shared" si="49"/>
        <v>3.2855309630254714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80" zoomScaleNormal="80" workbookViewId="0">
      <selection activeCell="Y25" sqref="Y25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132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Summary!H3</f>
        <v>2019</v>
      </c>
      <c r="I3" s="5">
        <f>Summary!I3</f>
        <v>2020</v>
      </c>
      <c r="J3" s="5">
        <f>Summary!J3</f>
        <v>2021</v>
      </c>
      <c r="K3" s="5">
        <f>Summary!K3</f>
        <v>2022</v>
      </c>
      <c r="L3" s="5">
        <f>Summary!L3</f>
        <v>2023</v>
      </c>
      <c r="M3" s="5">
        <f>Summary!M3</f>
        <v>2024</v>
      </c>
      <c r="N3" s="5">
        <f>Summary!N3</f>
        <v>2025</v>
      </c>
      <c r="O3" s="5">
        <f>Summary!O3</f>
        <v>2026</v>
      </c>
      <c r="P3" s="5">
        <f>Summary!P3</f>
        <v>2027</v>
      </c>
      <c r="Q3" s="5">
        <f>Summary!Q3</f>
        <v>2028</v>
      </c>
      <c r="R3" s="5">
        <f>Summary!R3</f>
        <v>2029</v>
      </c>
      <c r="S3" s="5">
        <f>Summary!S3</f>
        <v>2030</v>
      </c>
      <c r="T3" s="5">
        <f>Summary!T3</f>
        <v>2031</v>
      </c>
      <c r="U3" s="5">
        <f>Summary!U3</f>
        <v>2032</v>
      </c>
      <c r="V3" s="5">
        <f>Summary!V3</f>
        <v>2033</v>
      </c>
      <c r="W3" s="5">
        <f>Summary!W3</f>
        <v>2034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7">
        <v>0</v>
      </c>
      <c r="J8" s="47">
        <v>18.808869590625001</v>
      </c>
      <c r="K8" s="47">
        <v>15.044260005250001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2" t="s">
        <v>131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19.608246548226564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18.808869590625001</v>
      </c>
      <c r="K36" s="12">
        <f t="shared" si="10"/>
        <v>15.044260005250001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AFUDC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0.79937695760156247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0.79937695760156258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-35.451883511078123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19.608246548226564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9.804123274113282</v>
      </c>
      <c r="K40" s="20">
        <f t="shared" ref="K40:W40" si="14">(K35+K39)/2</f>
        <v>9.804123274113282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35.451883511078123</v>
      </c>
      <c r="M43" s="12">
        <f t="shared" si="15"/>
        <v>35.451883511078123</v>
      </c>
      <c r="N43" s="12">
        <f t="shared" si="15"/>
        <v>35.451883511078123</v>
      </c>
      <c r="O43" s="12">
        <f t="shared" si="15"/>
        <v>35.451883511078123</v>
      </c>
      <c r="P43" s="12">
        <f t="shared" si="15"/>
        <v>35.451883511078123</v>
      </c>
      <c r="Q43" s="12">
        <f t="shared" si="15"/>
        <v>35.451883511078123</v>
      </c>
      <c r="R43" s="12">
        <f t="shared" si="15"/>
        <v>35.451883511078123</v>
      </c>
      <c r="S43" s="12">
        <f t="shared" si="15"/>
        <v>35.451883511078123</v>
      </c>
      <c r="T43" s="12">
        <f t="shared" si="15"/>
        <v>35.451883511078123</v>
      </c>
      <c r="U43" s="12">
        <f t="shared" si="15"/>
        <v>35.451883511078123</v>
      </c>
      <c r="V43" s="12">
        <f t="shared" si="15"/>
        <v>35.451883511078123</v>
      </c>
      <c r="W43" s="12">
        <f t="shared" si="15"/>
        <v>35.451883511078123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35.451883511078123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35.451883511078123</v>
      </c>
      <c r="L46" s="20">
        <f t="shared" si="18"/>
        <v>35.451883511078123</v>
      </c>
      <c r="M46" s="20">
        <f t="shared" si="18"/>
        <v>35.451883511078123</v>
      </c>
      <c r="N46" s="20">
        <f t="shared" si="18"/>
        <v>35.451883511078123</v>
      </c>
      <c r="O46" s="20">
        <f t="shared" si="18"/>
        <v>35.451883511078123</v>
      </c>
      <c r="P46" s="20">
        <f t="shared" si="18"/>
        <v>35.451883511078123</v>
      </c>
      <c r="Q46" s="20">
        <f t="shared" si="18"/>
        <v>35.451883511078123</v>
      </c>
      <c r="R46" s="20">
        <f t="shared" si="18"/>
        <v>35.451883511078123</v>
      </c>
      <c r="S46" s="20">
        <f t="shared" si="18"/>
        <v>35.451883511078123</v>
      </c>
      <c r="T46" s="20">
        <f t="shared" si="18"/>
        <v>35.451883511078123</v>
      </c>
      <c r="U46" s="20">
        <f t="shared" si="18"/>
        <v>35.451883511078123</v>
      </c>
      <c r="V46" s="20">
        <f t="shared" si="18"/>
        <v>35.451883511078123</v>
      </c>
      <c r="W46" s="20">
        <f t="shared" si="18"/>
        <v>35.451883511078123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17.725941755539061</v>
      </c>
      <c r="L47" s="20">
        <f t="shared" si="19"/>
        <v>35.451883511078123</v>
      </c>
      <c r="M47" s="20">
        <f t="shared" si="19"/>
        <v>35.451883511078123</v>
      </c>
      <c r="N47" s="20">
        <f t="shared" si="19"/>
        <v>35.451883511078123</v>
      </c>
      <c r="O47" s="20">
        <f t="shared" si="19"/>
        <v>35.451883511078123</v>
      </c>
      <c r="P47" s="20">
        <f t="shared" si="19"/>
        <v>35.451883511078123</v>
      </c>
      <c r="Q47" s="20">
        <f t="shared" si="19"/>
        <v>35.451883511078123</v>
      </c>
      <c r="R47" s="20">
        <f t="shared" si="19"/>
        <v>35.451883511078123</v>
      </c>
      <c r="S47" s="20">
        <f t="shared" si="19"/>
        <v>35.451883511078123</v>
      </c>
      <c r="T47" s="20">
        <f t="shared" si="19"/>
        <v>35.451883511078123</v>
      </c>
      <c r="U47" s="20">
        <f t="shared" si="19"/>
        <v>35.451883511078123</v>
      </c>
      <c r="V47" s="20">
        <f t="shared" si="19"/>
        <v>35.451883511078123</v>
      </c>
      <c r="W47" s="20">
        <f t="shared" si="19"/>
        <v>35.451883511078123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0.44314854388847658</v>
      </c>
      <c r="M50" s="12">
        <f t="shared" si="20"/>
        <v>1.3294456316654297</v>
      </c>
      <c r="N50" s="12">
        <f t="shared" si="20"/>
        <v>2.2157427194423827</v>
      </c>
      <c r="O50" s="12">
        <f t="shared" si="20"/>
        <v>3.1020398072193358</v>
      </c>
      <c r="P50" s="12">
        <f t="shared" si="20"/>
        <v>3.988336894996289</v>
      </c>
      <c r="Q50" s="12">
        <f t="shared" si="20"/>
        <v>4.8746339827732417</v>
      </c>
      <c r="R50" s="12">
        <f t="shared" si="20"/>
        <v>5.7609310705501944</v>
      </c>
      <c r="S50" s="12">
        <f t="shared" si="20"/>
        <v>6.6472281583271471</v>
      </c>
      <c r="T50" s="12">
        <f t="shared" si="20"/>
        <v>7.5335252461040998</v>
      </c>
      <c r="U50" s="12">
        <f t="shared" si="20"/>
        <v>8.4198223338810525</v>
      </c>
      <c r="V50" s="12">
        <f t="shared" si="20"/>
        <v>9.3061194216580052</v>
      </c>
      <c r="W50" s="12">
        <f t="shared" si="20"/>
        <v>10.192416509434958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0.44314854388847658</v>
      </c>
      <c r="L51" s="12">
        <f t="shared" si="21"/>
        <v>0.88629708777695315</v>
      </c>
      <c r="M51" s="12">
        <f t="shared" si="21"/>
        <v>0.88629708777695315</v>
      </c>
      <c r="N51" s="12">
        <f t="shared" si="21"/>
        <v>0.88629708777695315</v>
      </c>
      <c r="O51" s="12">
        <f t="shared" si="21"/>
        <v>0.88629708777695315</v>
      </c>
      <c r="P51" s="12">
        <f t="shared" si="21"/>
        <v>0.88629708777695315</v>
      </c>
      <c r="Q51" s="12">
        <f t="shared" si="21"/>
        <v>0.88629708777695315</v>
      </c>
      <c r="R51" s="12">
        <f t="shared" si="21"/>
        <v>0.88629708777695315</v>
      </c>
      <c r="S51" s="12">
        <f t="shared" si="21"/>
        <v>0.88629708777695315</v>
      </c>
      <c r="T51" s="12">
        <f t="shared" si="21"/>
        <v>0.88629708777695315</v>
      </c>
      <c r="U51" s="12">
        <f t="shared" si="21"/>
        <v>0.88629708777695315</v>
      </c>
      <c r="V51" s="12">
        <f t="shared" si="21"/>
        <v>0.88629708777695315</v>
      </c>
      <c r="W51" s="12">
        <f t="shared" si="21"/>
        <v>0.88629708777695315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0.44314854388847658</v>
      </c>
      <c r="L53" s="20">
        <f t="shared" si="23"/>
        <v>1.3294456316654297</v>
      </c>
      <c r="M53" s="20">
        <f t="shared" si="23"/>
        <v>2.2157427194423827</v>
      </c>
      <c r="N53" s="20">
        <f t="shared" si="23"/>
        <v>3.1020398072193358</v>
      </c>
      <c r="O53" s="20">
        <f t="shared" si="23"/>
        <v>3.988336894996289</v>
      </c>
      <c r="P53" s="20">
        <f t="shared" si="23"/>
        <v>4.8746339827732417</v>
      </c>
      <c r="Q53" s="20">
        <f t="shared" si="23"/>
        <v>5.7609310705501944</v>
      </c>
      <c r="R53" s="20">
        <f t="shared" si="23"/>
        <v>6.6472281583271471</v>
      </c>
      <c r="S53" s="20">
        <f t="shared" si="23"/>
        <v>7.5335252461040998</v>
      </c>
      <c r="T53" s="20">
        <f t="shared" si="23"/>
        <v>8.4198223338810525</v>
      </c>
      <c r="U53" s="20">
        <f t="shared" si="23"/>
        <v>9.3061194216580052</v>
      </c>
      <c r="V53" s="20">
        <f t="shared" si="23"/>
        <v>10.192416509434958</v>
      </c>
      <c r="W53" s="20">
        <f t="shared" si="23"/>
        <v>11.078713597211911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0.22157427194423829</v>
      </c>
      <c r="L54" s="20">
        <f t="shared" si="24"/>
        <v>0.88629708777695315</v>
      </c>
      <c r="M54" s="20">
        <f t="shared" si="24"/>
        <v>1.7725941755539063</v>
      </c>
      <c r="N54" s="20">
        <f t="shared" si="24"/>
        <v>2.658891263330859</v>
      </c>
      <c r="O54" s="20">
        <f t="shared" si="24"/>
        <v>3.5451883511078126</v>
      </c>
      <c r="P54" s="20">
        <f t="shared" si="24"/>
        <v>4.4314854388847653</v>
      </c>
      <c r="Q54" s="20">
        <f t="shared" si="24"/>
        <v>5.317782526661718</v>
      </c>
      <c r="R54" s="20">
        <f t="shared" si="24"/>
        <v>6.2040796144386707</v>
      </c>
      <c r="S54" s="20">
        <f t="shared" si="24"/>
        <v>7.0903767022156234</v>
      </c>
      <c r="T54" s="20">
        <f t="shared" si="24"/>
        <v>7.9766737899925761</v>
      </c>
      <c r="U54" s="20">
        <f t="shared" si="24"/>
        <v>8.8629708777695289</v>
      </c>
      <c r="V54" s="20">
        <f t="shared" si="24"/>
        <v>9.7492679655464816</v>
      </c>
      <c r="W54" s="20">
        <f t="shared" si="24"/>
        <v>10.635565053323434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33.679289335524217</v>
      </c>
      <c r="M57" s="12">
        <f t="shared" si="25"/>
        <v>30.311360401971797</v>
      </c>
      <c r="N57" s="12">
        <f t="shared" si="25"/>
        <v>27.280224361774618</v>
      </c>
      <c r="O57" s="12">
        <f t="shared" si="25"/>
        <v>24.552201925597156</v>
      </c>
      <c r="P57" s="12">
        <f t="shared" si="25"/>
        <v>22.096981733037442</v>
      </c>
      <c r="Q57" s="12">
        <f t="shared" si="25"/>
        <v>19.887283559733699</v>
      </c>
      <c r="R57" s="12">
        <f t="shared" si="25"/>
        <v>17.793885290288046</v>
      </c>
      <c r="S57" s="12">
        <f t="shared" si="25"/>
        <v>15.700487020842393</v>
      </c>
      <c r="T57" s="12">
        <f t="shared" si="25"/>
        <v>13.607088751396741</v>
      </c>
      <c r="U57" s="12">
        <f t="shared" si="25"/>
        <v>11.513690481951089</v>
      </c>
      <c r="V57" s="12">
        <f t="shared" si="25"/>
        <v>9.4202922125054371</v>
      </c>
      <c r="W57" s="12">
        <f t="shared" si="25"/>
        <v>7.326893943059785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35.451883511078123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-1.7725941755539063</v>
      </c>
      <c r="L59" s="12">
        <f>-I23*L58-J23*K58-K23*J58-L23*I58</f>
        <v>-3.3679289335524216</v>
      </c>
      <c r="M59" s="12">
        <f>-I23*M58-J23*L58-K23*K58-L23*J58-M23*I58</f>
        <v>-3.0311360401971799</v>
      </c>
      <c r="N59" s="12">
        <f>-I23*N58-J23*M58-K23*L58-L23*K58-M23*J58-N23*I58</f>
        <v>-2.7280224361774619</v>
      </c>
      <c r="O59" s="12">
        <f>-I23*O58-J23*N58-K23*M58-L23*L58-M23*K58-N23*J58-O23*I58</f>
        <v>-2.4552201925597155</v>
      </c>
      <c r="P59" s="12">
        <f>-I23*P58-J23*O58-K23*N58-L23*M58-M23*L58-N23*K58-O23*J58-P23*I58</f>
        <v>-2.2096981733037437</v>
      </c>
      <c r="Q59" s="12">
        <f>-I23*Q58-J23*P58-K23*O58-L23*N58-M23*M58-N23*L58-O23*K58-P23*J58-Q23*I58</f>
        <v>-2.0933982694456521</v>
      </c>
      <c r="R59" s="12">
        <f>-I23*R58-J23*Q58-K23*P58-L23*O58-M23*N58-N23*M58-O23*L58-P23*K58-Q23*J58-R23*I58</f>
        <v>-2.0933982694456517</v>
      </c>
      <c r="S59" s="12">
        <f>-I23*S58-J23*R58-K23*Q58-L23*P58-M23*O58-N23*N58-O23*M58-P23*L58-Q23*K58-R23*J58-S23*I58</f>
        <v>-2.0933982694456521</v>
      </c>
      <c r="T59" s="12">
        <f>-I23*T58-J23*S58-K23*R58-L23*Q58-M23*P58-N23*O58-O23*N58-P23*M58-Q23*L58-R23*K58-S23*J58-T23*I58</f>
        <v>-2.0933982694456517</v>
      </c>
      <c r="U59" s="12">
        <f>-I23*U58-J23*T58-K23*S58-L23*R58-M23*Q58-N23*P58-O23*O58-P23*N58-Q23*M58-R23*L58-S23*K58-T23*J58-U23*I58</f>
        <v>-2.0933982694456517</v>
      </c>
      <c r="V59" s="12">
        <f>-I23*V58-J23*U58-K23*T58-L23*S58-M23*R58-N23*Q58-O23*P58-P23*O58-Q23*N58-R23*M58-S23*L58-T23*K58-U23*J58-V23*I58</f>
        <v>-2.0933982694456517</v>
      </c>
      <c r="W59" s="12">
        <f>-I23*W58-J23*V58-K23*U58-L23*T58-M23*S58-N23*R58-O23*Q58-P23*P58-Q23*O58-R23*N58-S23*M58-T23*L58-U23*K58-V23*J58-W23*I58</f>
        <v>-2.0933982694456508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33.679289335524217</v>
      </c>
      <c r="L60" s="20">
        <f t="shared" si="27"/>
        <v>30.311360401971797</v>
      </c>
      <c r="M60" s="20">
        <f t="shared" si="27"/>
        <v>27.280224361774618</v>
      </c>
      <c r="N60" s="20">
        <f t="shared" si="27"/>
        <v>24.552201925597156</v>
      </c>
      <c r="O60" s="20">
        <f t="shared" si="27"/>
        <v>22.096981733037442</v>
      </c>
      <c r="P60" s="20">
        <f t="shared" si="27"/>
        <v>19.887283559733699</v>
      </c>
      <c r="Q60" s="20">
        <f t="shared" si="27"/>
        <v>17.793885290288046</v>
      </c>
      <c r="R60" s="20">
        <f t="shared" si="27"/>
        <v>15.700487020842393</v>
      </c>
      <c r="S60" s="20">
        <f t="shared" si="27"/>
        <v>13.607088751396741</v>
      </c>
      <c r="T60" s="20">
        <f t="shared" si="27"/>
        <v>11.513690481951089</v>
      </c>
      <c r="U60" s="20">
        <f t="shared" si="27"/>
        <v>9.4202922125054371</v>
      </c>
      <c r="V60" s="20">
        <f t="shared" si="27"/>
        <v>7.326893943059785</v>
      </c>
      <c r="W60" s="20">
        <f t="shared" si="27"/>
        <v>5.2334956736141347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34.56558642330117</v>
      </c>
      <c r="M63" s="12">
        <f t="shared" si="28"/>
        <v>32.837307102136108</v>
      </c>
      <c r="N63" s="12">
        <f t="shared" si="28"/>
        <v>31.195441747029303</v>
      </c>
      <c r="O63" s="12">
        <f t="shared" si="28"/>
        <v>29.635669659677838</v>
      </c>
      <c r="P63" s="12">
        <f t="shared" si="28"/>
        <v>28.153886176693945</v>
      </c>
      <c r="Q63" s="12">
        <f t="shared" si="28"/>
        <v>26.746191867859249</v>
      </c>
      <c r="R63" s="12">
        <f t="shared" si="28"/>
        <v>25.408882274466286</v>
      </c>
      <c r="S63" s="12">
        <f t="shared" si="28"/>
        <v>24.138438160742972</v>
      </c>
      <c r="T63" s="12">
        <f t="shared" si="28"/>
        <v>22.931516252705823</v>
      </c>
      <c r="U63" s="12">
        <f t="shared" si="28"/>
        <v>21.784940440070532</v>
      </c>
      <c r="V63" s="12">
        <f t="shared" si="28"/>
        <v>20.695693418067005</v>
      </c>
      <c r="W63" s="12">
        <f t="shared" si="28"/>
        <v>19.660908747163656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35.451883511078123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-0.88629708777695315</v>
      </c>
      <c r="L65" s="12">
        <f t="shared" si="30"/>
        <v>-1.7282793211650587</v>
      </c>
      <c r="M65" s="12">
        <f t="shared" si="30"/>
        <v>-1.6418653551068054</v>
      </c>
      <c r="N65" s="12">
        <f t="shared" si="30"/>
        <v>-1.5597720873514653</v>
      </c>
      <c r="O65" s="12">
        <f t="shared" si="30"/>
        <v>-1.4817834829838921</v>
      </c>
      <c r="P65" s="12">
        <f t="shared" si="30"/>
        <v>-1.4076943088346974</v>
      </c>
      <c r="Q65" s="12">
        <f t="shared" si="30"/>
        <v>-1.3373095933929626</v>
      </c>
      <c r="R65" s="12">
        <f t="shared" si="30"/>
        <v>-1.2704441137233144</v>
      </c>
      <c r="S65" s="12">
        <f t="shared" si="30"/>
        <v>-1.2069219080371487</v>
      </c>
      <c r="T65" s="12">
        <f t="shared" si="30"/>
        <v>-1.1465758126352912</v>
      </c>
      <c r="U65" s="12">
        <f t="shared" si="30"/>
        <v>-1.0892470220035266</v>
      </c>
      <c r="V65" s="12">
        <f t="shared" si="30"/>
        <v>-1.0347846709033504</v>
      </c>
      <c r="W65" s="12">
        <f t="shared" si="30"/>
        <v>-0.98304543735818284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34.56558642330117</v>
      </c>
      <c r="L66" s="20">
        <f t="shared" si="31"/>
        <v>32.837307102136108</v>
      </c>
      <c r="M66" s="20">
        <f t="shared" si="31"/>
        <v>31.195441747029303</v>
      </c>
      <c r="N66" s="20">
        <f t="shared" si="31"/>
        <v>29.635669659677838</v>
      </c>
      <c r="O66" s="20">
        <f t="shared" si="31"/>
        <v>28.153886176693945</v>
      </c>
      <c r="P66" s="20">
        <f t="shared" si="31"/>
        <v>26.746191867859249</v>
      </c>
      <c r="Q66" s="20">
        <f t="shared" si="31"/>
        <v>25.408882274466286</v>
      </c>
      <c r="R66" s="20">
        <f t="shared" si="31"/>
        <v>24.138438160742972</v>
      </c>
      <c r="S66" s="20">
        <f t="shared" si="31"/>
        <v>22.931516252705823</v>
      </c>
      <c r="T66" s="20">
        <f t="shared" si="31"/>
        <v>21.784940440070532</v>
      </c>
      <c r="U66" s="20">
        <f t="shared" si="31"/>
        <v>20.695693418067005</v>
      </c>
      <c r="V66" s="20">
        <f t="shared" si="31"/>
        <v>19.660908747163656</v>
      </c>
      <c r="W66" s="20">
        <f t="shared" si="31"/>
        <v>18.677863309805474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0.31013130436073594</v>
      </c>
      <c r="M69" s="12">
        <f t="shared" si="32"/>
        <v>0.89007466322447604</v>
      </c>
      <c r="N69" s="12">
        <f t="shared" si="32"/>
        <v>1.3932567087499712</v>
      </c>
      <c r="O69" s="12">
        <f t="shared" si="32"/>
        <v>1.8270518319843636</v>
      </c>
      <c r="P69" s="12">
        <f t="shared" si="32"/>
        <v>2.1981120718844154</v>
      </c>
      <c r="Q69" s="12">
        <f t="shared" si="32"/>
        <v>2.5124385961748299</v>
      </c>
      <c r="R69" s="12">
        <f t="shared" si="32"/>
        <v>2.7974267536674562</v>
      </c>
      <c r="S69" s="12">
        <f t="shared" si="32"/>
        <v>3.0777452935218728</v>
      </c>
      <c r="T69" s="12">
        <f t="shared" si="32"/>
        <v>3.3536276966199905</v>
      </c>
      <c r="U69" s="12">
        <f t="shared" si="32"/>
        <v>3.625295769799624</v>
      </c>
      <c r="V69" s="12">
        <f t="shared" si="32"/>
        <v>3.8929602295566976</v>
      </c>
      <c r="W69" s="12">
        <f t="shared" si="32"/>
        <v>4.1568212565623393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0.27095697308099459</v>
      </c>
      <c r="L70" s="12">
        <f t="shared" si="33"/>
        <v>0.50551212943223156</v>
      </c>
      <c r="M70" s="12">
        <f t="shared" si="33"/>
        <v>0.43638981069353616</v>
      </c>
      <c r="N70" s="12">
        <f t="shared" si="33"/>
        <v>0.37425993327200557</v>
      </c>
      <c r="O70" s="12">
        <f t="shared" si="33"/>
        <v>0.31841924256375848</v>
      </c>
      <c r="P70" s="12">
        <f t="shared" si="33"/>
        <v>0.26823500994891003</v>
      </c>
      <c r="Q70" s="12">
        <f t="shared" si="33"/>
        <v>0.24511865199617117</v>
      </c>
      <c r="R70" s="12">
        <f t="shared" si="33"/>
        <v>0.24635994276075845</v>
      </c>
      <c r="S70" s="12">
        <f t="shared" si="33"/>
        <v>0.2475391689871165</v>
      </c>
      <c r="T70" s="12">
        <f t="shared" si="33"/>
        <v>0.2486594339021565</v>
      </c>
      <c r="U70" s="12">
        <f t="shared" si="33"/>
        <v>0.24972368557144459</v>
      </c>
      <c r="V70" s="12">
        <f t="shared" si="33"/>
        <v>0.25073472465726826</v>
      </c>
      <c r="W70" s="12">
        <f t="shared" si="33"/>
        <v>0.25169521178880055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3.9174331279741334E-2</v>
      </c>
      <c r="L71" s="12">
        <f t="shared" si="34"/>
        <v>7.4431229431508539E-2</v>
      </c>
      <c r="M71" s="12">
        <f t="shared" si="34"/>
        <v>6.6792234831958952E-2</v>
      </c>
      <c r="N71" s="12">
        <f t="shared" si="34"/>
        <v>5.9535189962386881E-2</v>
      </c>
      <c r="O71" s="12">
        <f t="shared" si="34"/>
        <v>5.2640997336293405E-2</v>
      </c>
      <c r="P71" s="12">
        <f t="shared" si="34"/>
        <v>4.6091514341504596E-2</v>
      </c>
      <c r="Q71" s="12">
        <f t="shared" si="34"/>
        <v>3.9869505496455238E-2</v>
      </c>
      <c r="R71" s="12">
        <f t="shared" si="34"/>
        <v>3.3958597093658338E-2</v>
      </c>
      <c r="S71" s="12">
        <f t="shared" si="34"/>
        <v>2.834323411100129E-2</v>
      </c>
      <c r="T71" s="12">
        <f t="shared" si="34"/>
        <v>2.3008639277477084E-2</v>
      </c>
      <c r="U71" s="12">
        <f t="shared" si="34"/>
        <v>1.7940774185629099E-2</v>
      </c>
      <c r="V71" s="12">
        <f t="shared" si="34"/>
        <v>1.3126302348373513E-2</v>
      </c>
      <c r="W71" s="12">
        <f t="shared" si="34"/>
        <v>8.5525541029807042E-3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0.31013130436073594</v>
      </c>
      <c r="L72" s="20">
        <f t="shared" si="35"/>
        <v>0.89007466322447604</v>
      </c>
      <c r="M72" s="20">
        <f t="shared" si="35"/>
        <v>1.3932567087499712</v>
      </c>
      <c r="N72" s="20">
        <f t="shared" si="35"/>
        <v>1.8270518319843636</v>
      </c>
      <c r="O72" s="20">
        <f t="shared" si="35"/>
        <v>2.1981120718844154</v>
      </c>
      <c r="P72" s="20">
        <f t="shared" si="35"/>
        <v>2.5124385961748299</v>
      </c>
      <c r="Q72" s="20">
        <f t="shared" si="35"/>
        <v>2.7974267536674562</v>
      </c>
      <c r="R72" s="20">
        <f t="shared" si="35"/>
        <v>3.0777452935218728</v>
      </c>
      <c r="S72" s="20">
        <f t="shared" si="35"/>
        <v>3.3536276966199905</v>
      </c>
      <c r="T72" s="20">
        <f t="shared" si="35"/>
        <v>3.625295769799624</v>
      </c>
      <c r="U72" s="20">
        <f t="shared" si="35"/>
        <v>3.8929602295566976</v>
      </c>
      <c r="V72" s="20">
        <f t="shared" si="35"/>
        <v>4.1568212565623393</v>
      </c>
      <c r="W72" s="20">
        <f t="shared" si="35"/>
        <v>4.41706902245412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0.15506565218036797</v>
      </c>
      <c r="L73" s="20">
        <f t="shared" si="36"/>
        <v>0.60010298379260596</v>
      </c>
      <c r="M73" s="20">
        <f t="shared" si="36"/>
        <v>1.1416656859872236</v>
      </c>
      <c r="N73" s="20">
        <f t="shared" si="36"/>
        <v>1.6101542703671674</v>
      </c>
      <c r="O73" s="20">
        <f t="shared" si="36"/>
        <v>2.0125819519343895</v>
      </c>
      <c r="P73" s="20">
        <f t="shared" si="36"/>
        <v>2.3552753340296224</v>
      </c>
      <c r="Q73" s="20">
        <f t="shared" si="36"/>
        <v>2.654932674921143</v>
      </c>
      <c r="R73" s="20">
        <f t="shared" si="36"/>
        <v>2.9375860235946645</v>
      </c>
      <c r="S73" s="20">
        <f t="shared" si="36"/>
        <v>3.2156864950709316</v>
      </c>
      <c r="T73" s="20">
        <f t="shared" si="36"/>
        <v>3.489461733209807</v>
      </c>
      <c r="U73" s="20">
        <f t="shared" si="36"/>
        <v>3.759127999678161</v>
      </c>
      <c r="V73" s="20">
        <f t="shared" si="36"/>
        <v>4.0248907430595189</v>
      </c>
      <c r="W73" s="20">
        <f t="shared" si="36"/>
        <v>4.2869451395082301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17.725941755539061</v>
      </c>
      <c r="L76" s="12">
        <f t="shared" si="37"/>
        <v>35.451883511078123</v>
      </c>
      <c r="M76" s="12">
        <f t="shared" si="37"/>
        <v>35.451883511078123</v>
      </c>
      <c r="N76" s="12">
        <f t="shared" si="37"/>
        <v>35.451883511078123</v>
      </c>
      <c r="O76" s="12">
        <f t="shared" si="37"/>
        <v>35.451883511078123</v>
      </c>
      <c r="P76" s="12">
        <f t="shared" si="37"/>
        <v>35.451883511078123</v>
      </c>
      <c r="Q76" s="12">
        <f t="shared" si="37"/>
        <v>35.451883511078123</v>
      </c>
      <c r="R76" s="12">
        <f t="shared" si="37"/>
        <v>35.451883511078123</v>
      </c>
      <c r="S76" s="12">
        <f t="shared" si="37"/>
        <v>35.451883511078123</v>
      </c>
      <c r="T76" s="12">
        <f t="shared" si="37"/>
        <v>35.451883511078123</v>
      </c>
      <c r="U76" s="12">
        <f t="shared" si="37"/>
        <v>35.451883511078123</v>
      </c>
      <c r="V76" s="12">
        <f t="shared" si="37"/>
        <v>35.451883511078123</v>
      </c>
      <c r="W76" s="12">
        <f t="shared" si="37"/>
        <v>35.451883511078123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-0.22157427194423829</v>
      </c>
      <c r="L77" s="12">
        <f t="shared" si="38"/>
        <v>-0.88629708777695315</v>
      </c>
      <c r="M77" s="12">
        <f t="shared" si="38"/>
        <v>-1.7725941755539063</v>
      </c>
      <c r="N77" s="12">
        <f t="shared" si="38"/>
        <v>-2.658891263330859</v>
      </c>
      <c r="O77" s="12">
        <f t="shared" si="38"/>
        <v>-3.5451883511078126</v>
      </c>
      <c r="P77" s="12">
        <f t="shared" si="38"/>
        <v>-4.4314854388847653</v>
      </c>
      <c r="Q77" s="12">
        <f t="shared" si="38"/>
        <v>-5.317782526661718</v>
      </c>
      <c r="R77" s="12">
        <f t="shared" si="38"/>
        <v>-6.2040796144386707</v>
      </c>
      <c r="S77" s="12">
        <f t="shared" si="38"/>
        <v>-7.0903767022156234</v>
      </c>
      <c r="T77" s="12">
        <f t="shared" si="38"/>
        <v>-7.9766737899925761</v>
      </c>
      <c r="U77" s="12">
        <f t="shared" si="38"/>
        <v>-8.8629708777695289</v>
      </c>
      <c r="V77" s="12">
        <f t="shared" si="38"/>
        <v>-9.7492679655464816</v>
      </c>
      <c r="W77" s="12">
        <f t="shared" si="38"/>
        <v>-10.635565053323434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-0.15506565218036797</v>
      </c>
      <c r="L79" s="12">
        <f t="shared" si="40"/>
        <v>-0.60010298379260596</v>
      </c>
      <c r="M79" s="12">
        <f t="shared" si="40"/>
        <v>-1.1416656859872236</v>
      </c>
      <c r="N79" s="12">
        <f t="shared" si="40"/>
        <v>-1.6101542703671674</v>
      </c>
      <c r="O79" s="12">
        <f t="shared" si="40"/>
        <v>-2.0125819519343895</v>
      </c>
      <c r="P79" s="12">
        <f t="shared" si="40"/>
        <v>-2.3552753340296224</v>
      </c>
      <c r="Q79" s="12">
        <f t="shared" si="40"/>
        <v>-2.654932674921143</v>
      </c>
      <c r="R79" s="12">
        <f t="shared" si="40"/>
        <v>-2.9375860235946645</v>
      </c>
      <c r="S79" s="12">
        <f t="shared" si="40"/>
        <v>-3.2156864950709316</v>
      </c>
      <c r="T79" s="12">
        <f t="shared" si="40"/>
        <v>-3.489461733209807</v>
      </c>
      <c r="U79" s="12">
        <f t="shared" si="40"/>
        <v>-3.759127999678161</v>
      </c>
      <c r="V79" s="12">
        <f t="shared" si="40"/>
        <v>-4.0248907430595189</v>
      </c>
      <c r="W79" s="12">
        <f t="shared" si="40"/>
        <v>-4.2869451395082301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17.349301831414454</v>
      </c>
      <c r="L80" s="20">
        <f t="shared" si="41"/>
        <v>33.965483439508567</v>
      </c>
      <c r="M80" s="20">
        <f t="shared" si="41"/>
        <v>32.537623649536997</v>
      </c>
      <c r="N80" s="20">
        <f t="shared" si="41"/>
        <v>31.182837977380096</v>
      </c>
      <c r="O80" s="20">
        <f t="shared" si="41"/>
        <v>29.894113208035922</v>
      </c>
      <c r="P80" s="20">
        <f t="shared" si="41"/>
        <v>28.665122738163738</v>
      </c>
      <c r="Q80" s="20">
        <f t="shared" si="41"/>
        <v>27.479168309495265</v>
      </c>
      <c r="R80" s="20">
        <f t="shared" si="41"/>
        <v>26.310217873044788</v>
      </c>
      <c r="S80" s="20">
        <f t="shared" si="41"/>
        <v>25.145820313791567</v>
      </c>
      <c r="T80" s="20">
        <f t="shared" si="41"/>
        <v>23.98574798787574</v>
      </c>
      <c r="U80" s="20">
        <f t="shared" si="41"/>
        <v>22.829784633630435</v>
      </c>
      <c r="V80" s="20">
        <f t="shared" si="41"/>
        <v>21.677724802472124</v>
      </c>
      <c r="W80" s="20">
        <f t="shared" si="41"/>
        <v>20.52937331824646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0.44314854388847658</v>
      </c>
      <c r="L83" s="12">
        <f t="shared" si="42"/>
        <v>0.88629708777695315</v>
      </c>
      <c r="M83" s="12">
        <f t="shared" si="42"/>
        <v>0.88629708777695315</v>
      </c>
      <c r="N83" s="12">
        <f t="shared" si="42"/>
        <v>0.88629708777695315</v>
      </c>
      <c r="O83" s="12">
        <f t="shared" si="42"/>
        <v>0.88629708777695315</v>
      </c>
      <c r="P83" s="12">
        <f t="shared" si="42"/>
        <v>0.88629708777695315</v>
      </c>
      <c r="Q83" s="12">
        <f t="shared" si="42"/>
        <v>0.88629708777695315</v>
      </c>
      <c r="R83" s="12">
        <f t="shared" si="42"/>
        <v>0.88629708777695315</v>
      </c>
      <c r="S83" s="12">
        <f t="shared" si="42"/>
        <v>0.88629708777695315</v>
      </c>
      <c r="T83" s="12">
        <f t="shared" si="42"/>
        <v>0.88629708777695315</v>
      </c>
      <c r="U83" s="12">
        <f t="shared" si="42"/>
        <v>0.88629708777695315</v>
      </c>
      <c r="V83" s="12">
        <f t="shared" si="42"/>
        <v>0.88629708777695315</v>
      </c>
      <c r="W83" s="12">
        <f t="shared" si="42"/>
        <v>0.88629708777695315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0.52047905494243363</v>
      </c>
      <c r="L84" s="12">
        <f t="shared" si="44"/>
        <v>1.018964503185257</v>
      </c>
      <c r="M84" s="12">
        <f t="shared" si="44"/>
        <v>0.97612870948610986</v>
      </c>
      <c r="N84" s="12">
        <f t="shared" si="44"/>
        <v>0.93548513932140287</v>
      </c>
      <c r="O84" s="12">
        <f t="shared" si="44"/>
        <v>0.89682339624107765</v>
      </c>
      <c r="P84" s="12">
        <f t="shared" si="44"/>
        <v>0.85995368214491208</v>
      </c>
      <c r="Q84" s="12">
        <f t="shared" si="44"/>
        <v>0.82437504928485794</v>
      </c>
      <c r="R84" s="12">
        <f t="shared" si="44"/>
        <v>0.78930653619134361</v>
      </c>
      <c r="S84" s="12">
        <f t="shared" si="44"/>
        <v>0.75437460941374701</v>
      </c>
      <c r="T84" s="12">
        <f t="shared" si="44"/>
        <v>0.71957243963627215</v>
      </c>
      <c r="U84" s="12">
        <f t="shared" si="44"/>
        <v>0.68489353900891303</v>
      </c>
      <c r="V84" s="12">
        <f t="shared" si="44"/>
        <v>0.65033174407416372</v>
      </c>
      <c r="W84" s="12">
        <f t="shared" si="44"/>
        <v>0.61588119954739373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0.95421160072779498</v>
      </c>
      <c r="L85" s="12">
        <f t="shared" si="45"/>
        <v>1.8681015891729713</v>
      </c>
      <c r="M85" s="12">
        <f t="shared" si="45"/>
        <v>1.7895693007245348</v>
      </c>
      <c r="N85" s="12">
        <f t="shared" si="45"/>
        <v>1.7150560887559052</v>
      </c>
      <c r="O85" s="12">
        <f t="shared" si="45"/>
        <v>1.6441762264419757</v>
      </c>
      <c r="P85" s="12">
        <f t="shared" si="45"/>
        <v>1.5765817505990056</v>
      </c>
      <c r="Q85" s="12">
        <f t="shared" si="45"/>
        <v>1.5113542570222396</v>
      </c>
      <c r="R85" s="12">
        <f t="shared" si="45"/>
        <v>1.4470619830174634</v>
      </c>
      <c r="S85" s="12">
        <f t="shared" si="45"/>
        <v>1.3830201172585361</v>
      </c>
      <c r="T85" s="12">
        <f t="shared" si="45"/>
        <v>1.3192161393331656</v>
      </c>
      <c r="U85" s="12">
        <f t="shared" si="45"/>
        <v>1.255638154849674</v>
      </c>
      <c r="V85" s="12">
        <f t="shared" si="45"/>
        <v>1.1922748641359668</v>
      </c>
      <c r="W85" s="12">
        <f t="shared" si="45"/>
        <v>1.1291155325035553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0.25365118500359107</v>
      </c>
      <c r="L86" s="12">
        <f t="shared" si="46"/>
        <v>0.49658396674218225</v>
      </c>
      <c r="M86" s="12">
        <f t="shared" si="46"/>
        <v>0.47570829512930668</v>
      </c>
      <c r="N86" s="12">
        <f t="shared" si="46"/>
        <v>0.45590098561865833</v>
      </c>
      <c r="O86" s="12">
        <f t="shared" si="46"/>
        <v>0.43705950323141124</v>
      </c>
      <c r="P86" s="12">
        <f t="shared" si="46"/>
        <v>0.41909135142505211</v>
      </c>
      <c r="Q86" s="12">
        <f t="shared" si="46"/>
        <v>0.40175239743629149</v>
      </c>
      <c r="R86" s="12">
        <f t="shared" si="46"/>
        <v>0.38466204611856614</v>
      </c>
      <c r="S86" s="12">
        <f t="shared" si="46"/>
        <v>0.36763825901809188</v>
      </c>
      <c r="T86" s="12">
        <f t="shared" si="46"/>
        <v>0.35067770792400604</v>
      </c>
      <c r="U86" s="12">
        <f t="shared" si="46"/>
        <v>0.33377723103598927</v>
      </c>
      <c r="V86" s="12">
        <f t="shared" si="46"/>
        <v>0.31693382464373798</v>
      </c>
      <c r="W86" s="12">
        <f t="shared" si="46"/>
        <v>0.30014463522246404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0.11712930041537357</v>
      </c>
      <c r="L87" s="12">
        <f t="shared" si="47"/>
        <v>0.22930913025767835</v>
      </c>
      <c r="M87" s="12">
        <f t="shared" si="47"/>
        <v>0.21966930613589253</v>
      </c>
      <c r="N87" s="12">
        <f t="shared" si="47"/>
        <v>0.21052282292092081</v>
      </c>
      <c r="O87" s="12">
        <f t="shared" si="47"/>
        <v>0.20182233271514635</v>
      </c>
      <c r="P87" s="12">
        <f t="shared" si="47"/>
        <v>0.19352512310106046</v>
      </c>
      <c r="Q87" s="12">
        <f t="shared" si="47"/>
        <v>0.18551846012958992</v>
      </c>
      <c r="R87" s="12">
        <f t="shared" si="47"/>
        <v>0.17762659519046184</v>
      </c>
      <c r="S87" s="12">
        <f t="shared" si="47"/>
        <v>0.16976546781796176</v>
      </c>
      <c r="T87" s="12">
        <f t="shared" si="47"/>
        <v>0.16193354113375821</v>
      </c>
      <c r="U87" s="12">
        <f t="shared" si="47"/>
        <v>0.15412935510343642</v>
      </c>
      <c r="V87" s="12">
        <f t="shared" si="47"/>
        <v>0.14635152269430227</v>
      </c>
      <c r="W87" s="12">
        <f t="shared" si="47"/>
        <v>0.13859872622529631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0.7090376702215625</v>
      </c>
      <c r="M88" s="12">
        <f t="shared" si="48"/>
        <v>0.72321842362599376</v>
      </c>
      <c r="N88" s="12">
        <f t="shared" si="48"/>
        <v>0.73768279209851362</v>
      </c>
      <c r="O88" s="12">
        <f t="shared" si="48"/>
        <v>0.75243644794048392</v>
      </c>
      <c r="P88" s="12">
        <f t="shared" si="48"/>
        <v>0.76748517689929363</v>
      </c>
      <c r="Q88" s="12">
        <f t="shared" si="48"/>
        <v>0.78283488043727956</v>
      </c>
      <c r="R88" s="12">
        <f t="shared" si="48"/>
        <v>0.79849157804602511</v>
      </c>
      <c r="S88" s="12">
        <f t="shared" si="48"/>
        <v>0.81446140960694557</v>
      </c>
      <c r="T88" s="12">
        <f t="shared" si="48"/>
        <v>0.83075063779908453</v>
      </c>
      <c r="U88" s="12">
        <f t="shared" si="48"/>
        <v>0.84736565055506619</v>
      </c>
      <c r="V88" s="12">
        <f t="shared" si="48"/>
        <v>0.86431296356616749</v>
      </c>
      <c r="W88" s="12">
        <f t="shared" si="48"/>
        <v>0.88159922283749081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2.2886196849776699</v>
      </c>
      <c r="L89" s="20">
        <f t="shared" si="49"/>
        <v>5.2082939473566041</v>
      </c>
      <c r="M89" s="20">
        <f t="shared" si="49"/>
        <v>5.070591122878791</v>
      </c>
      <c r="N89" s="20">
        <f t="shared" si="49"/>
        <v>4.940944916492354</v>
      </c>
      <c r="O89" s="20">
        <f t="shared" si="49"/>
        <v>4.8186149943470484</v>
      </c>
      <c r="P89" s="20">
        <f t="shared" si="49"/>
        <v>4.7029341719462767</v>
      </c>
      <c r="Q89" s="20">
        <f t="shared" si="49"/>
        <v>4.5921321320872117</v>
      </c>
      <c r="R89" s="20">
        <f t="shared" si="49"/>
        <v>4.4834458263408132</v>
      </c>
      <c r="S89" s="20">
        <f t="shared" si="49"/>
        <v>4.3755569508922356</v>
      </c>
      <c r="T89" s="20">
        <f t="shared" si="49"/>
        <v>4.2684475536032398</v>
      </c>
      <c r="U89" s="20">
        <f t="shared" si="49"/>
        <v>4.1621010183300324</v>
      </c>
      <c r="V89" s="20">
        <f t="shared" si="49"/>
        <v>4.0565020068912911</v>
      </c>
      <c r="W89" s="20">
        <f t="shared" si="49"/>
        <v>3.9516364041131529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80" zoomScaleNormal="80" workbookViewId="0">
      <selection activeCell="Z37" sqref="Z37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133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2019</v>
      </c>
      <c r="I3" s="5">
        <f>Existing!I3</f>
        <v>2020</v>
      </c>
      <c r="J3" s="5">
        <f>Existing!J3</f>
        <v>2021</v>
      </c>
      <c r="K3" s="5">
        <f>Existing!K3</f>
        <v>2022</v>
      </c>
      <c r="L3" s="5">
        <f>Existing!L3</f>
        <v>2023</v>
      </c>
      <c r="M3" s="5">
        <f>Existing!M3</f>
        <v>2024</v>
      </c>
      <c r="N3" s="5">
        <f>Existing!N3</f>
        <v>2025</v>
      </c>
      <c r="O3" s="5">
        <f>Existing!O3</f>
        <v>2026</v>
      </c>
      <c r="P3" s="5">
        <f>Existing!P3</f>
        <v>2027</v>
      </c>
      <c r="Q3" s="5">
        <f>Existing!Q3</f>
        <v>2028</v>
      </c>
      <c r="R3" s="5">
        <f>Existing!R3</f>
        <v>2029</v>
      </c>
      <c r="S3" s="5">
        <f>Existing!S3</f>
        <v>2030</v>
      </c>
      <c r="T3" s="5">
        <f>Existing!T3</f>
        <v>2031</v>
      </c>
      <c r="U3" s="5">
        <f>Existing!U3</f>
        <v>2032</v>
      </c>
      <c r="V3" s="5">
        <f>Existing!V3</f>
        <v>2033</v>
      </c>
      <c r="W3" s="5">
        <f>Existing!W3</f>
        <v>2034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07">
        <v>0</v>
      </c>
      <c r="J8" s="107">
        <v>18.029331324999998</v>
      </c>
      <c r="K8" s="107">
        <v>20.558684849999995</v>
      </c>
      <c r="L8" s="107">
        <v>18.283492499999998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18.029331324999998</v>
      </c>
      <c r="L35" s="12">
        <f t="shared" si="9"/>
        <v>38.588016174999993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18.029331324999998</v>
      </c>
      <c r="K36" s="12">
        <f t="shared" si="10"/>
        <v>20.558684849999995</v>
      </c>
      <c r="L36" s="12">
        <f t="shared" si="10"/>
        <v>18.283492499999998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-56.871508674999987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18.029331324999998</v>
      </c>
      <c r="K39" s="20">
        <f t="shared" ref="K39:W39" si="13">SUM(K35:K38)</f>
        <v>38.588016174999993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9.0146656624999988</v>
      </c>
      <c r="K40" s="20">
        <f t="shared" ref="K40:W40" si="14">(K35+K39)/2</f>
        <v>28.308673749999997</v>
      </c>
      <c r="L40" s="20">
        <f t="shared" si="14"/>
        <v>19.294008087499996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56.871508674999987</v>
      </c>
      <c r="N43" s="12">
        <f t="shared" si="15"/>
        <v>56.871508674999987</v>
      </c>
      <c r="O43" s="12">
        <f t="shared" si="15"/>
        <v>56.871508674999987</v>
      </c>
      <c r="P43" s="12">
        <f t="shared" si="15"/>
        <v>56.871508674999987</v>
      </c>
      <c r="Q43" s="12">
        <f t="shared" si="15"/>
        <v>56.871508674999987</v>
      </c>
      <c r="R43" s="12">
        <f t="shared" si="15"/>
        <v>56.871508674999987</v>
      </c>
      <c r="S43" s="12">
        <f t="shared" si="15"/>
        <v>56.871508674999987</v>
      </c>
      <c r="T43" s="12">
        <f t="shared" si="15"/>
        <v>56.871508674999987</v>
      </c>
      <c r="U43" s="12">
        <f t="shared" si="15"/>
        <v>56.871508674999987</v>
      </c>
      <c r="V43" s="12">
        <f t="shared" si="15"/>
        <v>56.871508674999987</v>
      </c>
      <c r="W43" s="12">
        <f t="shared" si="15"/>
        <v>56.871508674999987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56.871508674999987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56.871508674999987</v>
      </c>
      <c r="M46" s="20">
        <f t="shared" si="18"/>
        <v>56.871508674999987</v>
      </c>
      <c r="N46" s="20">
        <f t="shared" si="18"/>
        <v>56.871508674999987</v>
      </c>
      <c r="O46" s="20">
        <f t="shared" si="18"/>
        <v>56.871508674999987</v>
      </c>
      <c r="P46" s="20">
        <f t="shared" si="18"/>
        <v>56.871508674999987</v>
      </c>
      <c r="Q46" s="20">
        <f t="shared" si="18"/>
        <v>56.871508674999987</v>
      </c>
      <c r="R46" s="20">
        <f t="shared" si="18"/>
        <v>56.871508674999987</v>
      </c>
      <c r="S46" s="20">
        <f t="shared" si="18"/>
        <v>56.871508674999987</v>
      </c>
      <c r="T46" s="20">
        <f t="shared" si="18"/>
        <v>56.871508674999987</v>
      </c>
      <c r="U46" s="20">
        <f t="shared" si="18"/>
        <v>56.871508674999987</v>
      </c>
      <c r="V46" s="20">
        <f t="shared" si="18"/>
        <v>56.871508674999987</v>
      </c>
      <c r="W46" s="20">
        <f t="shared" si="18"/>
        <v>56.871508674999987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28.435754337499993</v>
      </c>
      <c r="M47" s="20">
        <f t="shared" si="19"/>
        <v>56.871508674999987</v>
      </c>
      <c r="N47" s="20">
        <f t="shared" si="19"/>
        <v>56.871508674999987</v>
      </c>
      <c r="O47" s="20">
        <f t="shared" si="19"/>
        <v>56.871508674999987</v>
      </c>
      <c r="P47" s="20">
        <f t="shared" si="19"/>
        <v>56.871508674999987</v>
      </c>
      <c r="Q47" s="20">
        <f t="shared" si="19"/>
        <v>56.871508674999987</v>
      </c>
      <c r="R47" s="20">
        <f t="shared" si="19"/>
        <v>56.871508674999987</v>
      </c>
      <c r="S47" s="20">
        <f t="shared" si="19"/>
        <v>56.871508674999987</v>
      </c>
      <c r="T47" s="20">
        <f t="shared" si="19"/>
        <v>56.871508674999987</v>
      </c>
      <c r="U47" s="20">
        <f t="shared" si="19"/>
        <v>56.871508674999987</v>
      </c>
      <c r="V47" s="20">
        <f t="shared" si="19"/>
        <v>56.871508674999987</v>
      </c>
      <c r="W47" s="20">
        <f t="shared" si="19"/>
        <v>56.871508674999987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0.71089385843749986</v>
      </c>
      <c r="N50" s="12">
        <f t="shared" si="20"/>
        <v>2.1326815753124997</v>
      </c>
      <c r="O50" s="12">
        <f t="shared" si="20"/>
        <v>3.5544692921874992</v>
      </c>
      <c r="P50" s="12">
        <f t="shared" si="20"/>
        <v>4.9762570090624987</v>
      </c>
      <c r="Q50" s="12">
        <f t="shared" si="20"/>
        <v>6.3980447259374982</v>
      </c>
      <c r="R50" s="12">
        <f t="shared" si="20"/>
        <v>7.8198324428124977</v>
      </c>
      <c r="S50" s="12">
        <f t="shared" si="20"/>
        <v>9.2416201596874981</v>
      </c>
      <c r="T50" s="12">
        <f t="shared" si="20"/>
        <v>10.663407876562498</v>
      </c>
      <c r="U50" s="12">
        <f t="shared" si="20"/>
        <v>12.085195593437499</v>
      </c>
      <c r="V50" s="12">
        <f t="shared" si="20"/>
        <v>13.506983310312499</v>
      </c>
      <c r="W50" s="12">
        <f t="shared" si="20"/>
        <v>14.9287710271875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0.71089385843749986</v>
      </c>
      <c r="M51" s="12">
        <f t="shared" si="21"/>
        <v>1.4217877168749997</v>
      </c>
      <c r="N51" s="12">
        <f t="shared" si="21"/>
        <v>1.4217877168749997</v>
      </c>
      <c r="O51" s="12">
        <f t="shared" si="21"/>
        <v>1.4217877168749997</v>
      </c>
      <c r="P51" s="12">
        <f t="shared" si="21"/>
        <v>1.4217877168749997</v>
      </c>
      <c r="Q51" s="12">
        <f t="shared" si="21"/>
        <v>1.4217877168749997</v>
      </c>
      <c r="R51" s="12">
        <f t="shared" si="21"/>
        <v>1.4217877168749997</v>
      </c>
      <c r="S51" s="12">
        <f t="shared" si="21"/>
        <v>1.4217877168749997</v>
      </c>
      <c r="T51" s="12">
        <f t="shared" si="21"/>
        <v>1.4217877168749997</v>
      </c>
      <c r="U51" s="12">
        <f t="shared" si="21"/>
        <v>1.4217877168749997</v>
      </c>
      <c r="V51" s="12">
        <f t="shared" si="21"/>
        <v>1.4217877168749997</v>
      </c>
      <c r="W51" s="12">
        <f t="shared" si="21"/>
        <v>1.4217877168749997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0.71089385843749986</v>
      </c>
      <c r="M53" s="20">
        <f t="shared" si="23"/>
        <v>2.1326815753124997</v>
      </c>
      <c r="N53" s="20">
        <f t="shared" si="23"/>
        <v>3.5544692921874992</v>
      </c>
      <c r="O53" s="20">
        <f t="shared" si="23"/>
        <v>4.9762570090624987</v>
      </c>
      <c r="P53" s="20">
        <f t="shared" si="23"/>
        <v>6.3980447259374982</v>
      </c>
      <c r="Q53" s="20">
        <f t="shared" si="23"/>
        <v>7.8198324428124977</v>
      </c>
      <c r="R53" s="20">
        <f t="shared" si="23"/>
        <v>9.2416201596874981</v>
      </c>
      <c r="S53" s="20">
        <f t="shared" si="23"/>
        <v>10.663407876562498</v>
      </c>
      <c r="T53" s="20">
        <f t="shared" si="23"/>
        <v>12.085195593437499</v>
      </c>
      <c r="U53" s="20">
        <f t="shared" si="23"/>
        <v>13.506983310312499</v>
      </c>
      <c r="V53" s="20">
        <f t="shared" si="23"/>
        <v>14.9287710271875</v>
      </c>
      <c r="W53" s="20">
        <f t="shared" si="23"/>
        <v>16.3505587440625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0.35544692921874993</v>
      </c>
      <c r="M54" s="20">
        <f t="shared" si="24"/>
        <v>1.4217877168749997</v>
      </c>
      <c r="N54" s="20">
        <f t="shared" si="24"/>
        <v>2.8435754337499994</v>
      </c>
      <c r="O54" s="20">
        <f t="shared" si="24"/>
        <v>4.2653631506249994</v>
      </c>
      <c r="P54" s="20">
        <f t="shared" si="24"/>
        <v>5.687150867499998</v>
      </c>
      <c r="Q54" s="20">
        <f t="shared" si="24"/>
        <v>7.1089385843749984</v>
      </c>
      <c r="R54" s="20">
        <f t="shared" si="24"/>
        <v>8.5307263012499988</v>
      </c>
      <c r="S54" s="20">
        <f t="shared" si="24"/>
        <v>9.9525140181249974</v>
      </c>
      <c r="T54" s="20">
        <f t="shared" si="24"/>
        <v>11.374301735</v>
      </c>
      <c r="U54" s="20">
        <f t="shared" si="24"/>
        <v>12.796089451874998</v>
      </c>
      <c r="V54" s="20">
        <f t="shared" si="24"/>
        <v>14.21787716875</v>
      </c>
      <c r="W54" s="20">
        <f t="shared" si="24"/>
        <v>15.639664885624999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54.02793324124999</v>
      </c>
      <c r="N57" s="12">
        <f t="shared" si="25"/>
        <v>48.62513991712499</v>
      </c>
      <c r="O57" s="12">
        <f t="shared" si="25"/>
        <v>43.762625925412493</v>
      </c>
      <c r="P57" s="12">
        <f t="shared" si="25"/>
        <v>39.386363332871241</v>
      </c>
      <c r="Q57" s="12">
        <f t="shared" si="25"/>
        <v>35.44772699958412</v>
      </c>
      <c r="R57" s="12">
        <f t="shared" si="25"/>
        <v>31.902954299625709</v>
      </c>
      <c r="S57" s="12">
        <f t="shared" si="25"/>
        <v>28.544748583875634</v>
      </c>
      <c r="T57" s="12">
        <f t="shared" si="25"/>
        <v>25.18654286812556</v>
      </c>
      <c r="U57" s="12">
        <f t="shared" si="25"/>
        <v>21.828337152375486</v>
      </c>
      <c r="V57" s="12">
        <f t="shared" si="25"/>
        <v>18.470131436625412</v>
      </c>
      <c r="W57" s="12">
        <f t="shared" si="25"/>
        <v>15.111925720875337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56.871508674999987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-2.8435754337499994</v>
      </c>
      <c r="M59" s="12">
        <f>-I23*M58-J23*L58-K23*K58-L23*J58-M23*I58</f>
        <v>-5.4027933241249988</v>
      </c>
      <c r="N59" s="12">
        <f>-I23*N58-J23*M58-K23*L58-L23*K58-M23*J58-N23*I58</f>
        <v>-4.8625139917124995</v>
      </c>
      <c r="O59" s="12">
        <f>-I23*O58-J23*N58-K23*M58-L23*L58-M23*K58-N23*J58-O23*I58</f>
        <v>-4.3762625925412495</v>
      </c>
      <c r="P59" s="12">
        <f>-I23*P58-J23*O58-K23*N58-L23*M58-M23*L58-N23*K58-O23*J58-P23*I58</f>
        <v>-3.9386363332871239</v>
      </c>
      <c r="Q59" s="12">
        <f>-I23*Q58-J23*P58-K23*O58-L23*N58-M23*M58-N23*L58-O23*K58-P23*J58-Q23*I58</f>
        <v>-3.5447726999584113</v>
      </c>
      <c r="R59" s="12">
        <f>-I23*R58-J23*Q58-K23*P58-L23*O58-M23*N58-N23*M58-O23*L58-P23*K58-Q23*J58-R23*I58</f>
        <v>-3.3582057157500742</v>
      </c>
      <c r="S59" s="12">
        <f>-I23*S58-J23*R58-K23*Q58-L23*P58-M23*O58-N23*N58-O23*M58-P23*L58-Q23*K58-R23*J58-S23*I58</f>
        <v>-3.3582057157500733</v>
      </c>
      <c r="T59" s="12">
        <f>-I23*T58-J23*S58-K23*R58-L23*Q58-M23*P58-N23*O58-O23*N58-P23*M58-Q23*L58-R23*K58-S23*J58-T23*I58</f>
        <v>-3.3582057157500742</v>
      </c>
      <c r="U59" s="12">
        <f>-I23*U58-J23*T58-K23*S58-L23*R58-M23*Q58-N23*P58-O23*O58-P23*N58-Q23*M58-R23*L58-S23*K58-T23*J58-U23*I58</f>
        <v>-3.3582057157500738</v>
      </c>
      <c r="V59" s="12">
        <f>-I23*V58-J23*U58-K23*T58-L23*S58-M23*R58-N23*Q58-O23*P58-P23*O58-Q23*N58-R23*M58-S23*L58-T23*K58-U23*J58-V23*I58</f>
        <v>-3.3582057157500738</v>
      </c>
      <c r="W59" s="12">
        <f>-I23*W58-J23*V58-K23*U58-L23*T58-M23*S58-N23*R58-O23*Q58-P23*P58-Q23*O58-R23*N58-S23*M58-T23*L58-U23*K58-V23*J58-W23*I58</f>
        <v>-3.3582057157500733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54.02793324124999</v>
      </c>
      <c r="M60" s="20">
        <f t="shared" si="27"/>
        <v>48.62513991712499</v>
      </c>
      <c r="N60" s="20">
        <f t="shared" si="27"/>
        <v>43.762625925412493</v>
      </c>
      <c r="O60" s="20">
        <f t="shared" si="27"/>
        <v>39.386363332871241</v>
      </c>
      <c r="P60" s="20">
        <f t="shared" si="27"/>
        <v>35.44772699958412</v>
      </c>
      <c r="Q60" s="20">
        <f t="shared" si="27"/>
        <v>31.902954299625709</v>
      </c>
      <c r="R60" s="20">
        <f t="shared" si="27"/>
        <v>28.544748583875634</v>
      </c>
      <c r="S60" s="20">
        <f t="shared" si="27"/>
        <v>25.18654286812556</v>
      </c>
      <c r="T60" s="20">
        <f t="shared" si="27"/>
        <v>21.828337152375486</v>
      </c>
      <c r="U60" s="20">
        <f t="shared" si="27"/>
        <v>18.470131436625412</v>
      </c>
      <c r="V60" s="20">
        <f t="shared" si="27"/>
        <v>15.111925720875337</v>
      </c>
      <c r="W60" s="20">
        <f t="shared" si="27"/>
        <v>11.753720005125263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55.449720958124985</v>
      </c>
      <c r="N63" s="12">
        <f t="shared" si="28"/>
        <v>52.677234910218736</v>
      </c>
      <c r="O63" s="12">
        <f t="shared" si="28"/>
        <v>50.043373164707802</v>
      </c>
      <c r="P63" s="12">
        <f t="shared" si="28"/>
        <v>47.541204506472411</v>
      </c>
      <c r="Q63" s="12">
        <f t="shared" si="28"/>
        <v>45.164144281148793</v>
      </c>
      <c r="R63" s="12">
        <f t="shared" si="28"/>
        <v>42.905937067091351</v>
      </c>
      <c r="S63" s="12">
        <f t="shared" si="28"/>
        <v>40.760640213736785</v>
      </c>
      <c r="T63" s="12">
        <f t="shared" si="28"/>
        <v>38.722608203049944</v>
      </c>
      <c r="U63" s="12">
        <f t="shared" si="28"/>
        <v>36.786477792897443</v>
      </c>
      <c r="V63" s="12">
        <f t="shared" si="28"/>
        <v>34.94715390325257</v>
      </c>
      <c r="W63" s="12">
        <f t="shared" si="28"/>
        <v>33.199796208089943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56.871508674999987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-1.4217877168749997</v>
      </c>
      <c r="M65" s="12">
        <f t="shared" si="30"/>
        <v>-2.7724860479062494</v>
      </c>
      <c r="N65" s="12">
        <f t="shared" si="30"/>
        <v>-2.633861745510937</v>
      </c>
      <c r="O65" s="12">
        <f t="shared" si="30"/>
        <v>-2.5021686582353904</v>
      </c>
      <c r="P65" s="12">
        <f t="shared" si="30"/>
        <v>-2.3770602253236208</v>
      </c>
      <c r="Q65" s="12">
        <f t="shared" si="30"/>
        <v>-2.2582072140574398</v>
      </c>
      <c r="R65" s="12">
        <f t="shared" si="30"/>
        <v>-2.1452968533545675</v>
      </c>
      <c r="S65" s="12">
        <f t="shared" si="30"/>
        <v>-2.0380320106868393</v>
      </c>
      <c r="T65" s="12">
        <f t="shared" si="30"/>
        <v>-1.9361304101524972</v>
      </c>
      <c r="U65" s="12">
        <f t="shared" si="30"/>
        <v>-1.8393238896448723</v>
      </c>
      <c r="V65" s="12">
        <f t="shared" si="30"/>
        <v>-1.7473576951626286</v>
      </c>
      <c r="W65" s="12">
        <f t="shared" si="30"/>
        <v>-1.6599898104044972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55.449720958124985</v>
      </c>
      <c r="M66" s="20">
        <f t="shared" si="31"/>
        <v>52.677234910218736</v>
      </c>
      <c r="N66" s="20">
        <f t="shared" si="31"/>
        <v>50.043373164707802</v>
      </c>
      <c r="O66" s="20">
        <f t="shared" si="31"/>
        <v>47.541204506472411</v>
      </c>
      <c r="P66" s="20">
        <f t="shared" si="31"/>
        <v>45.164144281148793</v>
      </c>
      <c r="Q66" s="20">
        <f t="shared" si="31"/>
        <v>42.905937067091351</v>
      </c>
      <c r="R66" s="20">
        <f t="shared" si="31"/>
        <v>40.760640213736785</v>
      </c>
      <c r="S66" s="20">
        <f t="shared" si="31"/>
        <v>38.722608203049944</v>
      </c>
      <c r="T66" s="20">
        <f t="shared" si="31"/>
        <v>36.786477792897443</v>
      </c>
      <c r="U66" s="20">
        <f t="shared" si="31"/>
        <v>34.94715390325257</v>
      </c>
      <c r="V66" s="20">
        <f t="shared" si="31"/>
        <v>33.199796208089943</v>
      </c>
      <c r="W66" s="20">
        <f t="shared" si="31"/>
        <v>31.539806397685446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0.49750911431346617</v>
      </c>
      <c r="N69" s="12">
        <f t="shared" si="32"/>
        <v>1.4278476604818644</v>
      </c>
      <c r="O69" s="12">
        <f t="shared" si="32"/>
        <v>2.2350465800615589</v>
      </c>
      <c r="P69" s="12">
        <f t="shared" si="32"/>
        <v>2.9309357873723156</v>
      </c>
      <c r="Q69" s="12">
        <f t="shared" si="32"/>
        <v>3.5261864077188796</v>
      </c>
      <c r="R69" s="12">
        <f t="shared" si="32"/>
        <v>4.0304254461716287</v>
      </c>
      <c r="S69" s="12">
        <f t="shared" si="32"/>
        <v>4.4876002099905818</v>
      </c>
      <c r="T69" s="12">
        <f t="shared" si="32"/>
        <v>4.9372840262569904</v>
      </c>
      <c r="U69" s="12">
        <f t="shared" si="32"/>
        <v>5.3798514423484836</v>
      </c>
      <c r="V69" s="12">
        <f t="shared" si="32"/>
        <v>5.8156582782738058</v>
      </c>
      <c r="W69" s="12">
        <f t="shared" si="32"/>
        <v>6.2450425630412658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0.4346660972275912</v>
      </c>
      <c r="M70" s="12">
        <f t="shared" si="33"/>
        <v>0.81093681370523574</v>
      </c>
      <c r="N70" s="12">
        <f t="shared" si="33"/>
        <v>0.70005157544827745</v>
      </c>
      <c r="O70" s="12">
        <f t="shared" si="33"/>
        <v>0.60038353209449813</v>
      </c>
      <c r="P70" s="12">
        <f t="shared" si="33"/>
        <v>0.51080453059970587</v>
      </c>
      <c r="Q70" s="12">
        <f t="shared" si="33"/>
        <v>0.4302995549018217</v>
      </c>
      <c r="R70" s="12">
        <f t="shared" si="33"/>
        <v>0.39321655615415896</v>
      </c>
      <c r="S70" s="12">
        <f t="shared" si="33"/>
        <v>0.39520782069344246</v>
      </c>
      <c r="T70" s="12">
        <f t="shared" si="33"/>
        <v>0.39709952200576215</v>
      </c>
      <c r="U70" s="12">
        <f t="shared" si="33"/>
        <v>0.39889663825246563</v>
      </c>
      <c r="V70" s="12">
        <f t="shared" si="33"/>
        <v>0.40060389868683399</v>
      </c>
      <c r="W70" s="12">
        <f t="shared" si="33"/>
        <v>0.40222579609948383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6.2843017085874989E-2</v>
      </c>
      <c r="M71" s="12">
        <f t="shared" si="34"/>
        <v>0.11940173246316248</v>
      </c>
      <c r="N71" s="12">
        <f t="shared" si="34"/>
        <v>0.10714734413141687</v>
      </c>
      <c r="O71" s="12">
        <f t="shared" si="34"/>
        <v>9.5505675216258537E-2</v>
      </c>
      <c r="P71" s="12">
        <f t="shared" si="34"/>
        <v>8.4446089746858105E-2</v>
      </c>
      <c r="Q71" s="12">
        <f t="shared" si="34"/>
        <v>7.3939483550927707E-2</v>
      </c>
      <c r="R71" s="12">
        <f t="shared" si="34"/>
        <v>6.3958207664793806E-2</v>
      </c>
      <c r="S71" s="12">
        <f t="shared" si="34"/>
        <v>5.4475995572966618E-2</v>
      </c>
      <c r="T71" s="12">
        <f t="shared" si="34"/>
        <v>4.5467894085730778E-2</v>
      </c>
      <c r="U71" s="12">
        <f t="shared" si="34"/>
        <v>3.6910197672856734E-2</v>
      </c>
      <c r="V71" s="12">
        <f t="shared" si="34"/>
        <v>2.8780386080626396E-2</v>
      </c>
      <c r="W71" s="12">
        <f t="shared" si="34"/>
        <v>2.1057065068007582E-2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0.49750911431346617</v>
      </c>
      <c r="M72" s="20">
        <f t="shared" si="35"/>
        <v>1.4278476604818644</v>
      </c>
      <c r="N72" s="20">
        <f t="shared" si="35"/>
        <v>2.2350465800615589</v>
      </c>
      <c r="O72" s="20">
        <f t="shared" si="35"/>
        <v>2.9309357873723156</v>
      </c>
      <c r="P72" s="20">
        <f t="shared" si="35"/>
        <v>3.5261864077188796</v>
      </c>
      <c r="Q72" s="20">
        <f t="shared" si="35"/>
        <v>4.0304254461716287</v>
      </c>
      <c r="R72" s="20">
        <f t="shared" si="35"/>
        <v>4.4876002099905818</v>
      </c>
      <c r="S72" s="20">
        <f t="shared" si="35"/>
        <v>4.9372840262569904</v>
      </c>
      <c r="T72" s="20">
        <f t="shared" si="35"/>
        <v>5.3798514423484836</v>
      </c>
      <c r="U72" s="20">
        <f t="shared" si="35"/>
        <v>5.8156582782738058</v>
      </c>
      <c r="V72" s="20">
        <f t="shared" si="35"/>
        <v>6.2450425630412658</v>
      </c>
      <c r="W72" s="20">
        <f t="shared" si="35"/>
        <v>6.6683254242087573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0.24875455715673309</v>
      </c>
      <c r="M73" s="20">
        <f t="shared" si="36"/>
        <v>0.96267838739766531</v>
      </c>
      <c r="N73" s="20">
        <f t="shared" si="36"/>
        <v>1.8314471202717115</v>
      </c>
      <c r="O73" s="20">
        <f t="shared" si="36"/>
        <v>2.5829911837169375</v>
      </c>
      <c r="P73" s="20">
        <f t="shared" si="36"/>
        <v>3.2285610975455974</v>
      </c>
      <c r="Q73" s="20">
        <f t="shared" si="36"/>
        <v>3.7783059269452544</v>
      </c>
      <c r="R73" s="20">
        <f t="shared" si="36"/>
        <v>4.2590128280811053</v>
      </c>
      <c r="S73" s="20">
        <f t="shared" si="36"/>
        <v>4.7124421181237857</v>
      </c>
      <c r="T73" s="20">
        <f t="shared" si="36"/>
        <v>5.1585677343027374</v>
      </c>
      <c r="U73" s="20">
        <f t="shared" si="36"/>
        <v>5.5977548603111451</v>
      </c>
      <c r="V73" s="20">
        <f t="shared" si="36"/>
        <v>6.0303504206575358</v>
      </c>
      <c r="W73" s="20">
        <f t="shared" si="36"/>
        <v>6.4566839936250116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28.435754337499993</v>
      </c>
      <c r="M76" s="12">
        <f t="shared" si="37"/>
        <v>56.871508674999987</v>
      </c>
      <c r="N76" s="12">
        <f t="shared" si="37"/>
        <v>56.871508674999987</v>
      </c>
      <c r="O76" s="12">
        <f t="shared" si="37"/>
        <v>56.871508674999987</v>
      </c>
      <c r="P76" s="12">
        <f t="shared" si="37"/>
        <v>56.871508674999987</v>
      </c>
      <c r="Q76" s="12">
        <f t="shared" si="37"/>
        <v>56.871508674999987</v>
      </c>
      <c r="R76" s="12">
        <f t="shared" si="37"/>
        <v>56.871508674999987</v>
      </c>
      <c r="S76" s="12">
        <f t="shared" si="37"/>
        <v>56.871508674999987</v>
      </c>
      <c r="T76" s="12">
        <f t="shared" si="37"/>
        <v>56.871508674999987</v>
      </c>
      <c r="U76" s="12">
        <f t="shared" si="37"/>
        <v>56.871508674999987</v>
      </c>
      <c r="V76" s="12">
        <f t="shared" si="37"/>
        <v>56.871508674999987</v>
      </c>
      <c r="W76" s="12">
        <f t="shared" si="37"/>
        <v>56.871508674999987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-0.35544692921874993</v>
      </c>
      <c r="M77" s="12">
        <f t="shared" si="38"/>
        <v>-1.4217877168749997</v>
      </c>
      <c r="N77" s="12">
        <f t="shared" si="38"/>
        <v>-2.8435754337499994</v>
      </c>
      <c r="O77" s="12">
        <f t="shared" si="38"/>
        <v>-4.2653631506249994</v>
      </c>
      <c r="P77" s="12">
        <f t="shared" si="38"/>
        <v>-5.687150867499998</v>
      </c>
      <c r="Q77" s="12">
        <f t="shared" si="38"/>
        <v>-7.1089385843749984</v>
      </c>
      <c r="R77" s="12">
        <f t="shared" si="38"/>
        <v>-8.5307263012499988</v>
      </c>
      <c r="S77" s="12">
        <f t="shared" si="38"/>
        <v>-9.9525140181249974</v>
      </c>
      <c r="T77" s="12">
        <f t="shared" si="38"/>
        <v>-11.374301735</v>
      </c>
      <c r="U77" s="12">
        <f t="shared" si="38"/>
        <v>-12.796089451874998</v>
      </c>
      <c r="V77" s="12">
        <f t="shared" si="38"/>
        <v>-14.21787716875</v>
      </c>
      <c r="W77" s="12">
        <f t="shared" si="38"/>
        <v>-15.639664885624999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9.0146656624999988</v>
      </c>
      <c r="K78" s="12">
        <f t="shared" si="39"/>
        <v>28.308673749999997</v>
      </c>
      <c r="L78" s="12">
        <f t="shared" si="39"/>
        <v>19.294008087499996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-0.24875455715673309</v>
      </c>
      <c r="M79" s="12">
        <f t="shared" si="40"/>
        <v>-0.96267838739766531</v>
      </c>
      <c r="N79" s="12">
        <f t="shared" si="40"/>
        <v>-1.8314471202717115</v>
      </c>
      <c r="O79" s="12">
        <f t="shared" si="40"/>
        <v>-2.5829911837169375</v>
      </c>
      <c r="P79" s="12">
        <f t="shared" si="40"/>
        <v>-3.2285610975455974</v>
      </c>
      <c r="Q79" s="12">
        <f t="shared" si="40"/>
        <v>-3.7783059269452544</v>
      </c>
      <c r="R79" s="12">
        <f t="shared" si="40"/>
        <v>-4.2590128280811053</v>
      </c>
      <c r="S79" s="12">
        <f t="shared" si="40"/>
        <v>-4.7124421181237857</v>
      </c>
      <c r="T79" s="12">
        <f t="shared" si="40"/>
        <v>-5.1585677343027374</v>
      </c>
      <c r="U79" s="12">
        <f t="shared" si="40"/>
        <v>-5.5977548603111451</v>
      </c>
      <c r="V79" s="12">
        <f t="shared" si="40"/>
        <v>-6.0303504206575358</v>
      </c>
      <c r="W79" s="12">
        <f t="shared" si="40"/>
        <v>-6.4566839936250116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9.0146656624999988</v>
      </c>
      <c r="K80" s="20">
        <f t="shared" ref="K80:W80" si="41">SUM(K76:K79)</f>
        <v>28.308673749999997</v>
      </c>
      <c r="L80" s="20">
        <f t="shared" si="41"/>
        <v>47.12556093862451</v>
      </c>
      <c r="M80" s="20">
        <f t="shared" si="41"/>
        <v>54.487042570727318</v>
      </c>
      <c r="N80" s="20">
        <f t="shared" si="41"/>
        <v>52.196486120978278</v>
      </c>
      <c r="O80" s="20">
        <f t="shared" si="41"/>
        <v>50.023154340658053</v>
      </c>
      <c r="P80" s="20">
        <f t="shared" si="41"/>
        <v>47.955796709954399</v>
      </c>
      <c r="Q80" s="20">
        <f t="shared" si="41"/>
        <v>45.98426416367974</v>
      </c>
      <c r="R80" s="20">
        <f t="shared" si="41"/>
        <v>44.081769545668884</v>
      </c>
      <c r="S80" s="20">
        <f t="shared" si="41"/>
        <v>42.206552538751197</v>
      </c>
      <c r="T80" s="20">
        <f t="shared" si="41"/>
        <v>40.338639205697248</v>
      </c>
      <c r="U80" s="20">
        <f t="shared" si="41"/>
        <v>38.47766436281384</v>
      </c>
      <c r="V80" s="20">
        <f t="shared" si="41"/>
        <v>36.623281085592453</v>
      </c>
      <c r="W80" s="20">
        <f t="shared" si="41"/>
        <v>34.775159795749978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0.71089385843749986</v>
      </c>
      <c r="M83" s="12">
        <f t="shared" si="42"/>
        <v>1.4217877168749997</v>
      </c>
      <c r="N83" s="12">
        <f t="shared" si="42"/>
        <v>1.4217877168749997</v>
      </c>
      <c r="O83" s="12">
        <f t="shared" si="42"/>
        <v>1.4217877168749997</v>
      </c>
      <c r="P83" s="12">
        <f t="shared" si="42"/>
        <v>1.4217877168749997</v>
      </c>
      <c r="Q83" s="12">
        <f t="shared" si="42"/>
        <v>1.4217877168749997</v>
      </c>
      <c r="R83" s="12">
        <f t="shared" si="42"/>
        <v>1.4217877168749997</v>
      </c>
      <c r="S83" s="12">
        <f t="shared" si="42"/>
        <v>1.4217877168749997</v>
      </c>
      <c r="T83" s="12">
        <f t="shared" si="42"/>
        <v>1.4217877168749997</v>
      </c>
      <c r="U83" s="12">
        <f t="shared" si="42"/>
        <v>1.4217877168749997</v>
      </c>
      <c r="V83" s="12">
        <f t="shared" si="42"/>
        <v>1.4217877168749997</v>
      </c>
      <c r="W83" s="12">
        <f t="shared" si="42"/>
        <v>1.4217877168749997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0.27043996987499996</v>
      </c>
      <c r="K84" s="12">
        <f t="shared" si="44"/>
        <v>0.84926021249999983</v>
      </c>
      <c r="L84" s="12">
        <f t="shared" si="44"/>
        <v>1.4137668281587352</v>
      </c>
      <c r="M84" s="12">
        <f t="shared" si="44"/>
        <v>1.6346112771218195</v>
      </c>
      <c r="N84" s="12">
        <f t="shared" si="44"/>
        <v>1.5658945836293483</v>
      </c>
      <c r="O84" s="12">
        <f t="shared" si="44"/>
        <v>1.5006946302197415</v>
      </c>
      <c r="P84" s="12">
        <f t="shared" si="44"/>
        <v>1.4386739012986318</v>
      </c>
      <c r="Q84" s="12">
        <f t="shared" si="44"/>
        <v>1.3795279249103922</v>
      </c>
      <c r="R84" s="12">
        <f t="shared" si="44"/>
        <v>1.3224530863700665</v>
      </c>
      <c r="S84" s="12">
        <f t="shared" si="44"/>
        <v>1.2661965761625358</v>
      </c>
      <c r="T84" s="12">
        <f t="shared" si="44"/>
        <v>1.2101591761709174</v>
      </c>
      <c r="U84" s="12">
        <f t="shared" si="44"/>
        <v>1.1543299308844153</v>
      </c>
      <c r="V84" s="12">
        <f t="shared" si="44"/>
        <v>1.0986984325677736</v>
      </c>
      <c r="W84" s="12">
        <f t="shared" si="44"/>
        <v>1.0432547938724994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0.49580661143749993</v>
      </c>
      <c r="K85" s="12">
        <f t="shared" si="45"/>
        <v>1.5569770562499998</v>
      </c>
      <c r="L85" s="12">
        <f t="shared" si="45"/>
        <v>2.5919058516243481</v>
      </c>
      <c r="M85" s="12">
        <f t="shared" si="45"/>
        <v>2.9967873413900024</v>
      </c>
      <c r="N85" s="12">
        <f t="shared" si="45"/>
        <v>2.8708067366538055</v>
      </c>
      <c r="O85" s="12">
        <f t="shared" si="45"/>
        <v>2.7512734887361927</v>
      </c>
      <c r="P85" s="12">
        <f t="shared" si="45"/>
        <v>2.637568819047492</v>
      </c>
      <c r="Q85" s="12">
        <f t="shared" si="45"/>
        <v>2.5291345290023859</v>
      </c>
      <c r="R85" s="12">
        <f t="shared" si="45"/>
        <v>2.4244973250117887</v>
      </c>
      <c r="S85" s="12">
        <f t="shared" si="45"/>
        <v>2.321360389631316</v>
      </c>
      <c r="T85" s="12">
        <f t="shared" si="45"/>
        <v>2.2186251563133488</v>
      </c>
      <c r="U85" s="12">
        <f t="shared" si="45"/>
        <v>2.1162715399547611</v>
      </c>
      <c r="V85" s="12">
        <f t="shared" si="45"/>
        <v>2.0142804597075847</v>
      </c>
      <c r="W85" s="12">
        <f t="shared" si="45"/>
        <v>1.9126337887662488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0.13179669417958859</v>
      </c>
      <c r="K86" s="12">
        <f t="shared" si="46"/>
        <v>0.41387997697784801</v>
      </c>
      <c r="L86" s="12">
        <f t="shared" si="46"/>
        <v>0.68898763144444686</v>
      </c>
      <c r="M86" s="12">
        <f t="shared" si="46"/>
        <v>0.79661435657202584</v>
      </c>
      <c r="N86" s="12">
        <f t="shared" si="46"/>
        <v>0.7631258413889862</v>
      </c>
      <c r="O86" s="12">
        <f t="shared" si="46"/>
        <v>0.73135118055012704</v>
      </c>
      <c r="P86" s="12">
        <f t="shared" si="46"/>
        <v>0.70112588860756109</v>
      </c>
      <c r="Q86" s="12">
        <f t="shared" si="46"/>
        <v>0.67230158365886206</v>
      </c>
      <c r="R86" s="12">
        <f t="shared" si="46"/>
        <v>0.64448663069933609</v>
      </c>
      <c r="S86" s="12">
        <f t="shared" si="46"/>
        <v>0.61707048331971681</v>
      </c>
      <c r="T86" s="12">
        <f t="shared" si="46"/>
        <v>0.58976111750101678</v>
      </c>
      <c r="U86" s="12">
        <f t="shared" si="46"/>
        <v>0.56255319416518967</v>
      </c>
      <c r="V86" s="12">
        <f t="shared" si="46"/>
        <v>0.53544164118809212</v>
      </c>
      <c r="W86" s="12">
        <f t="shared" si="46"/>
        <v>0.50842164005178758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6.0860171365237643E-2</v>
      </c>
      <c r="K87" s="12">
        <f t="shared" si="47"/>
        <v>0.19111865043587295</v>
      </c>
      <c r="L87" s="12">
        <f t="shared" si="47"/>
        <v>0.3181559718114102</v>
      </c>
      <c r="M87" s="12">
        <f t="shared" si="47"/>
        <v>0.36785510103098212</v>
      </c>
      <c r="N87" s="12">
        <f t="shared" si="47"/>
        <v>0.35239100471586532</v>
      </c>
      <c r="O87" s="12">
        <f t="shared" si="47"/>
        <v>0.33771832027743598</v>
      </c>
      <c r="P87" s="12">
        <f t="shared" si="47"/>
        <v>0.32376109275636983</v>
      </c>
      <c r="Q87" s="12">
        <f t="shared" si="47"/>
        <v>0.31045080337785691</v>
      </c>
      <c r="R87" s="12">
        <f t="shared" si="47"/>
        <v>0.2976066056218335</v>
      </c>
      <c r="S87" s="12">
        <f t="shared" si="47"/>
        <v>0.28494656556479958</v>
      </c>
      <c r="T87" s="12">
        <f t="shared" si="47"/>
        <v>0.2723358343628674</v>
      </c>
      <c r="U87" s="12">
        <f t="shared" si="47"/>
        <v>0.25977194657328179</v>
      </c>
      <c r="V87" s="12">
        <f t="shared" si="47"/>
        <v>0.24725256002542545</v>
      </c>
      <c r="W87" s="12">
        <f t="shared" si="47"/>
        <v>0.23477544965721198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1.1374301734999999</v>
      </c>
      <c r="N88" s="12">
        <f t="shared" si="48"/>
        <v>1.1601787769699998</v>
      </c>
      <c r="O88" s="12">
        <f t="shared" si="48"/>
        <v>1.1833823525093998</v>
      </c>
      <c r="P88" s="12">
        <f t="shared" si="48"/>
        <v>1.2070499995595878</v>
      </c>
      <c r="Q88" s="12">
        <f t="shared" si="48"/>
        <v>1.2311909995507795</v>
      </c>
      <c r="R88" s="12">
        <f t="shared" si="48"/>
        <v>1.2558148195417951</v>
      </c>
      <c r="S88" s="12">
        <f t="shared" si="48"/>
        <v>1.2809311159326311</v>
      </c>
      <c r="T88" s="12">
        <f t="shared" si="48"/>
        <v>1.3065497382512838</v>
      </c>
      <c r="U88" s="12">
        <f t="shared" si="48"/>
        <v>1.3326807330163095</v>
      </c>
      <c r="V88" s="12">
        <f t="shared" si="48"/>
        <v>1.3593343476766357</v>
      </c>
      <c r="W88" s="12">
        <f t="shared" si="48"/>
        <v>1.3865210346301684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0.9589034468573262</v>
      </c>
      <c r="K89" s="20">
        <f t="shared" si="49"/>
        <v>3.0112358961637207</v>
      </c>
      <c r="L89" s="20">
        <f t="shared" si="49"/>
        <v>5.72371014147644</v>
      </c>
      <c r="M89" s="20">
        <f t="shared" si="49"/>
        <v>8.3550859664898294</v>
      </c>
      <c r="N89" s="20">
        <f t="shared" si="49"/>
        <v>8.1341846602330055</v>
      </c>
      <c r="O89" s="20">
        <f t="shared" si="49"/>
        <v>7.9262076891678959</v>
      </c>
      <c r="P89" s="20">
        <f t="shared" si="49"/>
        <v>7.7299674181446418</v>
      </c>
      <c r="Q89" s="20">
        <f t="shared" si="49"/>
        <v>7.5443935573752761</v>
      </c>
      <c r="R89" s="20">
        <f t="shared" si="49"/>
        <v>7.3666461841198201</v>
      </c>
      <c r="S89" s="20">
        <f t="shared" si="49"/>
        <v>7.1922928474859997</v>
      </c>
      <c r="T89" s="20">
        <f t="shared" si="49"/>
        <v>7.019218739474435</v>
      </c>
      <c r="U89" s="20">
        <f t="shared" si="49"/>
        <v>6.8473950614689576</v>
      </c>
      <c r="V89" s="20">
        <f t="shared" si="49"/>
        <v>6.6767951580405116</v>
      </c>
      <c r="W89" s="20">
        <f t="shared" si="49"/>
        <v>6.507394423852916</v>
      </c>
      <c r="X89" s="45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80" zoomScaleNormal="80" workbookViewId="0">
      <selection activeCell="AB22" sqref="AB22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108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2020-07-13T21:43:43+00:00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Nicosia, Isabella</DisplayName>
        <AccountId>486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Nicosia, Isabella</DisplayName>
        <AccountId>486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2019-2020 Transmission Access Charge Forecast Model with New Capital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2019-2020 transmission access charge forecast model|3187615f-93af-4b7c-8ef2-d1d2a01d0137</ParentISOGroups>
    <Orig_x0020_Post_x0020_Date xmlns="5bcbeff6-7c02-4b0f-b125-f1b3d566cc14">2020-07-13T21:43:43+00:00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30d4aa59-c1af-435f-b703-023df393a75e</CrawlableUnique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Props1.xml><?xml version="1.0" encoding="utf-8"?>
<ds:datastoreItem xmlns:ds="http://schemas.openxmlformats.org/officeDocument/2006/customXml" ds:itemID="{68355B17-D63B-4903-8158-A3EBBFA5A978}"/>
</file>

<file path=customXml/itemProps2.xml><?xml version="1.0" encoding="utf-8"?>
<ds:datastoreItem xmlns:ds="http://schemas.openxmlformats.org/officeDocument/2006/customXml" ds:itemID="{AF8469FB-B3C7-4EE6-A51E-831FC9581DE6}"/>
</file>

<file path=customXml/itemProps3.xml><?xml version="1.0" encoding="utf-8"?>
<ds:datastoreItem xmlns:ds="http://schemas.openxmlformats.org/officeDocument/2006/customXml" ds:itemID="{20642951-2C79-4C58-9EF3-EB3733868C26}"/>
</file>

<file path=customXml/itemProps4.xml><?xml version="1.0" encoding="utf-8"?>
<ds:datastoreItem xmlns:ds="http://schemas.openxmlformats.org/officeDocument/2006/customXml" ds:itemID="{34CCB9E3-FC07-4DFC-A2CE-412DD390D0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Summary</vt:lpstr>
      <vt:lpstr>Existing</vt:lpstr>
      <vt:lpstr>Reliability</vt:lpstr>
      <vt:lpstr>2019-20 Policy and Econ</vt:lpstr>
      <vt:lpstr>WOD</vt:lpstr>
      <vt:lpstr>ClrdoRvr</vt:lpstr>
      <vt:lpstr>Red Bluff 2AA Bank</vt:lpstr>
      <vt:lpstr>Calcite</vt:lpstr>
      <vt:lpstr>New Project 10</vt:lpstr>
      <vt:lpstr>New Project 11</vt:lpstr>
      <vt:lpstr>New Project 12</vt:lpstr>
      <vt:lpstr>Tehachapi</vt:lpstr>
      <vt:lpstr>CW-Lugo</vt:lpstr>
      <vt:lpstr>South CC</vt:lpstr>
      <vt:lpstr>'2019-20 Policy and Econ'!Print_Area</vt:lpstr>
      <vt:lpstr>Calcite!Print_Area</vt:lpstr>
      <vt:lpstr>ClrdoRvr!Print_Area</vt:lpstr>
      <vt:lpstr>'CW-Lugo'!Print_Area</vt:lpstr>
      <vt:lpstr>Existing!Print_Area</vt:lpstr>
      <vt:lpstr>'New Project 10'!Print_Area</vt:lpstr>
      <vt:lpstr>'New Project 11'!Print_Area</vt:lpstr>
      <vt:lpstr>'New Project 12'!Print_Area</vt:lpstr>
      <vt:lpstr>'Red Bluff 2AA Bank'!Print_Area</vt:lpstr>
      <vt:lpstr>Reliability!Print_Area</vt:lpstr>
      <vt:lpstr>'South CC'!Print_Area</vt:lpstr>
      <vt:lpstr>Summary!Print_Area</vt:lpstr>
      <vt:lpstr>Tehachapi!Print_Area</vt:lpstr>
      <vt:lpstr>WOD!Print_Area</vt:lpstr>
      <vt:lpstr>'2019-20 Policy and Econ'!Print_Titles</vt:lpstr>
      <vt:lpstr>Calcite!Print_Titles</vt:lpstr>
      <vt:lpstr>ClrdoRvr!Print_Titles</vt:lpstr>
      <vt:lpstr>'CW-Lugo'!Print_Titles</vt:lpstr>
      <vt:lpstr>Existing!Print_Titles</vt:lpstr>
      <vt:lpstr>'New Project 10'!Print_Titles</vt:lpstr>
      <vt:lpstr>'New Project 11'!Print_Titles</vt:lpstr>
      <vt:lpstr>'New Project 12'!Print_Titles</vt:lpstr>
      <vt:lpstr>'Red Bluff 2AA Bank'!Print_Titles</vt:lpstr>
      <vt:lpstr>Reliability!Print_Titles</vt:lpstr>
      <vt:lpstr>'South CC'!Print_Titles</vt:lpstr>
      <vt:lpstr>Summary!Print_Titles</vt:lpstr>
      <vt:lpstr>Tehachapi!Print_Titles</vt:lpstr>
      <vt:lpstr>WOD!Print_Titles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2019-2020 Transmission Access Charge Forecast Model with New Capital</dc:title>
  <dc:creator>Wayne Taylor</dc:creator>
  <cp:lastModifiedBy>Singh, Abhishek</cp:lastModifiedBy>
  <cp:lastPrinted>2016-01-31T22:04:48Z</cp:lastPrinted>
  <dcterms:created xsi:type="dcterms:W3CDTF">2012-06-11T17:14:09Z</dcterms:created>
  <dcterms:modified xsi:type="dcterms:W3CDTF">2020-07-06T17:38:14Z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Group">
    <vt:lpwstr/>
  </property>
  <property fmtid="{D5CDD505-2E9C-101B-9397-08002B2CF9AE}" pid="4" name="ISOArchive">
    <vt:lpwstr>1;#Not Archived|d4ac4999-fa66-470b-a400-7ab6671d1fab</vt:lpwstr>
  </property>
  <property fmtid="{D5CDD505-2E9C-101B-9397-08002B2CF9AE}" pid="5" name="ISOKeywords">
    <vt:lpwstr/>
  </property>
  <property fmtid="{D5CDD505-2E9C-101B-9397-08002B2CF9AE}" pid="6" name="ISOTopic">
    <vt:lpwstr>311;#Planning|285a5f2c-fbc6-40b5-af08-c23b5949dd29</vt:lpwstr>
  </property>
  <property fmtid="{D5CDD505-2E9C-101B-9397-08002B2CF9AE}" pid="7" name="_dlc_DocIdItemGuid">
    <vt:lpwstr>f585dfc6-6785-479a-97da-3c353226fd2b</vt:lpwstr>
  </property>
  <property fmtid="{D5CDD505-2E9C-101B-9397-08002B2CF9AE}" pid="8" name="AutoClassRecordSeries">
    <vt:lpwstr>41;#Administrative:ADM01-215 - Planning Records|445b443c-bc08-4acf-a53a-2e311e7629f1</vt:lpwstr>
  </property>
  <property fmtid="{D5CDD505-2E9C-101B-9397-08002B2CF9AE}" pid="9" name="AutoClassDocumentType">
    <vt:lpwstr/>
  </property>
  <property fmtid="{D5CDD505-2E9C-101B-9397-08002B2CF9AE}" pid="10" name="AutoClassTopic">
    <vt:lpwstr>17;#Tariff|cc4c938c-feeb-4c7a-a862-f9df7d868b49;#86;#Project|b10aa64f-48ee-4573-a7bc-f018fb4d66f0</vt:lpwstr>
  </property>
  <property fmtid="{D5CDD505-2E9C-101B-9397-08002B2CF9AE}" pid="11" name="RLPreviousUrl">
    <vt:lpwstr>/sites/MID/ID/RTN/Records/TPP/TPP 2017 - 2018/High Voltage TAC Projections/2018 Stakeholder Call Materials/2017-2018TransmissionAccessChargeForecastModelwithNewCapital-Updated.xlsx</vt:lpwstr>
  </property>
  <property fmtid="{D5CDD505-2E9C-101B-9397-08002B2CF9AE}" pid="12" name="{A44787D4-0540-4523-9961-78E4036D8C6D}">
    <vt:lpwstr>{35DA9C05-E3B2-4234-A3AD-7705334F3792}</vt:lpwstr>
  </property>
  <property fmtid="{D5CDD505-2E9C-101B-9397-08002B2CF9AE}" pid="13" name="Order">
    <vt:r8>6178500</vt:r8>
  </property>
  <property fmtid="{D5CDD505-2E9C-101B-9397-08002B2CF9AE}" pid="14" name="xd_ProgID">
    <vt:lpwstr/>
  </property>
  <property fmtid="{D5CDD505-2E9C-101B-9397-08002B2CF9AE}" pid="15" name="TemplateUrl">
    <vt:lpwstr/>
  </property>
</Properties>
</file>