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1.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6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omefiles\home\jmeredith\profile\Desktop\Angela Task\Conversion_Project\"/>
    </mc:Choice>
  </mc:AlternateContent>
  <xr:revisionPtr revIDLastSave="0" documentId="13_ncr:1_{0EBCE364-D736-4B50-90DE-5DF9F4A5BC90}" xr6:coauthVersionLast="47" xr6:coauthVersionMax="47" xr10:uidLastSave="{00000000-0000-0000-0000-000000000000}"/>
  <bookViews>
    <workbookView xWindow="-120" yWindow="-120" windowWidth="29040" windowHeight="15840" xr2:uid="{6C090DDF-2290-47E2-80D3-E84F9476EFEB}"/>
  </bookViews>
  <sheets>
    <sheet name="General Ledger" sheetId="1" r:id="rId1"/>
    <sheet name="99 O&amp;M BudgetBy FERC_RES" sheetId="2" r:id="rId2"/>
    <sheet name="99 O&amp;M BudgetBy FERC_CC" sheetId="3" r:id="rId3"/>
    <sheet name="Projected 1998 BS" sheetId="4" r:id="rId4"/>
    <sheet name="Projected 1999 BS " sheetId="5" r:id="rId5"/>
    <sheet name="Projected 2000 BS" sheetId="6" r:id="rId6"/>
    <sheet name="1998 Income Statement " sheetId="7" r:id="rId7"/>
    <sheet name="1999 Income Statement" sheetId="8" r:id="rId8"/>
    <sheet name="2000 Income Statement " sheetId="9" r:id="rId9"/>
    <sheet name="GMC" sheetId="10" r:id="rId10"/>
    <sheet name="CODE" sheetId="11" r:id="rId11"/>
    <sheet name="Recovered_Sheet1" sheetId="12" r:id="rId12"/>
    <sheet name="Cash Flows" sheetId="13" r:id="rId13"/>
    <sheet name="Recovered_Sheet2" sheetId="14" r:id="rId14"/>
    <sheet name="Recovered_Sheet3" sheetId="15" r:id="rId15"/>
    <sheet name="Recovered_Sheet4" sheetId="16" r:id="rId16"/>
    <sheet name="Recovered_Sheet5" sheetId="17" r:id="rId17"/>
    <sheet name="Recovered_Sheet6" sheetId="18" r:id="rId18"/>
    <sheet name="St_ AF" sheetId="19" r:id="rId19"/>
    <sheet name="Recovered_Sheet7" sheetId="20" r:id="rId20"/>
    <sheet name="Recovered_Sheet8" sheetId="21" r:id="rId21"/>
    <sheet name="Recovered_Sheet9" sheetId="22" r:id="rId22"/>
    <sheet name="Recovered_Sheet10" sheetId="23" r:id="rId23"/>
    <sheet name="Recovered_Sheet11" sheetId="24" r:id="rId24"/>
    <sheet name="Recovered_Sheet12" sheetId="25" r:id="rId25"/>
    <sheet name="Recovered_Sheet13" sheetId="26" r:id="rId26"/>
    <sheet name="Recovered_Sheet14" sheetId="27" r:id="rId27"/>
    <sheet name="Recovered_Sheet15" sheetId="28" r:id="rId28"/>
    <sheet name="Recovered_Sheet16" sheetId="29" r:id="rId29"/>
    <sheet name="Recovered_Sheet17" sheetId="30" r:id="rId30"/>
    <sheet name="St_ AM" sheetId="31" r:id="rId31"/>
    <sheet name="Recovered_Sheet18" sheetId="32" r:id="rId32"/>
    <sheet name="St_ AO" sheetId="33" r:id="rId33"/>
    <sheet name="St_ AP" sheetId="34" r:id="rId34"/>
    <sheet name="St_ AQ" sheetId="35" r:id="rId35"/>
    <sheet name="St_ AR" sheetId="36" r:id="rId36"/>
    <sheet name="St_ AS" sheetId="37" r:id="rId37"/>
    <sheet name="St_ AW" sheetId="38" r:id="rId38"/>
    <sheet name="St_ AT" sheetId="39" r:id="rId39"/>
    <sheet name="St_ AX" sheetId="40" r:id="rId40"/>
    <sheet name="St_ AY" sheetId="41" r:id="rId41"/>
    <sheet name="Recovered_Sheet19" sheetId="42" r:id="rId42"/>
    <sheet name="Recovered_Sheet20" sheetId="43" r:id="rId43"/>
    <sheet name="Recovered_Sheet21" sheetId="44" r:id="rId44"/>
    <sheet name="St_ BB" sheetId="45" r:id="rId45"/>
    <sheet name="St_ BG" sheetId="46" r:id="rId46"/>
    <sheet name="St_ BH" sheetId="47" r:id="rId47"/>
    <sheet name="Recovered_Sheet22" sheetId="48" r:id="rId48"/>
    <sheet name="Recovered_Sheet23" sheetId="49" r:id="rId49"/>
    <sheet name="print macro" sheetId="50" r:id="rId50"/>
    <sheet name="Sheet1" sheetId="51" r:id="rId51"/>
    <sheet name="AD AE WP" sheetId="52" r:id="rId52"/>
    <sheet name="AD AE WP (2)" sheetId="53" r:id="rId53"/>
    <sheet name="AG WP" sheetId="54" r:id="rId54"/>
    <sheet name="AH WP" sheetId="55" r:id="rId55"/>
    <sheet name="AI WP" sheetId="56" r:id="rId56"/>
    <sheet name="CRITERIA1" sheetId="57" r:id="rId57"/>
    <sheet name="AI WP 2" sheetId="58" r:id="rId58"/>
    <sheet name="Attachment D" sheetId="59" r:id="rId59"/>
    <sheet name="Accounts" sheetId="60" r:id="rId60"/>
    <sheet name="Mapping" sheetId="61" r:id="rId61"/>
    <sheet name="St_ BA" sheetId="62" r:id="rId6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7" l="1"/>
  <c r="H8" i="7"/>
  <c r="J8" i="7"/>
  <c r="L8" i="7"/>
  <c r="N8" i="7"/>
  <c r="P8" i="7"/>
  <c r="R8" i="7"/>
  <c r="X8" i="7"/>
  <c r="Z8" i="7"/>
  <c r="D9" i="7"/>
  <c r="H9" i="7"/>
  <c r="J9" i="7"/>
  <c r="L9" i="7"/>
  <c r="N9" i="7"/>
  <c r="P9" i="7"/>
  <c r="R9" i="7"/>
  <c r="T9" i="7"/>
  <c r="V9" i="7"/>
  <c r="X9" i="7"/>
  <c r="Z9" i="7"/>
  <c r="D10" i="7"/>
  <c r="H10" i="7"/>
  <c r="L10" i="7"/>
  <c r="N10" i="7"/>
  <c r="P10" i="7"/>
  <c r="X10" i="7"/>
  <c r="Z10" i="7"/>
  <c r="D11" i="7"/>
  <c r="F11" i="7"/>
  <c r="H11" i="7"/>
  <c r="J11" i="7"/>
  <c r="L11" i="7"/>
  <c r="N11" i="7"/>
  <c r="P11" i="7"/>
  <c r="R11" i="7"/>
  <c r="T11" i="7"/>
  <c r="V11" i="7"/>
  <c r="X11" i="7"/>
  <c r="Z11" i="7"/>
  <c r="H14" i="7"/>
  <c r="J14" i="7"/>
  <c r="P14" i="7"/>
  <c r="R14" i="7"/>
  <c r="T14" i="7"/>
  <c r="X14" i="7"/>
  <c r="Z14" i="7"/>
  <c r="H15" i="7"/>
  <c r="J15" i="7"/>
  <c r="P15" i="7"/>
  <c r="R15" i="7"/>
  <c r="X15" i="7"/>
  <c r="Z15" i="7"/>
  <c r="H16" i="7"/>
  <c r="J16" i="7"/>
  <c r="P16" i="7"/>
  <c r="R16" i="7"/>
  <c r="X16" i="7"/>
  <c r="Z16" i="7"/>
  <c r="H17" i="7"/>
  <c r="J17" i="7"/>
  <c r="P17" i="7"/>
  <c r="R17" i="7"/>
  <c r="T17" i="7"/>
  <c r="V17" i="7"/>
  <c r="X17" i="7"/>
  <c r="Z17" i="7"/>
  <c r="H18" i="7"/>
  <c r="J18" i="7"/>
  <c r="P18" i="7"/>
  <c r="R18" i="7"/>
  <c r="V18" i="7"/>
  <c r="X18" i="7"/>
  <c r="Z18" i="7"/>
  <c r="H19" i="7"/>
  <c r="J19" i="7"/>
  <c r="P19" i="7"/>
  <c r="R19" i="7"/>
  <c r="X19" i="7"/>
  <c r="Z19" i="7"/>
  <c r="H20" i="7"/>
  <c r="J20" i="7"/>
  <c r="P20" i="7"/>
  <c r="R20" i="7"/>
  <c r="T20" i="7"/>
  <c r="X20" i="7"/>
  <c r="Z20" i="7"/>
  <c r="H21" i="7"/>
  <c r="J21" i="7"/>
  <c r="L21" i="7"/>
  <c r="P21" i="7"/>
  <c r="R21" i="7"/>
  <c r="T21" i="7"/>
  <c r="X21" i="7"/>
  <c r="Z21" i="7"/>
  <c r="H22" i="7"/>
  <c r="P22" i="7"/>
  <c r="X22" i="7"/>
  <c r="H23" i="7"/>
  <c r="J23" i="7"/>
  <c r="P23" i="7"/>
  <c r="R23" i="7"/>
  <c r="V23" i="7"/>
  <c r="X23" i="7"/>
  <c r="Z23" i="7"/>
  <c r="D24" i="7"/>
  <c r="F24" i="7"/>
  <c r="H24" i="7"/>
  <c r="J24" i="7"/>
  <c r="L24" i="7"/>
  <c r="N24" i="7"/>
  <c r="P24" i="7"/>
  <c r="R24" i="7"/>
  <c r="T24" i="7"/>
  <c r="V24" i="7"/>
  <c r="X24" i="7"/>
  <c r="Z24" i="7"/>
  <c r="D26" i="7"/>
  <c r="F26" i="7"/>
  <c r="H26" i="7"/>
  <c r="J26" i="7"/>
  <c r="L26" i="7"/>
  <c r="N26" i="7"/>
  <c r="P26" i="7"/>
  <c r="R26" i="7"/>
  <c r="T26" i="7"/>
  <c r="V26" i="7"/>
  <c r="X26" i="7"/>
  <c r="Z26" i="7"/>
  <c r="D28" i="7"/>
  <c r="L28" i="7"/>
  <c r="T28" i="7"/>
  <c r="V28" i="7"/>
  <c r="F28" i="7" s="1"/>
  <c r="X28" i="7"/>
  <c r="Z28" i="7"/>
  <c r="D30" i="7"/>
  <c r="F30" i="7"/>
  <c r="L30" i="7"/>
  <c r="T30" i="7"/>
  <c r="V30" i="7"/>
  <c r="X30" i="7"/>
  <c r="Z30" i="7"/>
  <c r="L33" i="7"/>
  <c r="V33" i="7"/>
  <c r="F33" i="7" s="1"/>
  <c r="X33" i="7"/>
  <c r="Z33" i="7"/>
  <c r="H36" i="7"/>
  <c r="P36" i="7"/>
  <c r="X36" i="7"/>
  <c r="D37" i="7"/>
  <c r="F37" i="7"/>
  <c r="L37" i="7"/>
  <c r="T37" i="7"/>
  <c r="V37" i="7"/>
  <c r="X37" i="7"/>
  <c r="Z37" i="7"/>
  <c r="D39" i="7"/>
  <c r="F39" i="7"/>
  <c r="L39" i="7"/>
  <c r="T39" i="7"/>
  <c r="V39" i="7"/>
  <c r="X39" i="7"/>
  <c r="Z39" i="7"/>
  <c r="H42" i="7"/>
  <c r="J42" i="7"/>
  <c r="L42" i="7"/>
  <c r="P42" i="7"/>
  <c r="R42" i="7"/>
  <c r="X42" i="7"/>
  <c r="Z42" i="7"/>
  <c r="H43" i="7"/>
  <c r="J43" i="7"/>
  <c r="P43" i="7"/>
  <c r="R43" i="7"/>
  <c r="X43" i="7"/>
  <c r="Z43" i="7"/>
  <c r="H44" i="7"/>
  <c r="J44" i="7"/>
  <c r="P44" i="7"/>
  <c r="R44" i="7"/>
  <c r="X44" i="7"/>
  <c r="Z44" i="7"/>
  <c r="H45" i="7"/>
  <c r="J45" i="7"/>
  <c r="P45" i="7"/>
  <c r="R45" i="7"/>
  <c r="X45" i="7"/>
  <c r="Z45" i="7"/>
  <c r="H46" i="7"/>
  <c r="J46" i="7"/>
  <c r="P46" i="7"/>
  <c r="R46" i="7"/>
  <c r="X46" i="7"/>
  <c r="Z46" i="7"/>
  <c r="H47" i="7"/>
  <c r="J47" i="7"/>
  <c r="P47" i="7"/>
  <c r="R47" i="7"/>
  <c r="X47" i="7"/>
  <c r="Z47" i="7"/>
  <c r="D49" i="7"/>
  <c r="F49" i="7"/>
  <c r="H49" i="7"/>
  <c r="J49" i="7"/>
  <c r="L49" i="7"/>
  <c r="N49" i="7"/>
  <c r="P49" i="7"/>
  <c r="R49" i="7"/>
  <c r="T49" i="7"/>
  <c r="V49" i="7"/>
  <c r="X49" i="7"/>
  <c r="Z49" i="7"/>
  <c r="E9" i="8"/>
  <c r="F9" i="8"/>
  <c r="J9" i="8"/>
  <c r="K9" i="8"/>
  <c r="Q9" i="8"/>
  <c r="S9" i="8"/>
  <c r="E10" i="8"/>
  <c r="J10" i="8"/>
  <c r="E11" i="8"/>
  <c r="F11" i="8"/>
  <c r="I11" i="8"/>
  <c r="J11" i="8"/>
  <c r="K11" i="8"/>
  <c r="Q11" i="8"/>
  <c r="S11" i="8"/>
  <c r="E12" i="8"/>
  <c r="F12" i="8"/>
  <c r="I12" i="8"/>
  <c r="J12" i="8"/>
  <c r="K12" i="8"/>
  <c r="Q12" i="8"/>
  <c r="S12" i="8"/>
  <c r="E13" i="8"/>
  <c r="F13" i="8"/>
  <c r="I13" i="8"/>
  <c r="J13" i="8"/>
  <c r="C14" i="8"/>
  <c r="D14" i="8"/>
  <c r="E14" i="8"/>
  <c r="F14" i="8"/>
  <c r="H14" i="8"/>
  <c r="I14" i="8"/>
  <c r="J14" i="8"/>
  <c r="K14" i="8"/>
  <c r="M14" i="8"/>
  <c r="O14" i="8"/>
  <c r="Q14" i="8"/>
  <c r="S14" i="8"/>
  <c r="E17" i="8"/>
  <c r="F17" i="8"/>
  <c r="I17" i="8"/>
  <c r="J17" i="8"/>
  <c r="K17" i="8"/>
  <c r="M17" i="8"/>
  <c r="O17" i="8"/>
  <c r="Q17" i="8"/>
  <c r="S17" i="8"/>
  <c r="E18" i="8"/>
  <c r="F18" i="8"/>
  <c r="J18" i="8"/>
  <c r="K18" i="8"/>
  <c r="M18" i="8"/>
  <c r="Q18" i="8"/>
  <c r="S18" i="8"/>
  <c r="W18" i="8"/>
  <c r="E19" i="8"/>
  <c r="F19" i="8"/>
  <c r="J19" i="8"/>
  <c r="K19" i="8"/>
  <c r="M19" i="8"/>
  <c r="O19" i="8"/>
  <c r="Q19" i="8"/>
  <c r="S19" i="8"/>
  <c r="C20" i="8"/>
  <c r="D20" i="8"/>
  <c r="E20" i="8"/>
  <c r="F20" i="8"/>
  <c r="H20" i="8"/>
  <c r="I20" i="8"/>
  <c r="J20" i="8"/>
  <c r="K20" i="8"/>
  <c r="M20" i="8"/>
  <c r="O20" i="8"/>
  <c r="Q20" i="8"/>
  <c r="S20" i="8"/>
  <c r="U20" i="8"/>
  <c r="C22" i="8"/>
  <c r="D22" i="8"/>
  <c r="E22" i="8"/>
  <c r="F22" i="8"/>
  <c r="H22" i="8"/>
  <c r="I22" i="8"/>
  <c r="J22" i="8"/>
  <c r="M22" i="8"/>
  <c r="O22" i="8"/>
  <c r="Q22" i="8"/>
  <c r="S22" i="8"/>
  <c r="U22" i="8"/>
  <c r="E25" i="8"/>
  <c r="J25" i="8"/>
  <c r="E26" i="8"/>
  <c r="I26" i="8"/>
  <c r="J26" i="8"/>
  <c r="Q26" i="8"/>
  <c r="S26" i="8"/>
  <c r="E27" i="8"/>
  <c r="J27" i="8"/>
  <c r="Q27" i="8"/>
  <c r="E28" i="8"/>
  <c r="F28" i="8"/>
  <c r="J28" i="8"/>
  <c r="Q28" i="8"/>
  <c r="E29" i="8"/>
  <c r="F29" i="8"/>
  <c r="J29" i="8"/>
  <c r="Q29" i="8"/>
  <c r="C30" i="8"/>
  <c r="D30" i="8"/>
  <c r="E30" i="8"/>
  <c r="H30" i="8"/>
  <c r="I30" i="8"/>
  <c r="J30" i="8"/>
  <c r="M30" i="8"/>
  <c r="O30" i="8"/>
  <c r="Q30" i="8"/>
  <c r="S30" i="8"/>
  <c r="C32" i="8"/>
  <c r="D32" i="8"/>
  <c r="E32" i="8"/>
  <c r="F32" i="8"/>
  <c r="H32" i="8"/>
  <c r="I32" i="8"/>
  <c r="J32" i="8"/>
  <c r="M32" i="8"/>
  <c r="O32" i="8"/>
  <c r="Q32" i="8"/>
  <c r="S32" i="8"/>
  <c r="U32" i="8"/>
  <c r="E35" i="8"/>
  <c r="F35" i="8"/>
  <c r="I35" i="8"/>
  <c r="J35" i="8"/>
  <c r="K35" i="8"/>
  <c r="M35" i="8"/>
  <c r="O35" i="8"/>
  <c r="Q35" i="8"/>
  <c r="S35" i="8"/>
  <c r="E36" i="8"/>
  <c r="J36" i="8"/>
  <c r="Q36" i="8"/>
  <c r="E37" i="8"/>
  <c r="J37" i="8"/>
  <c r="Q37" i="8"/>
  <c r="C38" i="8"/>
  <c r="D38" i="8"/>
  <c r="E38" i="8"/>
  <c r="F38" i="8"/>
  <c r="H38" i="8"/>
  <c r="I38" i="8"/>
  <c r="J38" i="8"/>
  <c r="K38" i="8"/>
  <c r="M38" i="8"/>
  <c r="O38" i="8"/>
  <c r="Q38" i="8"/>
  <c r="S38" i="8"/>
  <c r="C40" i="8"/>
  <c r="D40" i="8"/>
  <c r="E40" i="8"/>
  <c r="F40" i="8"/>
  <c r="H40" i="8"/>
  <c r="I40" i="8"/>
  <c r="J40" i="8"/>
  <c r="M40" i="8"/>
  <c r="O40" i="8"/>
  <c r="Q40" i="8"/>
  <c r="S40" i="8"/>
  <c r="U40" i="8"/>
  <c r="H9" i="9"/>
  <c r="J9" i="9"/>
  <c r="H11" i="9"/>
  <c r="J11" i="9"/>
  <c r="H12" i="9"/>
  <c r="J12" i="9"/>
  <c r="D14" i="9"/>
  <c r="F14" i="9"/>
  <c r="H14" i="9"/>
  <c r="J14" i="9"/>
  <c r="L14" i="9"/>
  <c r="D17" i="9"/>
  <c r="F17" i="9"/>
  <c r="H17" i="9"/>
  <c r="J17" i="9"/>
  <c r="D18" i="9"/>
  <c r="F18" i="9"/>
  <c r="H18" i="9"/>
  <c r="J18" i="9"/>
  <c r="D20" i="9"/>
  <c r="F20" i="9"/>
  <c r="H20" i="9"/>
  <c r="J20" i="9"/>
  <c r="L20" i="9"/>
  <c r="D22" i="9"/>
  <c r="F22" i="9"/>
  <c r="H22" i="9"/>
  <c r="J22" i="9"/>
  <c r="L22" i="9"/>
  <c r="H26" i="9"/>
  <c r="J26" i="9"/>
  <c r="H27" i="9"/>
  <c r="H28" i="9"/>
  <c r="H29" i="9"/>
  <c r="D30" i="9"/>
  <c r="F30" i="9"/>
  <c r="H30" i="9"/>
  <c r="J30" i="9"/>
  <c r="L30" i="9"/>
  <c r="D32" i="9"/>
  <c r="F32" i="9"/>
  <c r="H32" i="9"/>
  <c r="J32" i="9"/>
  <c r="L32" i="9"/>
  <c r="D35" i="9"/>
  <c r="F35" i="9"/>
  <c r="H35" i="9"/>
  <c r="J35" i="9"/>
  <c r="H36" i="9"/>
  <c r="H37" i="9"/>
  <c r="D38" i="9"/>
  <c r="F38" i="9"/>
  <c r="H38" i="9"/>
  <c r="J38" i="9"/>
  <c r="L38" i="9"/>
  <c r="D40" i="9"/>
  <c r="F40" i="9"/>
  <c r="H40" i="9"/>
  <c r="J40" i="9"/>
  <c r="L40" i="9"/>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A236" i="3"/>
  <c r="A238" i="3"/>
  <c r="A240" i="3"/>
  <c r="J241" i="3"/>
  <c r="G353" i="3"/>
  <c r="G354" i="3"/>
  <c r="G355" i="3"/>
  <c r="G372" i="3"/>
  <c r="J11" i="2"/>
  <c r="J18" i="2"/>
  <c r="J97" i="2"/>
  <c r="J108" i="2"/>
  <c r="J115" i="2"/>
  <c r="J125" i="2"/>
  <c r="C128" i="2"/>
  <c r="C131" i="2"/>
  <c r="C132" i="2"/>
  <c r="C133" i="2"/>
  <c r="C135" i="2"/>
  <c r="C137" i="2"/>
  <c r="C138" i="2"/>
  <c r="C139" i="2"/>
  <c r="C141" i="2"/>
  <c r="C142" i="2"/>
  <c r="C143" i="2"/>
  <c r="C144" i="2"/>
  <c r="C146" i="2"/>
  <c r="C148" i="2"/>
  <c r="C150" i="2"/>
  <c r="C151" i="2"/>
  <c r="C152" i="2"/>
  <c r="C154" i="2"/>
  <c r="C155" i="2"/>
  <c r="C156" i="2"/>
  <c r="C158" i="2"/>
  <c r="C159" i="2"/>
  <c r="C160" i="2"/>
  <c r="C161" i="2"/>
  <c r="C162" i="2"/>
  <c r="C164" i="2"/>
  <c r="C165" i="2"/>
  <c r="C166" i="2"/>
  <c r="J166" i="2"/>
  <c r="J175" i="2"/>
  <c r="J188" i="2"/>
  <c r="J205" i="2"/>
  <c r="A212" i="2"/>
  <c r="A226" i="2"/>
  <c r="A242" i="2"/>
  <c r="J268" i="2"/>
  <c r="J330" i="2"/>
  <c r="K330" i="2"/>
  <c r="J352" i="2"/>
  <c r="G353" i="2"/>
  <c r="J353" i="2"/>
  <c r="G354" i="2"/>
  <c r="J354" i="2"/>
  <c r="G355" i="2"/>
  <c r="J355" i="2"/>
  <c r="J356" i="2"/>
  <c r="J357" i="2"/>
  <c r="J358" i="2"/>
  <c r="J359" i="2"/>
  <c r="J364" i="2"/>
  <c r="J370" i="2"/>
  <c r="G373" i="2"/>
  <c r="J373" i="2"/>
  <c r="I2" i="60"/>
  <c r="G967" i="60"/>
  <c r="G969" i="60"/>
  <c r="T14" i="52"/>
  <c r="AN14" i="52"/>
  <c r="W15" i="52"/>
  <c r="AC15" i="52"/>
  <c r="J15" i="52" s="1"/>
  <c r="W16" i="52"/>
  <c r="AC16" i="52"/>
  <c r="J16" i="52" s="1"/>
  <c r="AC17" i="52"/>
  <c r="J17" i="52" s="1"/>
  <c r="AC18" i="52"/>
  <c r="J18" i="52" s="1"/>
  <c r="J19" i="52"/>
  <c r="L19" i="52"/>
  <c r="AF19" i="52"/>
  <c r="L23" i="52"/>
  <c r="W23" i="52"/>
  <c r="AC23" i="52"/>
  <c r="J23" i="52" s="1"/>
  <c r="L24" i="52"/>
  <c r="W25" i="52"/>
  <c r="AC25" i="52"/>
  <c r="J25" i="52" s="1"/>
  <c r="N26" i="52"/>
  <c r="T26" i="52"/>
  <c r="AD26" i="52"/>
  <c r="AH26" i="52"/>
  <c r="AN26" i="52"/>
  <c r="N27" i="52"/>
  <c r="T27" i="52"/>
  <c r="AD27" i="52"/>
  <c r="AH27" i="52"/>
  <c r="AN27" i="52"/>
  <c r="N28" i="52"/>
  <c r="T28" i="52"/>
  <c r="AD28" i="52"/>
  <c r="AH28" i="52"/>
  <c r="AN28" i="52"/>
  <c r="N29" i="52"/>
  <c r="T29" i="52"/>
  <c r="AD29" i="52"/>
  <c r="AH29" i="52"/>
  <c r="AN29" i="52"/>
  <c r="AC30" i="52"/>
  <c r="J30" i="52" s="1"/>
  <c r="L31" i="52"/>
  <c r="AF31" i="52"/>
  <c r="L33" i="52"/>
  <c r="AF33" i="52"/>
  <c r="T37" i="52"/>
  <c r="AN37" i="52"/>
  <c r="Y38" i="52"/>
  <c r="AC38" i="52"/>
  <c r="J38" i="52" s="1"/>
  <c r="J39" i="52"/>
  <c r="L39" i="52"/>
  <c r="AF39" i="52"/>
  <c r="AC43" i="52"/>
  <c r="J43" i="52" s="1"/>
  <c r="AC44" i="52"/>
  <c r="J44" i="52" s="1"/>
  <c r="W45" i="52"/>
  <c r="AC45" i="52"/>
  <c r="J45" i="52" s="1"/>
  <c r="J46" i="52"/>
  <c r="L46" i="52"/>
  <c r="AF46" i="52"/>
  <c r="AC49" i="52"/>
  <c r="J49" i="52" s="1"/>
  <c r="AC54" i="52"/>
  <c r="J54" i="52" s="1"/>
  <c r="L55" i="52"/>
  <c r="W55" i="52"/>
  <c r="W24" i="52" s="1"/>
  <c r="AC24" i="52" s="1"/>
  <c r="J24" i="52" s="1"/>
  <c r="AC55" i="52"/>
  <c r="J55" i="52" s="1"/>
  <c r="AF55" i="52"/>
  <c r="AC56" i="52"/>
  <c r="J56" i="52" s="1"/>
  <c r="AC57" i="52"/>
  <c r="J57" i="52" s="1"/>
  <c r="J58" i="52"/>
  <c r="L58" i="52"/>
  <c r="AF58" i="52"/>
  <c r="J60" i="52"/>
  <c r="L60" i="52"/>
  <c r="AF60" i="52"/>
  <c r="L63" i="52"/>
  <c r="W63" i="52"/>
  <c r="Y63" i="52"/>
  <c r="AA63" i="52"/>
  <c r="AC63" i="52"/>
  <c r="AF63" i="52"/>
  <c r="W65" i="52"/>
  <c r="AC65" i="52"/>
  <c r="W67" i="52"/>
  <c r="Y67" i="52"/>
  <c r="AA67" i="52"/>
  <c r="AC67" i="52"/>
  <c r="T12" i="53"/>
  <c r="N13" i="53"/>
  <c r="T13" i="53"/>
  <c r="AB13" i="53"/>
  <c r="N14" i="53"/>
  <c r="T14" i="53"/>
  <c r="AB14" i="53"/>
  <c r="N15" i="53"/>
  <c r="T15" i="53"/>
  <c r="AB15" i="53"/>
  <c r="N16" i="53"/>
  <c r="T16" i="53"/>
  <c r="AB16" i="53"/>
  <c r="L17" i="53"/>
  <c r="N17" i="53"/>
  <c r="R17" i="53"/>
  <c r="T17" i="53"/>
  <c r="X17" i="53"/>
  <c r="Z17" i="53"/>
  <c r="AB17" i="53"/>
  <c r="AF17" i="53"/>
  <c r="N21" i="53"/>
  <c r="R21" i="53"/>
  <c r="T21" i="53"/>
  <c r="AB21" i="53"/>
  <c r="N22" i="53"/>
  <c r="R22" i="53"/>
  <c r="T22" i="53"/>
  <c r="AB22" i="53"/>
  <c r="N23" i="53"/>
  <c r="R23" i="53"/>
  <c r="T23" i="53"/>
  <c r="AB23" i="53"/>
  <c r="N25" i="53"/>
  <c r="R25" i="53"/>
  <c r="T25" i="53"/>
  <c r="AB25" i="53"/>
  <c r="N26" i="53"/>
  <c r="R26" i="53"/>
  <c r="T26" i="53"/>
  <c r="AB26" i="53"/>
  <c r="N27" i="53"/>
  <c r="R27" i="53"/>
  <c r="T27" i="53"/>
  <c r="AB27" i="53"/>
  <c r="N28" i="53"/>
  <c r="R28" i="53"/>
  <c r="T28" i="53"/>
  <c r="AB28" i="53"/>
  <c r="J29" i="53"/>
  <c r="N29" i="53"/>
  <c r="R29" i="53"/>
  <c r="T29" i="53"/>
  <c r="X29" i="53"/>
  <c r="AB29" i="53"/>
  <c r="AF29" i="53"/>
  <c r="J31" i="53"/>
  <c r="N31" i="53"/>
  <c r="R31" i="53"/>
  <c r="T31" i="53"/>
  <c r="X31" i="53"/>
  <c r="AB31" i="53"/>
  <c r="AF31" i="53"/>
  <c r="T35" i="53"/>
  <c r="N36" i="53"/>
  <c r="R36" i="53"/>
  <c r="T36" i="53"/>
  <c r="AB36" i="53"/>
  <c r="J37" i="53"/>
  <c r="L37" i="53"/>
  <c r="N37" i="53"/>
  <c r="R37" i="53"/>
  <c r="T37" i="53"/>
  <c r="X37" i="53"/>
  <c r="Z37" i="53"/>
  <c r="AB37" i="53"/>
  <c r="AF37" i="53"/>
  <c r="N41" i="53"/>
  <c r="R41" i="53"/>
  <c r="T41" i="53"/>
  <c r="AB41" i="53"/>
  <c r="N42" i="53"/>
  <c r="R42" i="53"/>
  <c r="T42" i="53"/>
  <c r="AB42" i="53"/>
  <c r="N43" i="53"/>
  <c r="R43" i="53"/>
  <c r="T43" i="53"/>
  <c r="AB43" i="53"/>
  <c r="J44" i="53"/>
  <c r="L44" i="53"/>
  <c r="N44" i="53"/>
  <c r="R44" i="53"/>
  <c r="T44" i="53"/>
  <c r="X44" i="53"/>
  <c r="Z44" i="53"/>
  <c r="AB44" i="53"/>
  <c r="AF44" i="53"/>
  <c r="N47" i="53"/>
  <c r="R47" i="53"/>
  <c r="T47" i="53"/>
  <c r="AB47" i="53"/>
  <c r="N50" i="53"/>
  <c r="R50" i="53"/>
  <c r="T50" i="53"/>
  <c r="AB50" i="53"/>
  <c r="N55" i="53"/>
  <c r="R55" i="53"/>
  <c r="T55" i="53"/>
  <c r="AB55" i="53"/>
  <c r="N56" i="53"/>
  <c r="R56" i="53"/>
  <c r="T56" i="53"/>
  <c r="AB56" i="53"/>
  <c r="N57" i="53"/>
  <c r="R57" i="53"/>
  <c r="T57" i="53"/>
  <c r="AB57" i="53"/>
  <c r="N58" i="53"/>
  <c r="R58" i="53"/>
  <c r="T58" i="53"/>
  <c r="AB58" i="53"/>
  <c r="N59" i="53"/>
  <c r="R59" i="53"/>
  <c r="T59" i="53"/>
  <c r="AB59" i="53"/>
  <c r="N60" i="53"/>
  <c r="R60" i="53"/>
  <c r="T60" i="53"/>
  <c r="AB60" i="53"/>
  <c r="J61" i="53"/>
  <c r="L61" i="53"/>
  <c r="N61" i="53"/>
  <c r="R61" i="53"/>
  <c r="T61" i="53"/>
  <c r="X61" i="53"/>
  <c r="Z61" i="53"/>
  <c r="AB61" i="53"/>
  <c r="AF61" i="53"/>
  <c r="J63" i="53"/>
  <c r="L63" i="53"/>
  <c r="N63" i="53"/>
  <c r="R63" i="53"/>
  <c r="T63" i="53"/>
  <c r="X63" i="53"/>
  <c r="Z63" i="53"/>
  <c r="AB63" i="53"/>
  <c r="AF63" i="53"/>
  <c r="J66" i="53"/>
  <c r="N66" i="53"/>
  <c r="R66" i="53"/>
  <c r="T66" i="53"/>
  <c r="X66" i="53"/>
  <c r="AB66" i="53"/>
  <c r="AF66" i="53"/>
  <c r="N78" i="53"/>
  <c r="AB78" i="53"/>
  <c r="N80" i="53"/>
  <c r="X80" i="53"/>
  <c r="AB80" i="53"/>
  <c r="H23" i="54"/>
  <c r="J14" i="54" s="1"/>
  <c r="J23" i="54"/>
  <c r="V17" i="55"/>
  <c r="V18" i="55"/>
  <c r="V19" i="55"/>
  <c r="V20" i="55"/>
  <c r="V21" i="55"/>
  <c r="V22" i="55"/>
  <c r="M23" i="55"/>
  <c r="Q23" i="55"/>
  <c r="V23" i="55"/>
  <c r="V24" i="55"/>
  <c r="V25" i="55"/>
  <c r="M31" i="55"/>
  <c r="Q31" i="55"/>
  <c r="M37" i="55"/>
  <c r="Q37" i="55"/>
  <c r="K40" i="55"/>
  <c r="O40" i="55"/>
  <c r="M46" i="55"/>
  <c r="Q46" i="55"/>
  <c r="M50" i="55"/>
  <c r="Q50" i="55"/>
  <c r="M54" i="55"/>
  <c r="Q54" i="55"/>
  <c r="M57" i="55"/>
  <c r="Q57" i="55"/>
  <c r="S57" i="55"/>
  <c r="M66" i="55"/>
  <c r="Q66" i="55"/>
  <c r="M73" i="55"/>
  <c r="Q73" i="55"/>
  <c r="M81" i="55"/>
  <c r="Q81" i="55"/>
  <c r="M89" i="55"/>
  <c r="Q89" i="55"/>
  <c r="M93" i="55"/>
  <c r="Q93" i="55"/>
  <c r="M101" i="55"/>
  <c r="Q101" i="55"/>
  <c r="M108" i="55"/>
  <c r="Q108" i="55"/>
  <c r="M110" i="55"/>
  <c r="Q110" i="55"/>
  <c r="S110" i="55"/>
  <c r="M119" i="55"/>
  <c r="Q119" i="55"/>
  <c r="M127" i="55"/>
  <c r="Q127" i="55"/>
  <c r="M135" i="55"/>
  <c r="Q135" i="55"/>
  <c r="M139" i="55"/>
  <c r="Q139" i="55"/>
  <c r="M145" i="55"/>
  <c r="Q145" i="55"/>
  <c r="M151" i="55"/>
  <c r="Q151" i="55"/>
  <c r="M155" i="55"/>
  <c r="Q155" i="55"/>
  <c r="M159" i="55"/>
  <c r="Q159" i="55"/>
  <c r="M163" i="55"/>
  <c r="Q163" i="55"/>
  <c r="M167" i="55"/>
  <c r="Q167" i="55"/>
  <c r="M173" i="55"/>
  <c r="Q173" i="55"/>
  <c r="K176" i="55"/>
  <c r="O176" i="55"/>
  <c r="M180" i="55"/>
  <c r="Q180" i="55"/>
  <c r="M185" i="55"/>
  <c r="Q185" i="55"/>
  <c r="M189" i="55"/>
  <c r="Q189" i="55"/>
  <c r="M193" i="55"/>
  <c r="Q193" i="55"/>
  <c r="M197" i="55"/>
  <c r="Q197" i="55"/>
  <c r="M201" i="55"/>
  <c r="Q201" i="55"/>
  <c r="M205" i="55"/>
  <c r="Q205" i="55"/>
  <c r="M212" i="55"/>
  <c r="Q212" i="55"/>
  <c r="O216" i="55"/>
  <c r="M223" i="55"/>
  <c r="Q223" i="55"/>
  <c r="Q232" i="55"/>
  <c r="M236" i="55"/>
  <c r="Q236" i="55"/>
  <c r="O239" i="55"/>
  <c r="M240" i="55"/>
  <c r="Q240" i="55"/>
  <c r="M247" i="55"/>
  <c r="Q247" i="55"/>
  <c r="M253" i="55"/>
  <c r="Q253" i="55"/>
  <c r="M258" i="55"/>
  <c r="Q258" i="55"/>
  <c r="M263" i="55"/>
  <c r="Q263" i="55"/>
  <c r="M267" i="55"/>
  <c r="Q267" i="55"/>
  <c r="M273" i="55"/>
  <c r="Q273" i="55"/>
  <c r="K276" i="55"/>
  <c r="O276" i="55"/>
  <c r="M277" i="55"/>
  <c r="Q277" i="55"/>
  <c r="K282" i="55"/>
  <c r="K283" i="55"/>
  <c r="M285" i="55"/>
  <c r="Q285" i="55"/>
  <c r="K288" i="55"/>
  <c r="K289" i="55"/>
  <c r="M290" i="55"/>
  <c r="Q290" i="55"/>
  <c r="M296" i="55"/>
  <c r="Q296" i="55"/>
  <c r="K299" i="55"/>
  <c r="K300" i="55"/>
  <c r="K301" i="55"/>
  <c r="M302" i="55"/>
  <c r="Q302" i="55"/>
  <c r="M307" i="55"/>
  <c r="Q307" i="55"/>
  <c r="M310" i="55"/>
  <c r="Q310" i="55"/>
  <c r="M314" i="55"/>
  <c r="Q314" i="55"/>
  <c r="K17" i="56"/>
  <c r="O17" i="56"/>
  <c r="K21" i="56"/>
  <c r="O21" i="56"/>
  <c r="K25" i="56"/>
  <c r="O25" i="56"/>
  <c r="K30" i="56"/>
  <c r="O30" i="56"/>
  <c r="K34" i="56"/>
  <c r="O34" i="56"/>
  <c r="K39" i="56"/>
  <c r="O39" i="56"/>
  <c r="K44" i="56"/>
  <c r="O44" i="56"/>
  <c r="K49" i="56"/>
  <c r="O49" i="56"/>
  <c r="K53" i="56"/>
  <c r="O53" i="56"/>
  <c r="K62" i="56"/>
  <c r="O62" i="56"/>
  <c r="K66" i="56"/>
  <c r="O66" i="56"/>
  <c r="K70" i="56"/>
  <c r="O70" i="56"/>
  <c r="K74" i="56"/>
  <c r="O74" i="56"/>
  <c r="K21" i="58"/>
  <c r="O21" i="58"/>
  <c r="K31" i="58"/>
  <c r="O31" i="58"/>
  <c r="K37" i="58"/>
  <c r="O37" i="58"/>
  <c r="K42" i="58"/>
  <c r="O42" i="58"/>
  <c r="K49" i="58"/>
  <c r="O49" i="58"/>
  <c r="K53" i="58"/>
  <c r="O53" i="58"/>
  <c r="K57" i="58"/>
  <c r="O57" i="58"/>
  <c r="AI15" i="59"/>
  <c r="AK15" i="59"/>
  <c r="AL15" i="59"/>
  <c r="BJ15" i="59"/>
  <c r="BL15" i="59"/>
  <c r="BM15" i="59"/>
  <c r="W16" i="59"/>
  <c r="Y16" i="59"/>
  <c r="AC16" i="59"/>
  <c r="AE16" i="59"/>
  <c r="AI16" i="59"/>
  <c r="AK16" i="59"/>
  <c r="AL16" i="59"/>
  <c r="BJ16" i="59"/>
  <c r="BL16" i="59"/>
  <c r="BM16" i="59"/>
  <c r="AI17" i="59"/>
  <c r="AK17" i="59"/>
  <c r="AL17" i="59"/>
  <c r="BJ17" i="59"/>
  <c r="BL17" i="59"/>
  <c r="BM17" i="59"/>
  <c r="W18" i="59"/>
  <c r="Y18" i="59"/>
  <c r="AC18" i="59"/>
  <c r="AE18" i="59"/>
  <c r="AI18" i="59"/>
  <c r="AK18" i="59"/>
  <c r="AL18" i="59"/>
  <c r="BJ18" i="59"/>
  <c r="BL18" i="59"/>
  <c r="BM18" i="59"/>
  <c r="N19" i="59"/>
  <c r="Q19" i="59"/>
  <c r="S19" i="59"/>
  <c r="U19" i="59"/>
  <c r="W19" i="59"/>
  <c r="Y19" i="59"/>
  <c r="AA19" i="59"/>
  <c r="AC19" i="59"/>
  <c r="AE19" i="59"/>
  <c r="AG19" i="59"/>
  <c r="AI19" i="59"/>
  <c r="AK19" i="59"/>
  <c r="AO19" i="59"/>
  <c r="AR19" i="59"/>
  <c r="AT19" i="59"/>
  <c r="AV19" i="59"/>
  <c r="AX19" i="59"/>
  <c r="AZ19" i="59"/>
  <c r="BB19" i="59"/>
  <c r="BD19" i="59"/>
  <c r="BF19" i="59"/>
  <c r="BH19" i="59"/>
  <c r="BJ19" i="59"/>
  <c r="BL19" i="59"/>
  <c r="AI24" i="59"/>
  <c r="AK24" i="59"/>
  <c r="AL24" i="59"/>
  <c r="BJ24" i="59"/>
  <c r="BL24" i="59"/>
  <c r="BM24" i="59"/>
  <c r="A25" i="59"/>
  <c r="AI25" i="59"/>
  <c r="AK25" i="59"/>
  <c r="AL25" i="59"/>
  <c r="BJ25" i="59"/>
  <c r="BL25" i="59"/>
  <c r="BM25" i="59"/>
  <c r="W26" i="59"/>
  <c r="Y26" i="59"/>
  <c r="AC26" i="59"/>
  <c r="AE26" i="59"/>
  <c r="AI26" i="59"/>
  <c r="AL26" i="59"/>
  <c r="BJ26" i="59"/>
  <c r="BL26" i="59"/>
  <c r="BM26" i="59"/>
  <c r="W27" i="59"/>
  <c r="Y27" i="59"/>
  <c r="AI27" i="59"/>
  <c r="AK27" i="59"/>
  <c r="AL27" i="59"/>
  <c r="BJ27" i="59"/>
  <c r="BL27" i="59"/>
  <c r="BM27" i="59"/>
  <c r="N28" i="59"/>
  <c r="Q28" i="59"/>
  <c r="S28" i="59"/>
  <c r="U28" i="59"/>
  <c r="W28" i="59"/>
  <c r="Y28" i="59"/>
  <c r="AA28" i="59"/>
  <c r="AC28" i="59"/>
  <c r="AE28" i="59"/>
  <c r="AG28" i="59"/>
  <c r="AI28" i="59"/>
  <c r="AK28" i="59"/>
  <c r="AO28" i="59"/>
  <c r="AR28" i="59"/>
  <c r="AT28" i="59"/>
  <c r="AV28" i="59"/>
  <c r="AX28" i="59"/>
  <c r="AZ28" i="59"/>
  <c r="BB28" i="59"/>
  <c r="BD28" i="59"/>
  <c r="BF28" i="59"/>
  <c r="BH28" i="59"/>
  <c r="BJ28" i="59"/>
  <c r="BL28" i="59"/>
  <c r="AI33" i="59"/>
  <c r="AK33" i="59"/>
  <c r="BJ33" i="59"/>
  <c r="BL33" i="59"/>
  <c r="BM33" i="59"/>
  <c r="W34" i="59"/>
  <c r="AI34" i="59"/>
  <c r="AK34" i="59"/>
  <c r="AL34" i="59"/>
  <c r="BJ34" i="59"/>
  <c r="BL34" i="59"/>
  <c r="BM34" i="59"/>
  <c r="AI35" i="59"/>
  <c r="AK35" i="59"/>
  <c r="BJ35" i="59"/>
  <c r="BL35" i="59"/>
  <c r="BM35" i="59"/>
  <c r="N36" i="59"/>
  <c r="Q36" i="59"/>
  <c r="S36" i="59"/>
  <c r="U36" i="59"/>
  <c r="W36" i="59"/>
  <c r="Y36" i="59"/>
  <c r="AA36" i="59"/>
  <c r="AC36" i="59"/>
  <c r="AE36" i="59"/>
  <c r="AG36" i="59"/>
  <c r="AI36" i="59"/>
  <c r="AK36" i="59"/>
  <c r="AO36" i="59"/>
  <c r="AR36" i="59"/>
  <c r="AT36" i="59"/>
  <c r="AV36" i="59"/>
  <c r="AX36" i="59"/>
  <c r="AZ36" i="59"/>
  <c r="BB36" i="59"/>
  <c r="BD36" i="59"/>
  <c r="BF36" i="59"/>
  <c r="BH36" i="59"/>
  <c r="BJ36" i="59"/>
  <c r="BL36" i="59"/>
  <c r="AI41" i="59"/>
  <c r="AK41" i="59"/>
  <c r="AL41" i="59"/>
  <c r="BJ41" i="59"/>
  <c r="BL41" i="59"/>
  <c r="BM41" i="59"/>
  <c r="AI42" i="59"/>
  <c r="AK42" i="59"/>
  <c r="AL42" i="59"/>
  <c r="BJ42" i="59"/>
  <c r="BL42" i="59"/>
  <c r="BM42" i="59"/>
  <c r="AI43" i="59"/>
  <c r="AK43" i="59"/>
  <c r="AL43" i="59"/>
  <c r="BJ43" i="59"/>
  <c r="BL43" i="59"/>
  <c r="BM43" i="59"/>
  <c r="AI44" i="59"/>
  <c r="AK44" i="59"/>
  <c r="AL44" i="59"/>
  <c r="BJ44" i="59"/>
  <c r="BL44" i="59"/>
  <c r="BM44" i="59"/>
  <c r="A45" i="59"/>
  <c r="AI45" i="59"/>
  <c r="AK45" i="59"/>
  <c r="AL45" i="59"/>
  <c r="BJ45" i="59"/>
  <c r="BL45" i="59"/>
  <c r="BM45" i="59"/>
  <c r="A46" i="59"/>
  <c r="AI46" i="59"/>
  <c r="AK46" i="59"/>
  <c r="AL46" i="59"/>
  <c r="BJ46" i="59"/>
  <c r="BL46" i="59"/>
  <c r="BM46" i="59"/>
  <c r="A47" i="59"/>
  <c r="AI47" i="59"/>
  <c r="AK47" i="59"/>
  <c r="AL47" i="59"/>
  <c r="BJ47" i="59"/>
  <c r="BL47" i="59"/>
  <c r="BM47" i="59"/>
  <c r="A48" i="59"/>
  <c r="AI48" i="59"/>
  <c r="AK48" i="59"/>
  <c r="AL48" i="59"/>
  <c r="BJ48" i="59"/>
  <c r="BL48" i="59"/>
  <c r="BM48" i="59"/>
  <c r="AI49" i="59"/>
  <c r="AK49" i="59"/>
  <c r="AL49" i="59"/>
  <c r="BJ49" i="59"/>
  <c r="BL49" i="59"/>
  <c r="BM49" i="59"/>
  <c r="N50" i="59"/>
  <c r="Q50" i="59"/>
  <c r="S50" i="59"/>
  <c r="U50" i="59"/>
  <c r="W50" i="59"/>
  <c r="Y50" i="59"/>
  <c r="AA50" i="59"/>
  <c r="AC50" i="59"/>
  <c r="AE50" i="59"/>
  <c r="AG50" i="59"/>
  <c r="AI50" i="59"/>
  <c r="AK50" i="59"/>
  <c r="AO50" i="59"/>
  <c r="AR50" i="59"/>
  <c r="AT50" i="59"/>
  <c r="AV50" i="59"/>
  <c r="AX50" i="59"/>
  <c r="AZ50" i="59"/>
  <c r="BB50" i="59"/>
  <c r="BD50" i="59"/>
  <c r="BF50" i="59"/>
  <c r="BH50" i="59"/>
  <c r="BJ50" i="59"/>
  <c r="BL50" i="59"/>
  <c r="N54" i="59"/>
  <c r="Q54" i="59"/>
  <c r="S54" i="59"/>
  <c r="U54" i="59"/>
  <c r="W54" i="59"/>
  <c r="Y54" i="59"/>
  <c r="AA54" i="59"/>
  <c r="AC54" i="59"/>
  <c r="AE54" i="59"/>
  <c r="AG54" i="59"/>
  <c r="AI54" i="59"/>
  <c r="AK54" i="59"/>
  <c r="AL54" i="59"/>
  <c r="AM54" i="59"/>
  <c r="AO54" i="59"/>
  <c r="AR54" i="59"/>
  <c r="AT54" i="59"/>
  <c r="AV54" i="59"/>
  <c r="AX54" i="59"/>
  <c r="AZ54" i="59"/>
  <c r="BB54" i="59"/>
  <c r="BD54" i="59"/>
  <c r="BF54" i="59"/>
  <c r="BH54" i="59"/>
  <c r="BJ54" i="59"/>
  <c r="BM54" i="59"/>
  <c r="BJ56" i="59"/>
  <c r="Q58" i="59"/>
  <c r="R58" i="59"/>
  <c r="S58" i="59"/>
  <c r="T58" i="59"/>
  <c r="U58" i="59"/>
  <c r="V58" i="59"/>
  <c r="W58" i="59"/>
  <c r="X58" i="59"/>
  <c r="Y58" i="59"/>
  <c r="Z58" i="59"/>
  <c r="AA58" i="59"/>
  <c r="AB58" i="59"/>
  <c r="AC58" i="59"/>
  <c r="AD58" i="59"/>
  <c r="AE58" i="59"/>
  <c r="AF58" i="59"/>
  <c r="AG58" i="59"/>
  <c r="AR58" i="59"/>
  <c r="AT58" i="59"/>
  <c r="AV58" i="59"/>
  <c r="AW58" i="59"/>
  <c r="AX58" i="59"/>
  <c r="AY58" i="59"/>
  <c r="AZ58" i="59"/>
  <c r="BA58" i="59"/>
  <c r="BB58" i="59"/>
  <c r="BC58" i="59"/>
  <c r="BD58" i="59"/>
  <c r="BF58" i="59"/>
  <c r="BG58" i="59"/>
  <c r="BH58" i="59"/>
  <c r="J12" i="13"/>
  <c r="J24" i="13"/>
  <c r="J30" i="13"/>
  <c r="J34" i="13"/>
  <c r="G43" i="13"/>
  <c r="C9" i="1"/>
  <c r="E9" i="1"/>
  <c r="H9" i="1"/>
  <c r="J9" i="1"/>
  <c r="C12" i="1"/>
  <c r="E12" i="1"/>
  <c r="C13" i="1"/>
  <c r="E13" i="1"/>
  <c r="C83" i="1"/>
  <c r="J84" i="1"/>
  <c r="C85" i="1"/>
  <c r="E85" i="1"/>
  <c r="J85" i="1"/>
  <c r="E103" i="1"/>
  <c r="E109" i="1"/>
  <c r="J109" i="1"/>
  <c r="E114" i="1"/>
  <c r="E83" i="1" s="1"/>
  <c r="J114" i="1"/>
  <c r="J83" i="1" s="1"/>
  <c r="C127" i="1"/>
  <c r="C84" i="1" s="1"/>
  <c r="E127" i="1"/>
  <c r="E84" i="1" s="1"/>
  <c r="E156" i="1"/>
  <c r="J156" i="1"/>
  <c r="P16" i="10"/>
  <c r="P17" i="10"/>
  <c r="P18" i="10"/>
  <c r="P19" i="10"/>
  <c r="P20" i="10"/>
  <c r="L21" i="10"/>
  <c r="N21" i="10"/>
  <c r="P21" i="10"/>
  <c r="P23" i="10"/>
  <c r="P24" i="10"/>
  <c r="P25" i="10"/>
  <c r="L26" i="10"/>
  <c r="N26" i="10"/>
  <c r="P26" i="10"/>
  <c r="P28" i="10"/>
  <c r="P30" i="10"/>
  <c r="P32" i="10"/>
  <c r="L35" i="10"/>
  <c r="N35" i="10"/>
  <c r="P35" i="10"/>
  <c r="P38" i="10"/>
  <c r="L41" i="10"/>
  <c r="N41" i="10"/>
  <c r="P41" i="10"/>
  <c r="H10" i="4"/>
  <c r="M10" i="4"/>
  <c r="N10" i="4"/>
  <c r="J13" i="4"/>
  <c r="M16" i="4"/>
  <c r="I16" i="4" s="1"/>
  <c r="J16" i="4" s="1"/>
  <c r="N16" i="4"/>
  <c r="M17" i="4"/>
  <c r="I17" i="4" s="1"/>
  <c r="J17" i="4" s="1"/>
  <c r="N17" i="4"/>
  <c r="L18" i="4"/>
  <c r="M18" i="4"/>
  <c r="I18" i="4" s="1"/>
  <c r="J18" i="4" s="1"/>
  <c r="N18" i="4"/>
  <c r="J19" i="4"/>
  <c r="J20" i="4"/>
  <c r="H21" i="4"/>
  <c r="J21" i="4"/>
  <c r="M24" i="4"/>
  <c r="I24" i="4" s="1"/>
  <c r="J24" i="4" s="1"/>
  <c r="N24" i="4"/>
  <c r="H25" i="4"/>
  <c r="J25" i="4"/>
  <c r="H26" i="4"/>
  <c r="J26" i="4"/>
  <c r="H28" i="4"/>
  <c r="H33" i="4"/>
  <c r="M33" i="4"/>
  <c r="I33" i="4" s="1"/>
  <c r="J33" i="4" s="1"/>
  <c r="N33" i="4"/>
  <c r="J34" i="4"/>
  <c r="H35" i="4"/>
  <c r="M35" i="4"/>
  <c r="I35" i="4" s="1"/>
  <c r="J35" i="4" s="1"/>
  <c r="N35" i="4"/>
  <c r="H36" i="4"/>
  <c r="J36" i="4"/>
  <c r="H39" i="4"/>
  <c r="L39" i="4"/>
  <c r="M39" i="4"/>
  <c r="I39" i="4" s="1"/>
  <c r="J39" i="4" s="1"/>
  <c r="N39" i="4"/>
  <c r="H45" i="4"/>
  <c r="J45" i="4"/>
  <c r="H50" i="4"/>
  <c r="H51" i="4"/>
  <c r="J51" i="4"/>
  <c r="H53" i="4"/>
  <c r="I53" i="4"/>
  <c r="J53" i="4"/>
  <c r="N57" i="4"/>
  <c r="P57" i="4"/>
  <c r="I66" i="4"/>
  <c r="I78" i="4"/>
  <c r="I80" i="4"/>
  <c r="I83" i="4"/>
  <c r="M10" i="5"/>
  <c r="P10" i="5"/>
  <c r="I10" i="5" s="1"/>
  <c r="J10" i="5" s="1"/>
  <c r="P12" i="5"/>
  <c r="I12" i="5" s="1"/>
  <c r="J12" i="5" s="1"/>
  <c r="J13" i="5"/>
  <c r="O16" i="5"/>
  <c r="P16" i="5"/>
  <c r="I16" i="5" s="1"/>
  <c r="J16" i="5" s="1"/>
  <c r="P17" i="5"/>
  <c r="I17" i="5" s="1"/>
  <c r="J17" i="5" s="1"/>
  <c r="O18" i="5"/>
  <c r="P18" i="5"/>
  <c r="I18" i="5" s="1"/>
  <c r="J18" i="5" s="1"/>
  <c r="I19" i="5"/>
  <c r="J19" i="5"/>
  <c r="I20" i="5"/>
  <c r="J20" i="5"/>
  <c r="H21" i="5"/>
  <c r="J21" i="5"/>
  <c r="N24" i="5"/>
  <c r="P24" i="5"/>
  <c r="I24" i="5" s="1"/>
  <c r="J24" i="5" s="1"/>
  <c r="J25" i="5"/>
  <c r="P25" i="5"/>
  <c r="I25" i="5" s="1"/>
  <c r="H26" i="5"/>
  <c r="J26" i="5"/>
  <c r="H28" i="5"/>
  <c r="I28" i="5"/>
  <c r="J28" i="5"/>
  <c r="M33" i="5"/>
  <c r="O33" i="5"/>
  <c r="P33" i="5"/>
  <c r="I33" i="5" s="1"/>
  <c r="J33" i="5" s="1"/>
  <c r="P34" i="5"/>
  <c r="I34" i="5" s="1"/>
  <c r="J34" i="5" s="1"/>
  <c r="H36" i="5"/>
  <c r="M39" i="5"/>
  <c r="M35" i="5" s="1"/>
  <c r="P35" i="5" s="1"/>
  <c r="I35" i="5" s="1"/>
  <c r="J35" i="5" s="1"/>
  <c r="J36" i="5" s="1"/>
  <c r="P39" i="5"/>
  <c r="I39" i="5" s="1"/>
  <c r="J39" i="5" s="1"/>
  <c r="O40" i="5"/>
  <c r="P40" i="5"/>
  <c r="I40" i="5" s="1"/>
  <c r="J40" i="5" s="1"/>
  <c r="H46" i="5"/>
  <c r="J46" i="5"/>
  <c r="H52" i="5"/>
  <c r="J52" i="5"/>
  <c r="H54" i="5"/>
  <c r="I54" i="5"/>
  <c r="J54" i="5"/>
  <c r="O58" i="5"/>
  <c r="O60" i="5"/>
  <c r="J70" i="5"/>
  <c r="J72" i="5"/>
  <c r="J74" i="5"/>
  <c r="M10" i="6"/>
  <c r="S10" i="6"/>
  <c r="I10" i="6" s="1"/>
  <c r="J10" i="6" s="1"/>
  <c r="M12" i="6"/>
  <c r="S12" i="6"/>
  <c r="I12" i="6" s="1"/>
  <c r="J12" i="6" s="1"/>
  <c r="J13" i="6"/>
  <c r="P16" i="6"/>
  <c r="Q16" i="6"/>
  <c r="R16" i="6"/>
  <c r="S16" i="6"/>
  <c r="I16" i="6" s="1"/>
  <c r="J16" i="6" s="1"/>
  <c r="S17" i="6"/>
  <c r="I17" i="6" s="1"/>
  <c r="J17" i="6" s="1"/>
  <c r="S18" i="6"/>
  <c r="I18" i="6" s="1"/>
  <c r="J18" i="6" s="1"/>
  <c r="I19" i="6"/>
  <c r="J19" i="6"/>
  <c r="O20" i="6"/>
  <c r="I20" i="6" s="1"/>
  <c r="J20" i="6" s="1"/>
  <c r="J21" i="6"/>
  <c r="N24" i="6"/>
  <c r="S24" i="6"/>
  <c r="I24" i="6" s="1"/>
  <c r="J24" i="6" s="1"/>
  <c r="J25" i="6"/>
  <c r="S25" i="6"/>
  <c r="I25" i="6" s="1"/>
  <c r="J26" i="6"/>
  <c r="H28" i="6"/>
  <c r="I28" i="6"/>
  <c r="J28" i="6"/>
  <c r="M28" i="6"/>
  <c r="N28" i="6"/>
  <c r="O28" i="6"/>
  <c r="P28" i="6"/>
  <c r="Q28" i="6"/>
  <c r="R28" i="6"/>
  <c r="S28" i="6"/>
  <c r="O33" i="6"/>
  <c r="S33" i="6"/>
  <c r="I33" i="6" s="1"/>
  <c r="J33" i="6" s="1"/>
  <c r="S34" i="6"/>
  <c r="I34" i="6" s="1"/>
  <c r="J34" i="6" s="1"/>
  <c r="N35" i="6"/>
  <c r="H36" i="6"/>
  <c r="M39" i="6"/>
  <c r="M35" i="6" s="1"/>
  <c r="S35" i="6" s="1"/>
  <c r="I35" i="6" s="1"/>
  <c r="J35" i="6" s="1"/>
  <c r="J36" i="6" s="1"/>
  <c r="S39" i="6"/>
  <c r="I39" i="6" s="1"/>
  <c r="J39" i="6" s="1"/>
  <c r="R40" i="6"/>
  <c r="S40" i="6"/>
  <c r="I40" i="6" s="1"/>
  <c r="J40" i="6" s="1"/>
  <c r="H46" i="6"/>
  <c r="J46" i="6"/>
  <c r="H52" i="6"/>
  <c r="J52" i="6"/>
  <c r="H54" i="6"/>
  <c r="I54" i="6"/>
  <c r="J54" i="6"/>
  <c r="M54" i="6"/>
  <c r="N54" i="6"/>
  <c r="O54" i="6"/>
  <c r="P54" i="6"/>
  <c r="Q54" i="6"/>
  <c r="R54" i="6"/>
  <c r="S54" i="6"/>
  <c r="J56" i="6"/>
  <c r="R56" i="6"/>
  <c r="R58" i="6"/>
  <c r="R60" i="6"/>
  <c r="H70" i="6"/>
  <c r="H72" i="6"/>
  <c r="H74" i="6"/>
  <c r="R17" i="12"/>
  <c r="R18" i="12"/>
  <c r="I19" i="12"/>
  <c r="K19" i="12"/>
  <c r="M19" i="12"/>
  <c r="O19" i="12"/>
  <c r="R19" i="12"/>
  <c r="R24" i="12"/>
  <c r="I25" i="12"/>
  <c r="K25" i="12"/>
  <c r="M25" i="12"/>
  <c r="O25" i="12"/>
  <c r="R25" i="12"/>
  <c r="R30" i="12"/>
  <c r="R31" i="12"/>
  <c r="R32" i="12"/>
  <c r="R33" i="12"/>
  <c r="R34" i="12"/>
  <c r="I35" i="12"/>
  <c r="K35" i="12"/>
  <c r="M35" i="12"/>
  <c r="O35" i="12"/>
  <c r="R35" i="12"/>
  <c r="R40" i="12"/>
  <c r="R41" i="12"/>
  <c r="I42" i="12"/>
  <c r="K42" i="12"/>
  <c r="M42" i="12"/>
  <c r="O42" i="12"/>
  <c r="R42" i="12"/>
  <c r="I46" i="12"/>
  <c r="K46" i="12"/>
  <c r="M46" i="12"/>
  <c r="O46" i="12"/>
  <c r="R46" i="12"/>
  <c r="R69" i="12"/>
  <c r="I70" i="12"/>
  <c r="K70" i="12"/>
  <c r="M70" i="12"/>
  <c r="O70" i="12"/>
  <c r="R70" i="12"/>
  <c r="R75" i="12"/>
  <c r="R76" i="12"/>
  <c r="I77" i="12"/>
  <c r="K77" i="12"/>
  <c r="M77" i="12"/>
  <c r="O77" i="12"/>
  <c r="R77" i="12"/>
  <c r="R82" i="12"/>
  <c r="R83" i="12"/>
  <c r="R84" i="12"/>
  <c r="I85" i="12"/>
  <c r="K85" i="12"/>
  <c r="M85" i="12"/>
  <c r="O85" i="12"/>
  <c r="R85" i="12"/>
  <c r="I89" i="12"/>
  <c r="K89" i="12"/>
  <c r="M89" i="12"/>
  <c r="O89" i="12"/>
  <c r="R89" i="12"/>
  <c r="H18" i="23"/>
  <c r="L18" i="23"/>
  <c r="H41" i="23"/>
  <c r="L41" i="23"/>
  <c r="M15" i="24"/>
  <c r="Q15" i="24"/>
  <c r="M16" i="24"/>
  <c r="Q16" i="24"/>
  <c r="M17" i="24"/>
  <c r="Q17" i="24"/>
  <c r="M18" i="24"/>
  <c r="Q18" i="24"/>
  <c r="K19" i="24"/>
  <c r="M19" i="24"/>
  <c r="O19" i="24"/>
  <c r="Q19" i="24"/>
  <c r="P17" i="25"/>
  <c r="U17" i="25"/>
  <c r="P18" i="25"/>
  <c r="U18" i="25"/>
  <c r="P19" i="25"/>
  <c r="U19" i="25"/>
  <c r="N20" i="25"/>
  <c r="P20" i="25"/>
  <c r="S20" i="25"/>
  <c r="U20" i="25"/>
  <c r="P26" i="25"/>
  <c r="U26" i="25"/>
  <c r="N27" i="25"/>
  <c r="P27" i="25"/>
  <c r="S27" i="25"/>
  <c r="U27" i="25"/>
  <c r="N29" i="25"/>
  <c r="P29" i="25"/>
  <c r="S29" i="25"/>
  <c r="U29" i="25"/>
  <c r="A38" i="25"/>
  <c r="P50" i="25"/>
  <c r="U50" i="25"/>
  <c r="P51" i="25"/>
  <c r="U51" i="25"/>
  <c r="P52" i="25"/>
  <c r="U52" i="25"/>
  <c r="P53" i="25"/>
  <c r="U53" i="25"/>
  <c r="N54" i="25"/>
  <c r="P54" i="25"/>
  <c r="S54" i="25"/>
  <c r="U54" i="25"/>
  <c r="P60" i="25"/>
  <c r="U60" i="25"/>
  <c r="P61" i="25"/>
  <c r="U61" i="25"/>
  <c r="N62" i="25"/>
  <c r="P62" i="25"/>
  <c r="S62" i="25"/>
  <c r="U62" i="25"/>
  <c r="A74" i="25"/>
  <c r="P86" i="25"/>
  <c r="U86" i="25"/>
  <c r="P87" i="25"/>
  <c r="U87" i="25"/>
  <c r="N88" i="25"/>
  <c r="P88" i="25"/>
  <c r="S88" i="25"/>
  <c r="P94" i="25"/>
  <c r="U94" i="25"/>
  <c r="N95" i="25"/>
  <c r="P95" i="25"/>
  <c r="S95" i="25"/>
  <c r="N98" i="25"/>
  <c r="P98" i="25"/>
  <c r="S98" i="25"/>
  <c r="U98" i="25"/>
  <c r="N102" i="25"/>
  <c r="P102" i="25"/>
  <c r="S102" i="25"/>
  <c r="U102" i="25"/>
  <c r="H18" i="26"/>
  <c r="H40" i="26"/>
  <c r="O16" i="27"/>
  <c r="W16" i="27"/>
  <c r="A17" i="27"/>
  <c r="K17" i="27"/>
  <c r="O17" i="27"/>
  <c r="S17" i="27"/>
  <c r="W17" i="27"/>
  <c r="A18" i="27"/>
  <c r="K18" i="27"/>
  <c r="O18" i="27"/>
  <c r="S18" i="27"/>
  <c r="W18" i="27"/>
  <c r="A20" i="27"/>
  <c r="I20" i="27"/>
  <c r="M20" i="27"/>
  <c r="O20" i="27"/>
  <c r="Q20" i="27"/>
  <c r="U20" i="27"/>
  <c r="W20" i="27"/>
  <c r="L20" i="28"/>
  <c r="Q20" i="28"/>
  <c r="H20" i="28" s="1"/>
  <c r="L22" i="28"/>
  <c r="Q22" i="28"/>
  <c r="H22" i="28" s="1"/>
  <c r="Q24" i="28"/>
  <c r="H24" i="28" s="1"/>
  <c r="L26" i="28"/>
  <c r="Q26" i="28"/>
  <c r="H26" i="28" s="1"/>
  <c r="Q28" i="28"/>
  <c r="H28" i="28" s="1"/>
  <c r="H30" i="28"/>
  <c r="L30" i="28"/>
  <c r="H34" i="28"/>
  <c r="L34" i="28"/>
  <c r="U16" i="29"/>
  <c r="Y16" i="29"/>
  <c r="AC16" i="29"/>
  <c r="AB16" i="29" s="1"/>
  <c r="AF16" i="29"/>
  <c r="M16" i="29" s="1"/>
  <c r="M17" i="29"/>
  <c r="U17" i="29"/>
  <c r="Y17" i="29"/>
  <c r="AC17" i="29"/>
  <c r="AB17" i="29" s="1"/>
  <c r="AF17" i="29"/>
  <c r="M18" i="29"/>
  <c r="U18" i="29"/>
  <c r="Y18" i="29"/>
  <c r="AC18" i="29"/>
  <c r="AB18" i="29" s="1"/>
  <c r="AF18" i="29"/>
  <c r="M19" i="29"/>
  <c r="U19" i="29"/>
  <c r="Y19" i="29"/>
  <c r="AC19" i="29"/>
  <c r="AB19" i="29" s="1"/>
  <c r="AF19" i="29"/>
  <c r="M20" i="29"/>
  <c r="U20" i="29"/>
  <c r="Y20" i="29"/>
  <c r="AC20" i="29"/>
  <c r="AB20" i="29" s="1"/>
  <c r="AF20" i="29"/>
  <c r="M21" i="29"/>
  <c r="U21" i="29"/>
  <c r="Y21" i="29"/>
  <c r="AC21" i="29"/>
  <c r="AB21" i="29" s="1"/>
  <c r="AF21" i="29"/>
  <c r="M22" i="29"/>
  <c r="U22" i="29"/>
  <c r="Y22" i="29"/>
  <c r="AC22" i="29"/>
  <c r="AB22" i="29" s="1"/>
  <c r="AF22" i="29"/>
  <c r="M23" i="29"/>
  <c r="U23" i="29"/>
  <c r="Y23" i="29"/>
  <c r="AC23" i="29"/>
  <c r="AB23" i="29" s="1"/>
  <c r="AF23" i="29"/>
  <c r="M24" i="29"/>
  <c r="U24" i="29"/>
  <c r="Y24" i="29"/>
  <c r="AC24" i="29"/>
  <c r="AB24" i="29" s="1"/>
  <c r="AF24" i="29"/>
  <c r="M25" i="29"/>
  <c r="U25" i="29"/>
  <c r="Y25" i="29"/>
  <c r="AC25" i="29"/>
  <c r="AB25" i="29" s="1"/>
  <c r="AF25" i="29"/>
  <c r="M26" i="29"/>
  <c r="U26" i="29"/>
  <c r="Y26" i="29"/>
  <c r="AC26" i="29"/>
  <c r="AB26" i="29" s="1"/>
  <c r="AF26" i="29"/>
  <c r="M27" i="29"/>
  <c r="U27" i="29"/>
  <c r="Y27" i="29"/>
  <c r="AC27" i="29"/>
  <c r="AB27" i="29" s="1"/>
  <c r="AF27" i="29"/>
  <c r="U28" i="29"/>
  <c r="V28" i="29"/>
  <c r="AC28" i="29"/>
  <c r="H29" i="29"/>
  <c r="M29" i="29"/>
  <c r="O29" i="29"/>
  <c r="H30" i="29"/>
  <c r="M30" i="29"/>
  <c r="O30" i="29"/>
  <c r="M15" i="30"/>
  <c r="M16" i="30"/>
  <c r="M17" i="30"/>
  <c r="M19" i="30"/>
  <c r="K32" i="30"/>
  <c r="K16" i="30" s="1"/>
  <c r="M32" i="30"/>
  <c r="K33" i="30"/>
  <c r="K17" i="30" s="1"/>
  <c r="M33" i="30"/>
  <c r="A16" i="32"/>
  <c r="K16" i="32"/>
  <c r="U16" i="32"/>
  <c r="A17" i="32"/>
  <c r="K17" i="32"/>
  <c r="U17" i="32"/>
  <c r="A18" i="32"/>
  <c r="K18" i="32"/>
  <c r="U18" i="32"/>
  <c r="A19" i="32"/>
  <c r="K19" i="32"/>
  <c r="U19" i="32"/>
  <c r="A20" i="32"/>
  <c r="K20" i="32"/>
  <c r="U20" i="32"/>
  <c r="A21" i="32"/>
  <c r="K21" i="32"/>
  <c r="U21" i="32"/>
  <c r="A22" i="32"/>
  <c r="K22" i="32"/>
  <c r="U22" i="32"/>
  <c r="A23" i="32"/>
  <c r="K23" i="32"/>
  <c r="U23" i="32"/>
  <c r="A24" i="32"/>
  <c r="K24" i="32"/>
  <c r="U24" i="32"/>
  <c r="A25" i="32"/>
  <c r="K25" i="32"/>
  <c r="U25" i="32"/>
  <c r="A26" i="32"/>
  <c r="K26" i="32"/>
  <c r="U26" i="32"/>
  <c r="A27" i="32"/>
  <c r="K27" i="32"/>
  <c r="U27" i="32"/>
  <c r="A29" i="32"/>
  <c r="I29" i="32"/>
  <c r="K29" i="32"/>
  <c r="S29" i="32"/>
  <c r="U29" i="32"/>
  <c r="A31" i="32"/>
  <c r="I31" i="32"/>
  <c r="K31" i="32"/>
  <c r="S31" i="32"/>
  <c r="U31" i="32"/>
  <c r="N15" i="42"/>
  <c r="N17" i="42"/>
  <c r="AB17" i="42"/>
  <c r="N18" i="42"/>
  <c r="AB18" i="42"/>
  <c r="N19" i="42"/>
  <c r="AB19" i="42"/>
  <c r="N20" i="42"/>
  <c r="AB20" i="42"/>
  <c r="L21" i="42"/>
  <c r="N21" i="42"/>
  <c r="Z21" i="42"/>
  <c r="AB21" i="42"/>
  <c r="L25" i="42"/>
  <c r="N25" i="42"/>
  <c r="Z25" i="42"/>
  <c r="AB25" i="42"/>
  <c r="O17" i="14"/>
  <c r="O18" i="14"/>
  <c r="O19" i="14"/>
  <c r="O20" i="14"/>
  <c r="O21" i="14"/>
  <c r="O22" i="14"/>
  <c r="K23" i="14"/>
  <c r="M23" i="14"/>
  <c r="O23" i="14"/>
  <c r="K24" i="14"/>
  <c r="M24" i="14"/>
  <c r="O24" i="14"/>
  <c r="O29" i="14"/>
  <c r="O34" i="14"/>
  <c r="O35" i="14"/>
  <c r="O36" i="14"/>
  <c r="K37" i="14"/>
  <c r="M37" i="14"/>
  <c r="O37" i="14"/>
  <c r="K41" i="14"/>
  <c r="M41" i="14"/>
  <c r="O41" i="14"/>
  <c r="K16" i="43"/>
  <c r="X16" i="43"/>
  <c r="M16" i="44"/>
  <c r="K18" i="44"/>
  <c r="M18" i="44"/>
  <c r="O18" i="44"/>
  <c r="N15" i="48"/>
  <c r="V15" i="48"/>
  <c r="A16" i="48"/>
  <c r="N16" i="48"/>
  <c r="V16" i="48"/>
  <c r="A17" i="48"/>
  <c r="N17" i="48"/>
  <c r="V17" i="48"/>
  <c r="A18" i="48"/>
  <c r="N18" i="48"/>
  <c r="V18" i="48"/>
  <c r="A19" i="48"/>
  <c r="N19" i="48"/>
  <c r="V19" i="48"/>
  <c r="A20" i="48"/>
  <c r="N20" i="48"/>
  <c r="V20" i="48"/>
  <c r="A21" i="48"/>
  <c r="N21" i="48"/>
  <c r="V21" i="48"/>
  <c r="A22" i="48"/>
  <c r="N22" i="48"/>
  <c r="V22" i="48"/>
  <c r="V23" i="48"/>
  <c r="V24" i="48"/>
  <c r="N25" i="48"/>
  <c r="V25" i="48"/>
  <c r="A26" i="48"/>
  <c r="N26" i="48"/>
  <c r="V26" i="48"/>
  <c r="A27" i="48"/>
  <c r="N27" i="48"/>
  <c r="V27" i="48"/>
  <c r="N28" i="48"/>
  <c r="V28" i="48"/>
  <c r="V29" i="48"/>
  <c r="V30" i="48"/>
  <c r="A31" i="48"/>
  <c r="N31" i="48"/>
  <c r="V31" i="48"/>
  <c r="A32" i="48"/>
  <c r="N32" i="48"/>
  <c r="V32" i="48"/>
  <c r="N33" i="48"/>
  <c r="V33" i="48"/>
  <c r="V34" i="48"/>
  <c r="V35" i="48"/>
  <c r="A36" i="48"/>
  <c r="N36" i="48"/>
  <c r="V36" i="48"/>
  <c r="A37" i="48"/>
  <c r="N37" i="48"/>
  <c r="V37" i="48"/>
  <c r="N40" i="48"/>
  <c r="V40" i="48"/>
  <c r="A41" i="48"/>
  <c r="N41" i="48"/>
  <c r="V41" i="48"/>
  <c r="A44" i="48"/>
  <c r="N44" i="48"/>
  <c r="V44" i="48"/>
  <c r="A47" i="48"/>
  <c r="N47" i="48"/>
  <c r="V47" i="48"/>
  <c r="M15" i="49"/>
  <c r="Q15" i="49"/>
  <c r="K16" i="49"/>
  <c r="M16" i="49"/>
  <c r="O16" i="49"/>
  <c r="Q16" i="49"/>
  <c r="K17" i="49"/>
  <c r="M17" i="49"/>
  <c r="O17" i="49"/>
  <c r="Q17" i="49"/>
  <c r="M18" i="49"/>
  <c r="Q18" i="49"/>
  <c r="M19" i="49"/>
  <c r="Q19" i="49"/>
  <c r="Q20" i="49"/>
  <c r="M21" i="49"/>
  <c r="Q21" i="49"/>
  <c r="K23" i="49"/>
  <c r="M23" i="49"/>
  <c r="O23" i="49"/>
  <c r="Q23" i="49"/>
  <c r="K26" i="49"/>
  <c r="M26" i="49"/>
  <c r="O26" i="49"/>
  <c r="Q26" i="49"/>
  <c r="M27" i="49"/>
  <c r="Q27" i="49"/>
  <c r="M28" i="49"/>
  <c r="Q28" i="49"/>
  <c r="M29" i="49"/>
  <c r="Q29" i="49"/>
  <c r="M30" i="49"/>
  <c r="Q30" i="49"/>
  <c r="M31" i="49"/>
  <c r="Q31" i="49"/>
  <c r="K32" i="49"/>
  <c r="M32" i="49"/>
  <c r="O32" i="49"/>
  <c r="Q32" i="49"/>
  <c r="K34" i="49"/>
  <c r="M34" i="49"/>
  <c r="O34" i="49"/>
  <c r="Q34" i="49"/>
  <c r="K36" i="49"/>
  <c r="M36" i="49"/>
  <c r="O36" i="49"/>
  <c r="Q36" i="49"/>
  <c r="K38" i="49"/>
  <c r="M38" i="49"/>
  <c r="O38" i="49"/>
  <c r="Q38" i="49"/>
  <c r="K39" i="49"/>
  <c r="M39" i="49"/>
  <c r="O39" i="49"/>
  <c r="Q39" i="49"/>
  <c r="M42" i="49"/>
  <c r="Q42" i="49"/>
  <c r="M43" i="49"/>
  <c r="Q43" i="49"/>
  <c r="M44" i="49"/>
  <c r="Q44" i="49"/>
  <c r="M45" i="49"/>
  <c r="Q45" i="49"/>
  <c r="M46" i="49"/>
  <c r="Q46" i="49"/>
  <c r="M48" i="49"/>
  <c r="Q48" i="49"/>
  <c r="M49" i="49"/>
  <c r="Q49" i="49"/>
  <c r="K51" i="49"/>
  <c r="M51" i="49"/>
  <c r="O51" i="49"/>
  <c r="Q51" i="49"/>
  <c r="K53" i="49"/>
  <c r="M53" i="49"/>
  <c r="O53" i="49"/>
  <c r="Q53" i="49"/>
  <c r="K55" i="49"/>
  <c r="M55" i="49"/>
  <c r="O55" i="49"/>
  <c r="Q55" i="49"/>
  <c r="M57" i="49"/>
  <c r="Q57" i="49"/>
  <c r="K59" i="49"/>
  <c r="M59" i="49"/>
  <c r="O59" i="49"/>
  <c r="Q59" i="49"/>
  <c r="M18" i="15"/>
  <c r="M20" i="15"/>
  <c r="M21" i="15"/>
  <c r="I23" i="15"/>
  <c r="K18" i="15" s="1"/>
  <c r="K23" i="15"/>
  <c r="M23" i="15"/>
  <c r="M29" i="15"/>
  <c r="I31" i="15"/>
  <c r="K31" i="15"/>
  <c r="M31" i="15"/>
  <c r="M32" i="15"/>
  <c r="I34" i="15"/>
  <c r="K34" i="15"/>
  <c r="M34" i="15"/>
  <c r="W15" i="16"/>
  <c r="W16" i="16"/>
  <c r="W17" i="16"/>
  <c r="W19" i="16"/>
  <c r="Q29" i="16"/>
  <c r="W29" i="16"/>
  <c r="K30" i="16"/>
  <c r="Q30" i="16"/>
  <c r="U30" i="16"/>
  <c r="U16" i="16" s="1"/>
  <c r="W30" i="16"/>
  <c r="K31" i="16"/>
  <c r="K17" i="16" s="1"/>
  <c r="Q31" i="16"/>
  <c r="U31" i="16"/>
  <c r="U17" i="16" s="1"/>
  <c r="W31" i="16"/>
  <c r="V15" i="17"/>
  <c r="V16" i="17"/>
  <c r="V17" i="17"/>
  <c r="Q29" i="17"/>
  <c r="V29" i="17"/>
  <c r="K30" i="17"/>
  <c r="Q30" i="17"/>
  <c r="U30" i="17"/>
  <c r="V30" i="17"/>
  <c r="K31" i="17"/>
  <c r="K17" i="17" s="1"/>
  <c r="Q31" i="17"/>
  <c r="U31" i="17"/>
  <c r="U17" i="17" s="1"/>
  <c r="V31" i="17"/>
  <c r="N15" i="18"/>
  <c r="J19" i="18"/>
  <c r="L19" i="18"/>
  <c r="N19" i="18"/>
  <c r="N16" i="20"/>
  <c r="P16" i="20"/>
  <c r="V16" i="20"/>
  <c r="J18" i="20"/>
  <c r="L18" i="20"/>
  <c r="N18" i="20"/>
  <c r="P18" i="20"/>
  <c r="R18" i="20"/>
  <c r="T18" i="20"/>
  <c r="V18" i="20"/>
  <c r="M15" i="21"/>
  <c r="M16" i="21"/>
  <c r="M17" i="21"/>
  <c r="M18" i="21"/>
  <c r="K19" i="21"/>
  <c r="M19" i="21"/>
  <c r="P19" i="21"/>
  <c r="N21" i="21"/>
  <c r="P17" i="22"/>
  <c r="T17" i="22"/>
  <c r="P18" i="22"/>
  <c r="T18" i="22"/>
  <c r="P19" i="22"/>
  <c r="T19" i="22"/>
  <c r="N20" i="22"/>
  <c r="P20" i="22"/>
  <c r="R20" i="22"/>
  <c r="T20" i="22"/>
  <c r="P26" i="22"/>
  <c r="T26" i="22"/>
  <c r="N27" i="22"/>
  <c r="P27" i="22"/>
  <c r="R27" i="22"/>
  <c r="T27" i="22"/>
  <c r="N29" i="22"/>
  <c r="P29" i="22"/>
  <c r="R29" i="22"/>
  <c r="T29" i="22"/>
  <c r="A39" i="22"/>
  <c r="P52" i="22"/>
  <c r="T52" i="22"/>
  <c r="A53" i="22"/>
  <c r="P53" i="22"/>
  <c r="T53" i="22"/>
  <c r="T54" i="22"/>
  <c r="P55" i="22"/>
  <c r="T55" i="22"/>
  <c r="N56" i="22"/>
  <c r="P56" i="22"/>
  <c r="R56" i="22"/>
  <c r="T56" i="22"/>
  <c r="P62" i="22"/>
  <c r="T62" i="22"/>
  <c r="P63" i="22"/>
  <c r="T63" i="22"/>
  <c r="P64" i="22"/>
  <c r="T64" i="22"/>
  <c r="N65" i="22"/>
  <c r="P65" i="22"/>
  <c r="R65" i="22"/>
  <c r="T65" i="22"/>
  <c r="A78" i="22"/>
  <c r="P91" i="22"/>
  <c r="T91" i="22"/>
  <c r="P92" i="22"/>
  <c r="T92" i="22"/>
  <c r="P93" i="22"/>
  <c r="T93" i="22"/>
  <c r="P94" i="22"/>
  <c r="T94" i="22"/>
  <c r="A95" i="22"/>
  <c r="P95" i="22"/>
  <c r="T95" i="22"/>
  <c r="A96" i="22"/>
  <c r="P96" i="22"/>
  <c r="T96" i="22"/>
  <c r="A97" i="22"/>
  <c r="P97" i="22"/>
  <c r="T97" i="22"/>
  <c r="A98" i="22"/>
  <c r="P98" i="22"/>
  <c r="T98" i="22"/>
  <c r="A99" i="22"/>
  <c r="N99" i="22"/>
  <c r="P99" i="22"/>
  <c r="R99" i="22"/>
  <c r="T99" i="22"/>
  <c r="P105" i="22"/>
  <c r="T105" i="22"/>
  <c r="N106" i="22"/>
  <c r="P106" i="22"/>
  <c r="R106" i="22"/>
  <c r="T106" i="22"/>
  <c r="N108" i="22"/>
  <c r="P108" i="22"/>
  <c r="R108" i="22"/>
  <c r="T108" i="22"/>
  <c r="N112" i="22"/>
  <c r="P112" i="22"/>
  <c r="R112" i="22"/>
  <c r="T112" i="22"/>
  <c r="U16" i="17" l="1"/>
  <c r="U19" i="17" s="1"/>
  <c r="Y20" i="17"/>
  <c r="K16" i="17"/>
  <c r="K19" i="17" s="1"/>
  <c r="X20" i="17"/>
  <c r="U19" i="16"/>
  <c r="K16" i="16"/>
  <c r="K19" i="16" s="1"/>
  <c r="Y20" i="16"/>
  <c r="K19" i="30"/>
  <c r="F27" i="29"/>
  <c r="F26" i="29"/>
  <c r="F25" i="29"/>
  <c r="F24" i="29"/>
  <c r="F23" i="29"/>
  <c r="F22" i="29"/>
  <c r="F21" i="29"/>
  <c r="F20" i="29"/>
  <c r="F19" i="29"/>
  <c r="F18" i="29"/>
  <c r="F17" i="29"/>
  <c r="F16" i="29"/>
  <c r="F29" i="29" s="1"/>
  <c r="F30" i="29" s="1"/>
  <c r="I12" i="4"/>
  <c r="J12" i="4" s="1"/>
  <c r="I10" i="4"/>
  <c r="V16" i="55"/>
  <c r="V26" i="55" s="1"/>
  <c r="L24" i="53"/>
  <c r="Z24" i="53"/>
  <c r="N57" i="52"/>
  <c r="R57" i="52"/>
  <c r="N56" i="52"/>
  <c r="R56" i="52"/>
  <c r="N55" i="52"/>
  <c r="R55" i="52"/>
  <c r="N24" i="52"/>
  <c r="R24" i="52"/>
  <c r="J31" i="52"/>
  <c r="J33" i="52" s="1"/>
  <c r="J63" i="52" s="1"/>
  <c r="N54" i="52"/>
  <c r="R54" i="52"/>
  <c r="R58" i="52" s="1"/>
  <c r="N49" i="52"/>
  <c r="R49" i="52"/>
  <c r="N45" i="52"/>
  <c r="R45" i="52"/>
  <c r="N44" i="52"/>
  <c r="R44" i="52"/>
  <c r="N43" i="52"/>
  <c r="R43" i="52"/>
  <c r="R46" i="52" s="1"/>
  <c r="N38" i="52"/>
  <c r="R38" i="52"/>
  <c r="R39" i="52" s="1"/>
  <c r="R60" i="52" s="1"/>
  <c r="N30" i="52"/>
  <c r="R30" i="52"/>
  <c r="N25" i="52"/>
  <c r="R25" i="52"/>
  <c r="N23" i="52"/>
  <c r="R23" i="52"/>
  <c r="R31" i="52" s="1"/>
  <c r="N18" i="52"/>
  <c r="R18" i="52"/>
  <c r="N17" i="52"/>
  <c r="R17" i="52"/>
  <c r="N16" i="52"/>
  <c r="R16" i="52"/>
  <c r="N15" i="52"/>
  <c r="R15" i="52"/>
  <c r="R19" i="52" s="1"/>
  <c r="H33" i="7"/>
  <c r="N33" i="7"/>
  <c r="H28" i="7"/>
  <c r="N28" i="7"/>
  <c r="P28" i="7" l="1"/>
  <c r="N30" i="7"/>
  <c r="J28" i="7"/>
  <c r="H30" i="7"/>
  <c r="P33" i="7"/>
  <c r="N37" i="7"/>
  <c r="J33" i="7"/>
  <c r="H37" i="7"/>
  <c r="J37" i="7" s="1"/>
  <c r="T15" i="52"/>
  <c r="AD15" i="52"/>
  <c r="N19" i="52"/>
  <c r="T16" i="52"/>
  <c r="AD16" i="52"/>
  <c r="T17" i="52"/>
  <c r="AD17" i="52"/>
  <c r="T18" i="52"/>
  <c r="AD18" i="52"/>
  <c r="R33" i="52"/>
  <c r="T23" i="52"/>
  <c r="AD23" i="52"/>
  <c r="N31" i="52"/>
  <c r="T25" i="52"/>
  <c r="AD25" i="52"/>
  <c r="T30" i="52"/>
  <c r="AD30" i="52"/>
  <c r="R63" i="52"/>
  <c r="T38" i="52"/>
  <c r="T39" i="52" s="1"/>
  <c r="AD38" i="52"/>
  <c r="N39" i="52"/>
  <c r="T43" i="52"/>
  <c r="AD43" i="52"/>
  <c r="N46" i="52"/>
  <c r="T44" i="52"/>
  <c r="AD44" i="52"/>
  <c r="T45" i="52"/>
  <c r="AD45" i="52"/>
  <c r="T49" i="52"/>
  <c r="AD49" i="52"/>
  <c r="T54" i="52"/>
  <c r="AD54" i="52"/>
  <c r="N58" i="52"/>
  <c r="T24" i="52"/>
  <c r="AD24" i="52"/>
  <c r="T55" i="52"/>
  <c r="AD55" i="52"/>
  <c r="T56" i="52"/>
  <c r="AD56" i="52"/>
  <c r="T57" i="52"/>
  <c r="AD57" i="52"/>
  <c r="R24" i="53"/>
  <c r="AB24" i="53"/>
  <c r="Z29" i="53"/>
  <c r="Z31" i="53" s="1"/>
  <c r="Z66" i="53" s="1"/>
  <c r="N24" i="53"/>
  <c r="T24" i="53" s="1"/>
  <c r="L29" i="53"/>
  <c r="L31" i="53" s="1"/>
  <c r="L66" i="53" s="1"/>
  <c r="J10" i="4"/>
  <c r="J28" i="4" s="1"/>
  <c r="I28" i="4"/>
  <c r="AH57" i="52" l="1"/>
  <c r="AN57" i="52" s="1"/>
  <c r="AL57" i="52"/>
  <c r="AH56" i="52"/>
  <c r="AN56" i="52" s="1"/>
  <c r="AL56" i="52"/>
  <c r="AH55" i="52"/>
  <c r="AN55" i="52" s="1"/>
  <c r="AL55" i="52"/>
  <c r="AH24" i="52"/>
  <c r="AN24" i="52" s="1"/>
  <c r="AL24" i="52"/>
  <c r="AH54" i="52"/>
  <c r="AL54" i="52"/>
  <c r="AL58" i="52" s="1"/>
  <c r="AD58" i="52"/>
  <c r="T58" i="52"/>
  <c r="AH49" i="52"/>
  <c r="AN49" i="52" s="1"/>
  <c r="AL49" i="52"/>
  <c r="AH45" i="52"/>
  <c r="AN45" i="52" s="1"/>
  <c r="AL45" i="52"/>
  <c r="AH44" i="52"/>
  <c r="AN44" i="52" s="1"/>
  <c r="AL44" i="52"/>
  <c r="AH43" i="52"/>
  <c r="AL43" i="52"/>
  <c r="AL46" i="52" s="1"/>
  <c r="AD46" i="52"/>
  <c r="T46" i="52"/>
  <c r="N60" i="52"/>
  <c r="AH38" i="52"/>
  <c r="AL38" i="52"/>
  <c r="AL39" i="52" s="1"/>
  <c r="AL60" i="52" s="1"/>
  <c r="AD39" i="52"/>
  <c r="AD60" i="52" s="1"/>
  <c r="T60" i="52"/>
  <c r="AH30" i="52"/>
  <c r="AN30" i="52" s="1"/>
  <c r="AL30" i="52"/>
  <c r="AH25" i="52"/>
  <c r="AN25" i="52" s="1"/>
  <c r="AL25" i="52"/>
  <c r="AH23" i="52"/>
  <c r="AL23" i="52"/>
  <c r="AL31" i="52" s="1"/>
  <c r="AD31" i="52"/>
  <c r="T31" i="52"/>
  <c r="AH18" i="52"/>
  <c r="AN18" i="52" s="1"/>
  <c r="AL18" i="52"/>
  <c r="AH17" i="52"/>
  <c r="AN17" i="52" s="1"/>
  <c r="AL17" i="52"/>
  <c r="AH16" i="52"/>
  <c r="AN16" i="52" s="1"/>
  <c r="AL16" i="52"/>
  <c r="N33" i="52"/>
  <c r="AH15" i="52"/>
  <c r="AL15" i="52"/>
  <c r="AL19" i="52" s="1"/>
  <c r="AD19" i="52"/>
  <c r="AD33" i="52" s="1"/>
  <c r="T19" i="52"/>
  <c r="R33" i="7"/>
  <c r="P37" i="7"/>
  <c r="R37" i="7" s="1"/>
  <c r="J30" i="7"/>
  <c r="H39" i="7"/>
  <c r="J39" i="7" s="1"/>
  <c r="N39" i="7"/>
  <c r="P39" i="7" s="1"/>
  <c r="R39" i="7" s="1"/>
  <c r="R28" i="7"/>
  <c r="P30" i="7"/>
  <c r="R30" i="7" s="1"/>
  <c r="AN15" i="52" l="1"/>
  <c r="AN19" i="52" s="1"/>
  <c r="AH19" i="52"/>
  <c r="T33" i="52"/>
  <c r="AL33" i="52"/>
  <c r="AN23" i="52"/>
  <c r="AN31" i="52" s="1"/>
  <c r="AN33" i="52" s="1"/>
  <c r="AH31" i="52"/>
  <c r="T63" i="52"/>
  <c r="AD63" i="52"/>
  <c r="AL63" i="52"/>
  <c r="AN38" i="52"/>
  <c r="AN39" i="52" s="1"/>
  <c r="AH39" i="52"/>
  <c r="N63" i="52"/>
  <c r="AN43" i="52"/>
  <c r="AN46" i="52" s="1"/>
  <c r="AH46" i="52"/>
  <c r="AN54" i="52"/>
  <c r="AN58" i="52" s="1"/>
  <c r="AH58" i="52"/>
  <c r="AH60" i="52" l="1"/>
  <c r="AN60" i="52"/>
  <c r="AN63" i="52" s="1"/>
  <c r="AH33" i="52"/>
  <c r="AH63" i="52" l="1"/>
</calcChain>
</file>

<file path=xl/sharedStrings.xml><?xml version="1.0" encoding="utf-8"?>
<sst xmlns="http://schemas.openxmlformats.org/spreadsheetml/2006/main" count="8223" uniqueCount="1329">
  <si>
    <t>These accounts will reflect the sorting of electric plant in service as recorded in the FA system.  We will have a total plant in service amount, which will consist of the respective dollar amounts per FA type.</t>
  </si>
  <si>
    <t>Form 1</t>
  </si>
  <si>
    <t>FERC</t>
  </si>
  <si>
    <t>reporting</t>
  </si>
  <si>
    <t>Codes</t>
  </si>
  <si>
    <t>FERC Account Description</t>
  </si>
  <si>
    <t>12/31/2000</t>
  </si>
  <si>
    <t>Account Description</t>
  </si>
  <si>
    <t>supplement</t>
  </si>
  <si>
    <t>FERC Account Requirements, per CFR 18</t>
  </si>
  <si>
    <t>FERC Record Requirements, per CFR 18</t>
  </si>
  <si>
    <t>Filed</t>
  </si>
  <si>
    <t>Actual</t>
  </si>
  <si>
    <t>Projected</t>
  </si>
  <si>
    <t>Assets and Other Debits</t>
  </si>
  <si>
    <t>1. Utility Plant</t>
  </si>
  <si>
    <t>Electric plant in service</t>
  </si>
  <si>
    <t>This is a summary account that will total all the owned plant in service (from the 300 series of plant accounts).</t>
  </si>
  <si>
    <t>Reflects gross plant in service.</t>
  </si>
  <si>
    <t>To account for all owned Plant in Service (300 series)</t>
  </si>
  <si>
    <t>Detail of this account shall be maintained in the appropriate Utility Plant A/C's 301-399.</t>
  </si>
  <si>
    <t>Property under capital leases</t>
  </si>
  <si>
    <t>TBD</t>
  </si>
  <si>
    <t>This is a summary account that will total all the assets that qualify for capital lease treatment in the 300 series of plant accounts.</t>
  </si>
  <si>
    <t>Pending information from MCI and IBM service agreements.</t>
  </si>
  <si>
    <t>To account for all leased Plant in Service (300 series)</t>
  </si>
  <si>
    <t>Construction work in process - electric</t>
  </si>
  <si>
    <t>Please refer to CWIP memo</t>
  </si>
  <si>
    <t>To account for the total of balances of work orders for electric plant in process of construction.</t>
  </si>
  <si>
    <t>Any expenditures which are identified exclusively with units of property not yet in service shall be included in this account.  Work orders shall be cleared from this account as soon as practicable after completion of a job.  Research, development and dem</t>
  </si>
  <si>
    <t>Records must be maintained to show separately each project along with complete detail of the nature and purpose of the research, development and demonstration project together with the related costs.</t>
  </si>
  <si>
    <t>Accumulated provision for depreciation of electric utility plant</t>
  </si>
  <si>
    <t>This account will be used to account for the total accumulated depreciation on assets owned by the ISO.</t>
  </si>
  <si>
    <t>Reflects accumulated depreciation expenses on hardware, software, furniture and equipment, all charged to A/C 403.</t>
  </si>
  <si>
    <t>To account for amounts charged to A/C 403, Depreciation Expense and other expense accounts which might in the future apply to ISO activity</t>
  </si>
  <si>
    <t>For the purpose of analysis, detailed subsidiary accounts shall be maintained to segregate Acc. Depr. to the following functional classifications for electric plant: (1) Transmission, (2) General.  These subsidiary records shall reflect the current credit</t>
  </si>
  <si>
    <t>Accumulated provision for amortization of electric utility plant (Major only)</t>
  </si>
  <si>
    <t>This account will be used to account for the total accumulated amortization on capitalized assets, start-up costs (A/C 301), software and other intangible assets (A/C 303)</t>
  </si>
  <si>
    <t>Reflects accumulated amortization expenses on LHI and startup costs, all charged to A/C 404.</t>
  </si>
  <si>
    <t>To account for charges to accounts 404 - Amortization of Limited-Term Electric Plant, 421 - Misc. Nonoperating Income, 405 - Amort. of Other Electric Plant, 413 - Exps. of Electric Plant Leased to Others, 425 - Misc. Amortization.</t>
  </si>
  <si>
    <t>For the purposes of analysis, detailed subsidiary accounts shall be maintained to segregate this account according to the following functional classification for electric plant: (1) Transmission, (2) General.  These subsidiary records shall reflect the cu</t>
  </si>
  <si>
    <t>2. Other Property and Investments</t>
  </si>
  <si>
    <t>Other investments</t>
  </si>
  <si>
    <t>It is not anticipated that the ISO will have related activity, thus it is not expected to use this account</t>
  </si>
  <si>
    <t>To account for the book cost of investments in securities issued or assumed by nonassociated companies, investment advances to such companies, and any investment not accounted for elsewhere.</t>
  </si>
  <si>
    <t>Sinking funds (Major only)</t>
  </si>
  <si>
    <t>N/A</t>
  </si>
  <si>
    <t>To account for the amount of cash and book cost of investments held in sinking funds.</t>
  </si>
  <si>
    <t>Depreciation fund (Major only)</t>
  </si>
  <si>
    <t>To account for the amount of cash and the book cost of investments which have been segregated in a special fund for the purpose of identifying such assets with the accumulated provisions for depreciation.</t>
  </si>
  <si>
    <t>Other Special Funds (Major only)</t>
  </si>
  <si>
    <t>To account for reserved cash balances, i.e. future CAPEX, and other reserve balances that JP Morgan has suggested</t>
  </si>
  <si>
    <t>This account will be used to account for that portion of reserved retained earnings is/ has been collected for future CAPEX projects.  Note that this account is applicable for the accumulation of funds that are long-term in nature.  Note1, this balance is</t>
  </si>
  <si>
    <t>To account for the amount of cash and book cost of investments which have been segregated in special funds for insurance, employee pensions, savings, relief, hospital, and other purposes not provided for elsewhere.</t>
  </si>
  <si>
    <t>3. Current and Accrued Assets</t>
  </si>
  <si>
    <t>Cash (Major only)</t>
  </si>
  <si>
    <t>To account for cash balance at YE.</t>
  </si>
  <si>
    <t>To include the amount of current cash funds, except working funds.</t>
  </si>
  <si>
    <t>Other special deposits (Major only)</t>
  </si>
  <si>
    <t>To account for deposits made by SCs for security purposes.</t>
  </si>
  <si>
    <t>This account will be used to account for the accumulation of reserved funds that are short-term in nature.  Note that the balance is off set by Appropriated Retained Earnings (Reserved R/E).</t>
  </si>
  <si>
    <t>To account for those assets deposited with fiscal agents or others for special purposes, other than for the payment of interest or dividends, or for deposits of more that one year, which are not offset by current liabilities.</t>
  </si>
  <si>
    <t>Customer accounts receivable</t>
  </si>
  <si>
    <t>To account for the Grid Management Charge which has been invoiced as of 12/31/98 but not collected as of that date.  It is estimated that 1/12 of the ISO's total revenues will be A/R as of YE (the month of October's GMC).</t>
  </si>
  <si>
    <t>To account for amounts due from customers for utility service, merchandising, job-billing and contract work.</t>
  </si>
  <si>
    <t>The account shall be maintained so as to permit ready segregation do from the respective types of work / services.</t>
  </si>
  <si>
    <t>Accumulated provision for uncollectible accounts-credit</t>
  </si>
  <si>
    <t>To account for the total provision against current A/R balances.  Amount or percent of sales TBD by ISO management.</t>
  </si>
  <si>
    <t>To account for uncollectible accounts.</t>
  </si>
  <si>
    <t>The account shall be subdivided to show the provision applicable to the following classes: utility customers, merchandising, jobbing and contracting work, officers and employees, and others.</t>
  </si>
  <si>
    <t>Prepayments</t>
  </si>
  <si>
    <t>Reflects prepaid maintenance agreements for the BBS, Sched. Application and Infrastructure assets (charged to A/C 901), for the metering system (charged to A/C 902) and for the PMS (charged to A/C 568).</t>
  </si>
  <si>
    <t>To account for all prepayments.  The account shall be maintained so as to disclose the amount of each class of prepayments (insurance, taxes, interest and miscellaneous payments).</t>
  </si>
  <si>
    <t>Interest and dividends receivable (Major only)</t>
  </si>
  <si>
    <t>To account for interest earnings on cash and deposits (see A/C's 128 and 134).</t>
  </si>
  <si>
    <t>To account for the amount in interest on bonds, mortgages, notes, commercial paper, loans, open accounts, deposits, etc..</t>
  </si>
  <si>
    <t>Accrued utility revenues (Major only)</t>
  </si>
  <si>
    <t>To account for unbilled revenues</t>
  </si>
  <si>
    <t>To account for the Grid Management Charge which has not been assessed nor invoiced as of 12/31/98.  It is estimated that 2/12 of the ISO's total revenues will be unbilled as of YE (the months of November and December's GMC).</t>
  </si>
  <si>
    <t>To account for estimated amount accrued for services rendered, but not billed at the end of any accounting period.</t>
  </si>
  <si>
    <t>Miscellaneous current and accrued assets</t>
  </si>
  <si>
    <t>To account for all other current and accrued assets.  The account shall be maintained so as to show the nature of each asset included herein.</t>
  </si>
  <si>
    <t>4. Deferred Debits</t>
  </si>
  <si>
    <t>Unamortized debt expense</t>
  </si>
  <si>
    <t xml:space="preserve"> </t>
  </si>
  <si>
    <t>Reflects estimated costs for financing debt in first quarter 1998, amortization charged to A/C 428.</t>
  </si>
  <si>
    <t>To account for expenses related to the issuance or assumption of debt securities.</t>
  </si>
  <si>
    <t>Other regulatory assets</t>
  </si>
  <si>
    <t>To account for under collections of funds to cover operating and financing costs due to deviations from estimated transmission volumes and operating cost.</t>
  </si>
  <si>
    <t xml:space="preserve">To account for regulatory-created assets, resulting from the rate making actions of regulatory agencies. </t>
  </si>
  <si>
    <t>X</t>
  </si>
  <si>
    <t>Records supporting the entries to this account shall be kept so that the ISO can furnish full information as to the nature and amount of each regulatory asset included in this account, including justification for inclusion of such amounts.</t>
  </si>
  <si>
    <t>Miscellaneous deferred debits</t>
  </si>
  <si>
    <t>TBD, if applicable.</t>
  </si>
  <si>
    <t>To account for all debits not included elsewhere, e.g. miscellaneous WIP, unusual or extraordinary expenses which are being amortized.</t>
  </si>
  <si>
    <t>Liabilities and Other Credits</t>
  </si>
  <si>
    <t>5. Proprietary Capital</t>
  </si>
  <si>
    <t>Appropriated retained earnings</t>
  </si>
  <si>
    <t>To account for reserved retained earnings (future CAPEX and debt coverage).</t>
  </si>
  <si>
    <t>The ISO is anticipated to have a fund balance as a NFP entity.</t>
  </si>
  <si>
    <t>Unappropriated retained earnings</t>
  </si>
  <si>
    <t>To account for unreserved retained earnings. Current balance reflects total 1998 CAPEX, and increase in Deferred Debit accounts (181)</t>
  </si>
  <si>
    <t>6. Long-Term Debt</t>
  </si>
  <si>
    <t>Bonds</t>
  </si>
  <si>
    <t>To account for the issuance of commercial paper to finance the ISO's development, operational and some future CAPEX items.</t>
  </si>
  <si>
    <t>To account for all bonds issued or assumed by the ISO.</t>
  </si>
  <si>
    <t>This account shall be subdivided for each class and series of bonds, including the face value of the actually issued and unmatured bonds which have not been retired or canceled.</t>
  </si>
  <si>
    <t>Records shall be maintained to show for each class all details as to date of obligation, date of maturity, interest dates and rates, security for the obligations, etc..</t>
  </si>
  <si>
    <t>Other long-term debt</t>
  </si>
  <si>
    <t>This account may be applicable pending finalization of capital structure.</t>
  </si>
  <si>
    <t>To account all other LTD not included elsewhere.</t>
  </si>
  <si>
    <t>Separate accounts shall be maintained for each class of obligation.</t>
  </si>
  <si>
    <t>Records shall be maintained to show for each class all details as to date of obligation, date of maturity, interest dates and rates, security for the obligation, etc..</t>
  </si>
  <si>
    <t>Unamortized premium on long-term debt</t>
  </si>
  <si>
    <t>To account for excess consideration received over face value of LTD issued, if applicable.</t>
  </si>
  <si>
    <t>To account for premiums on issued or assumed LTD.</t>
  </si>
  <si>
    <t>Unamortized discount on long-term debt</t>
  </si>
  <si>
    <t>To account for excess of the face value of LTD issued over the consideration received, if applicable.</t>
  </si>
  <si>
    <t>To account for discounts on issued or assumed LTD.</t>
  </si>
  <si>
    <t>7. Other Noncurrent Liabilities</t>
  </si>
  <si>
    <t>Obligations under capital lease - noncurrent</t>
  </si>
  <si>
    <t>Per C&amp;L's preliminary review of the IBM and MCI service agreements, it appears that the equipment provided via both service agreements is subject to capitalization.  At present we are not able to obtain specific equipment descriptions nor dollar amounts f</t>
  </si>
  <si>
    <t>To account for those portions not due within one year, of the obligations recorded for amounts applicable to leased property, including A/C 121 Nonutility plant.</t>
  </si>
  <si>
    <t>Accumulated provision for property insurance</t>
  </si>
  <si>
    <t>Use of this is account has yet to be determined.</t>
  </si>
  <si>
    <t>To account for amounts reserved by the ISO for losses incurred on property, which were not covered by insurance.</t>
  </si>
  <si>
    <t>Detailed records of charges against this account shall be maintained according to the year the casualty occurred which gave rise to the loss.</t>
  </si>
  <si>
    <t>Accumulated provision for injuries and damages</t>
  </si>
  <si>
    <t>To account for amounts reserved by the ISO for personal injuries, which were not covered by insurance.</t>
  </si>
  <si>
    <t>Accumulated provision for pensions and benefits</t>
  </si>
  <si>
    <t>To account for provisions made by the ISO and amounts contributed by employees for pension, accident and death benefits, savings, relief and other provident purposes.</t>
  </si>
  <si>
    <t>Separate accounts shall be kept for each kind of provision included herein.</t>
  </si>
  <si>
    <t>Accumulated miscellaneous operating provisions</t>
  </si>
  <si>
    <t>To account for all operating for all operating provisions which are not included elsewhere.</t>
  </si>
  <si>
    <t>This account shall be maintained so as to show the amount of each separate provision and the nature and amounts of the debits and credits thereto.</t>
  </si>
  <si>
    <t>8. Current and Accrued Liabilities</t>
  </si>
  <si>
    <t>Notes payable</t>
  </si>
  <si>
    <t>It is not anticipated that the ISO will have short-term notes as JP Morgan intends for the ISO to extend it's current line with B of A to finance the first quarter of operations.</t>
  </si>
  <si>
    <t>To account for the face value of all notes, drafts, acceptances or other similar indebtedness, payable on demand or within a time not exceeding one year from the date of issue.</t>
  </si>
  <si>
    <t>Accounts payable</t>
  </si>
  <si>
    <t>Amounts reflect an estimate of expenses incurred prior to YE but which have not been settled as of 12/31/98.  This amount is a C&amp;L estimate only.</t>
  </si>
  <si>
    <t>To account for all amounts payable by the ISO, within one year, which are not provided in other accounts.</t>
  </si>
  <si>
    <t>Customer deposits</t>
  </si>
  <si>
    <t>To account for security deposits made by applicable SC's who offer a deposit in lieu of a letter of credit (naming the ISO as the beneficiary).</t>
  </si>
  <si>
    <t>To account for all amounts deposited with the ISO by customers as security for the payment of bills.</t>
  </si>
  <si>
    <t>Taxes accrued</t>
  </si>
  <si>
    <t>To account for property taxes accrued as of YE.</t>
  </si>
  <si>
    <t>ISO is expected to be a NFP entity, and not subject to taxation.</t>
  </si>
  <si>
    <t>Interest accrued</t>
  </si>
  <si>
    <t>To account for interest accrued on debts (bonds, line of credit, notes payable and other LTD if applicable).</t>
  </si>
  <si>
    <t>To account for the amount of interest accrued on all of the ISO liabilities.</t>
  </si>
  <si>
    <t>Supporting records shall be maintained so as to show the amount of interest accrued on each obligation.</t>
  </si>
  <si>
    <t>Matured long-term debt (Major only)</t>
  </si>
  <si>
    <t>This account will be N/A for FY 1998 as the debt will not be issued until some time during the first quarter of 1998.</t>
  </si>
  <si>
    <t>To account for all LTD matured and unpaid, without specific agreement for extension of the time of payment.</t>
  </si>
  <si>
    <t>Matured interest (Major only)</t>
  </si>
  <si>
    <t>To account for matured interest on LTD or other obligations which was not paid as of the balance sheet date.</t>
  </si>
  <si>
    <t>Tax collections payable (Major only)</t>
  </si>
  <si>
    <t>To account for payroll taxes collected by the ISO and due to the respective government agencies.</t>
  </si>
  <si>
    <t>To account for the amount of taxes collected by the ISO through payroll deductions or otherwise pending transmittal of such taxes to the proper taxing authority.</t>
  </si>
  <si>
    <t>Obligations under capital leases-current</t>
  </si>
  <si>
    <t>To account for those portions due within one year, on capital leases.</t>
  </si>
  <si>
    <t>9. Deferred Credits</t>
  </si>
  <si>
    <t>Other deferred credits</t>
  </si>
  <si>
    <t>To account for advance billings and receipts and other deferred credit items, not provided for elsewhere, including amounts which can not be entirely cleared or disposed of until additional information has been received.</t>
  </si>
  <si>
    <t>Other regulatory liabilities</t>
  </si>
  <si>
    <t>To account for over collections of funds to cover operating and financing costs due to deviations from estimated transmission volumes and operating cost.</t>
  </si>
  <si>
    <t>To account for amounts of regulatory liabilities, not includable in other accounts, imposed on the ISO by the ratemaking actions of regulatory agencies.</t>
  </si>
  <si>
    <t>Records supporting the entries shall be kept so that the ISO can furnish full information as to the nature and amount of each regulatory liability, including justification of such amounts in this account.</t>
  </si>
  <si>
    <t>Electric Plant Chart of Accounts</t>
  </si>
  <si>
    <t>1. Intangible Plant</t>
  </si>
  <si>
    <t>Organization</t>
  </si>
  <si>
    <t>Balances reflect total startup costs of the ISO.</t>
  </si>
  <si>
    <t>To account for all fees paid to federal or state governments for the privilege of incorporation and expenditures incident to organizing the ISO and putting it in to readiness to do business.</t>
  </si>
  <si>
    <t>Miscellaneous intangible plant</t>
  </si>
  <si>
    <t>Balances reflect total gross software costs to the ISO for the various systems of the ISO.  See asset listing for detail.</t>
  </si>
  <si>
    <t>To account for the costs of patent rights, licenses, privileges and other intangible property necessary of valuable in the conduct of utility operations and not specifically chargeable to any other account.</t>
  </si>
  <si>
    <t>5. General Plant</t>
  </si>
  <si>
    <t>Structures and improvements</t>
  </si>
  <si>
    <t>Balances reflect LHI on two locations to be occupied by the ISO ( Folsom - Primary Center and Alhambra - Backup Center)</t>
  </si>
  <si>
    <t>To account for TI</t>
  </si>
  <si>
    <t>Office furniture and equipment</t>
  </si>
  <si>
    <t>Balances reflect, furniture and computer equipment.  See asset listing for detail.</t>
  </si>
  <si>
    <t>Transportation Equipment</t>
  </si>
  <si>
    <t>Balances reflecting costs of field vehicles.</t>
  </si>
  <si>
    <t>Communication Equipment</t>
  </si>
  <si>
    <t>Other tangible property</t>
  </si>
  <si>
    <t>Balances reflect hardware components to various systems: PMS, Sched. Applications and Infrastructure, metering and related system upgrades.  See asset listing for detail.</t>
  </si>
  <si>
    <t>Income Chart of Accounts</t>
  </si>
  <si>
    <t>1. Utility Operating Income</t>
  </si>
  <si>
    <t>Operating revenues</t>
  </si>
  <si>
    <t>Reflects total revenues from the ISO GMC (A/C 451) and penalties (A/C 456) levied on participants.</t>
  </si>
  <si>
    <t>To account for the total of operating revenue accounts 440 - 456.</t>
  </si>
  <si>
    <t>Operation expense</t>
  </si>
  <si>
    <t>Reflects total operating expenses (Transmission, Customer Accounts Expenses, Customer Service and Informational Expenses, Sales Expenses and Admin. and General Expenses)</t>
  </si>
  <si>
    <t>To account for the total of operation expense accounts 560 - 567.1.</t>
  </si>
  <si>
    <t>Maintenance expense - electric plant</t>
  </si>
  <si>
    <t>Reflects total maintenance expenses (Transmission and Admin. and General Maint.)</t>
  </si>
  <si>
    <t>To account for the total of maintenance expense accounts 568 - 574.</t>
  </si>
  <si>
    <t>Depreciation expense - electric plant</t>
  </si>
  <si>
    <t>Reflects depreciation expenses on hardware, software, furniture and equipment.</t>
  </si>
  <si>
    <t>To account for depreciation expense for all classes of depreciable electric plant in service.</t>
  </si>
  <si>
    <t>The ISO shall maintain records of property and property retirements as will reflect the service life of property which has been retired and aid in estimating probable service life by mortality, turnover, or other appropriate methods; and also records shal</t>
  </si>
  <si>
    <t>402.1</t>
  </si>
  <si>
    <t>Amortization of limited-term electric plant</t>
  </si>
  <si>
    <t>Reflects amortization expenses on LHI and startup costs.</t>
  </si>
  <si>
    <t>To account for expenses charged to A/C 111, Acc. Amortization of Electric Utility Plant</t>
  </si>
  <si>
    <t>Regulatory debits</t>
  </si>
  <si>
    <t>OPEN</t>
  </si>
  <si>
    <t>To be debited with amounts credited to A/C 254, Other Regulatory Liabilities, or when amounts are credited to A/C 182.3, Other Regulatory Assets.</t>
  </si>
  <si>
    <t>This account is debited, when appropriate, with the amounts credited to A/C 254, Other Regulatory Liabilities, to record regulatory liabilities imposed on the utility by the ratemaking actions of regulatory agencies. This account is also debited, when app</t>
  </si>
  <si>
    <t>Regulatory Credits</t>
  </si>
  <si>
    <t>To be credited with amounts debited to A/C 182.3, Other Regulatory Assets, or when amounts are credited to A/C 254, Other Regulatory Liabilities.</t>
  </si>
  <si>
    <t>This account is credited, when appropriate, with the amounts debited to A/C 182.3, Other Regulatory Assets, to establish regulatory assets.  This account is also credited, when appropriate, with the amounts debited to A/C 254, Other Regulatory Liabilities</t>
  </si>
  <si>
    <t>2. Other Income and Deductions</t>
  </si>
  <si>
    <t>A. Other Income</t>
  </si>
  <si>
    <t>Interest and dividend income</t>
  </si>
  <si>
    <t>To account for interest earnings on cash accounts, primarily CAPEX and debt coverage reserve accounts.</t>
  </si>
  <si>
    <t>To account for interest revenues on securities, loans, advances, special deposits, tax refunds and all other interest-bearing assets, and dividends on stocks of other companies, whether the securities on which the interest and dividends are received are c</t>
  </si>
  <si>
    <t>B. Other Income Deductions</t>
  </si>
  <si>
    <t>Miscellaneous amortization</t>
  </si>
  <si>
    <t>To account for amortization charges not includable in other accounts which are properly deductible in determining the income of the utility before interest charges.</t>
  </si>
  <si>
    <t>If charges in this account are significant, must be in accordance with an orderly and systematic amortization program.</t>
  </si>
  <si>
    <t>Donations</t>
  </si>
  <si>
    <t>To account for all payment or donations for charitable, social or community welfare purposes.</t>
  </si>
  <si>
    <t>Life insurance</t>
  </si>
  <si>
    <t>To account for all payments for life insurance of officers and employees where the ISO is the beneficiary, (net premiums less increase in cash surrender value of policies).</t>
  </si>
  <si>
    <t>Other deductions</t>
  </si>
  <si>
    <t>To account for other miscellaneous expenses which are nonoperating in nature, but which are properly deductible before determining total income before interest charges.</t>
  </si>
  <si>
    <t>3. Interest Charges</t>
  </si>
  <si>
    <t>Interest on long-term debt</t>
  </si>
  <si>
    <t>To account for interest charges on the commercial paper (LTD).</t>
  </si>
  <si>
    <t>To account for the amount of interest on outstanding LTD issued or assumed by the ISO, the liability for which is included in A/C 221, Bonds, or A/C 224, Other LTD.</t>
  </si>
  <si>
    <t>Amortization of debt discount and expense</t>
  </si>
  <si>
    <t>Reflects 12 months of amortized (estimated) financing costs.  Note, there may also be an amortization of debt discount depending on the final/ actual issuance.</t>
  </si>
  <si>
    <t>To account for the amortization of unamortized debt discount and expense on outstanding LTD.  Amounts charged to this account shall be credited concurrently to A/C's 181, Unamortized Debt Expense, and A/C 226, Unamortized Discount on LTD-Debit.</t>
  </si>
  <si>
    <t>Amortization of premium on debt -Credit</t>
  </si>
  <si>
    <t>It is assumed that the financing will be issued without a premium, thus it is not anticipated that this account will be applicable to the fiscal year 1998.</t>
  </si>
  <si>
    <t>To account for the amortization of unamortized net premium on outstanding LTD.  Amounts credited to this account shall be charged concurrently to A/C 225, Unamortized Premium on LTD.</t>
  </si>
  <si>
    <t>This account shall be so kept or supported as to show the premium on each class and series of LTD.</t>
  </si>
  <si>
    <t>Other interest expense</t>
  </si>
  <si>
    <t>To account for interest on the B of A line of credit and other potential short-term financing.</t>
  </si>
  <si>
    <t>To account for interest charges not provided for elsewhere.</t>
  </si>
  <si>
    <t>Retained Earnings Chart of Accounts</t>
  </si>
  <si>
    <t>Balance transferred from income</t>
  </si>
  <si>
    <t>To account/ close out the I/S to Retained Earnings.</t>
  </si>
  <si>
    <t>To account for the net debit or credit transferred from income for the year ending.</t>
  </si>
  <si>
    <t>Appropriations of retained earnings</t>
  </si>
  <si>
    <t>This account will be used to account for reserved retained earnings</t>
  </si>
  <si>
    <t>To account for appropriations of retained earnings.</t>
  </si>
  <si>
    <t>Operating Revenue Chart of Accounts</t>
  </si>
  <si>
    <t>2. Other Operating Revenue</t>
  </si>
  <si>
    <t>Other miscellaneous service revenues</t>
  </si>
  <si>
    <t>To account for the ISO's Grid Management Charge as it is earned (monthly posting).</t>
  </si>
  <si>
    <t>Other electric revenues</t>
  </si>
  <si>
    <t>To account for penalties assessed by the ISO for participant violation of operating protocols.</t>
  </si>
  <si>
    <t>To account for revenues derived from electric operations not includable in any of the foregoing accounts.</t>
  </si>
  <si>
    <t>Operation and Maintenance Expense Chart of Accounts</t>
  </si>
  <si>
    <t>2. Transmission Expenses</t>
  </si>
  <si>
    <t>Operation supervision and engineering</t>
  </si>
  <si>
    <t>To account for supervisor/ manager payroll expense related to transmission activity, related training, travel, professional consulting services, and temporary staff.</t>
  </si>
  <si>
    <t xml:space="preserve">To account for the cost of labor and expenses incurred in the general supervision and direction of the operation of the transmission system as a whole. </t>
  </si>
  <si>
    <t>Load dispatching</t>
  </si>
  <si>
    <t>To account for grid management operations payroll expense, training, and travel.</t>
  </si>
  <si>
    <t>To account for the cost of labor, materials used and expenses incurred in load dispatching operations pertaining to the transmission of electricity. s</t>
  </si>
  <si>
    <t>Miscellaneous transmission expenses</t>
  </si>
  <si>
    <t>To account for applications/ analysis support services provided to the grid management operations, professional dues, and 3rd party vendor contracts related to the operation of the ISO's WENET (communication infrastructure for all connected entities to th</t>
  </si>
  <si>
    <t>To account for the cost of labor, materials used and expenses incurred in transmission map and record work, transmission office expenses, and other transmission expenses not provided for elsewhere.</t>
  </si>
  <si>
    <t>Maintenance supervision and engineering</t>
  </si>
  <si>
    <t>To account for analysis/ maintenance services provided to the grid management operations.</t>
  </si>
  <si>
    <t>To account for the cost of labor and expenses incurred in the general supervision and direction of maintenance of the transmission system.</t>
  </si>
  <si>
    <t>4. Customer Accounts Expenses</t>
  </si>
  <si>
    <t>Supervision</t>
  </si>
  <si>
    <t>To account for the Customer Service Dept. management, and 3rd party vendor contracts for the support of related computer systems and equipment.</t>
  </si>
  <si>
    <t>To account for the cost of labor and expenses incurred in the general direction and supervision of customer accounting and collecting activities.  Direct supervision of a specific activity shall be charged to A/C 902, Meter Reading Expenses, or A/C 903, C</t>
  </si>
  <si>
    <t>Meter reading expenses</t>
  </si>
  <si>
    <t>To account for payroll expenses related to metering activity and related vehicle expenses.</t>
  </si>
  <si>
    <t>To account for the cost of labor, materials used and expenses incurred in reading customer meters, and determining consumption when performed by employees engaged in reading meters.</t>
  </si>
  <si>
    <t>Customer records and collection expenses</t>
  </si>
  <si>
    <t>To account for the payroll expense for those persons performing the settlement and billing activities.</t>
  </si>
  <si>
    <t>Uncollectible accounts</t>
  </si>
  <si>
    <t xml:space="preserve">To account for the charge to Accumulated Provision for Uncollectible Accounts (A/C 144).  To be determined by ISO management.  </t>
  </si>
  <si>
    <t>This account shall be charged with amounts sufficient to provide for losses from uncollectible utility revenues.  Concurrent credits shall be made to A/C 144, Accumulated Provision for Uncollectible Accounts - Cr.  Losses from uncollectible accounts shall</t>
  </si>
  <si>
    <t>Miscellaneous customer accounts expenses</t>
  </si>
  <si>
    <t>To account for Cust. Service Dept. support services payroll expense and training.</t>
  </si>
  <si>
    <t>To account for the cost of labor, materials used and expenses incurred not provided for in other accounts.</t>
  </si>
  <si>
    <t>5. Customer Services and Informational Expenses</t>
  </si>
  <si>
    <t>To account for the Client Relation Managers payroll expense.</t>
  </si>
  <si>
    <t>To account for the cost of labor and expenses incurred in the general direction and supervision of customer service activities, the object of which is to encourage safe, efficient and economical use of the utility's service.  Direct supervision of a speci</t>
  </si>
  <si>
    <t>Customer assistance expenses</t>
  </si>
  <si>
    <t>To account for the payroll expense of the Client Relations Staff.</t>
  </si>
  <si>
    <t>To account for the cost of labor, materials used and expenses incurred in providing instructions or assistance to customers, the object of which is to encourage safe, efficient and economical use of the utility's service.</t>
  </si>
  <si>
    <t>Informational and instructional advertising expenses</t>
  </si>
  <si>
    <t>To account for the cost of labor, materials used and expenses incurred in activities which primarily convey information as to what the utility urges or suggests customers should do in utilizing electric service to protect health and safety, to encourage e</t>
  </si>
  <si>
    <t>Miscellaneous customer service and informational expenses</t>
  </si>
  <si>
    <t>To account for costs of labor, materials used and expenses incurred in connection with customer service and informational activities which are not includible in other customer information expense accounts.  May be applicable, awaiting information from res</t>
  </si>
  <si>
    <t>To account for costs of labor, materials used and expenses incurred in connection with customer service and informational activities which are not includable in other customer information expense accounts.</t>
  </si>
  <si>
    <t>6. Sales Expenses</t>
  </si>
  <si>
    <t xml:space="preserve">To account for the cost of labor and expenses incurred in the general direction and supervision of sales activities, except merchandising.  Direct supervision of a specific activity shall be charged to the account wherein the costs of such activities are </t>
  </si>
  <si>
    <t>Demonstrating and selling expenses</t>
  </si>
  <si>
    <t>To account for the costs of labor, materials used and expenses incurred in promotional, demonstrating, and selling activities, except by merchandising, the object of which is to promote or retain the use of utility services by present and prospective cust</t>
  </si>
  <si>
    <t>Advertising expenses</t>
  </si>
  <si>
    <t>To account for expenses related to the promotion of the ISO to the general public.</t>
  </si>
  <si>
    <t>To account for the cost of labor, materials used and expenses incurred in advertising designed to promote or retain the use of utility service, except advertising the sale of merchandise by the utility.</t>
  </si>
  <si>
    <t>Miscellaneous sales expenses</t>
  </si>
  <si>
    <t xml:space="preserve">To account for the cost of labor, materials used and expenses incurred in connection with sales activities, except merchandising, which are not includable in other sales expense accounts.  May be applicable, awaiting information from respective ISO Dept. </t>
  </si>
  <si>
    <t>To account for the cost of labor, materials used and expenses incurred in connection with sales activities, except merchandising, which are not includable in other sales expense accounts.</t>
  </si>
  <si>
    <t>7. Administrative and General Expenses</t>
  </si>
  <si>
    <t>Administrative and general salaries</t>
  </si>
  <si>
    <t>To account for the payroll expense of management and personnel in the following departments: Operations, Finance, Information, Regulatory/ Legal, Human Resources, and Customer Services.</t>
  </si>
  <si>
    <t>To account for compensation (salaries, bonuses, and other consideration for services, but not including directors' fees) of officers, executives, and other employees of the utility properly chargeable to utility operations and not chargeable directly to a</t>
  </si>
  <si>
    <t>This account may be subdivided in accordance with a classification appropriate to the departmental or other functional organization of the utility.</t>
  </si>
  <si>
    <t>Office supplies and expenses</t>
  </si>
  <si>
    <t>To account for the materials and supplies, training, travel, professional dues, 3rd party vendor contracts, and printing expenses related to the respective personnel in the above departments.  Note, contingencies from all departments is also included in t</t>
  </si>
  <si>
    <t xml:space="preserve">To account for office supplies and expenses incurred in connection with the general administration of the utility's operations which are assignable to specific administrative or general departments and are not specifically provided for in other accounts. </t>
  </si>
  <si>
    <t>Administrative expenses transferred - Credit</t>
  </si>
  <si>
    <t>This account shall be credited with administrative expenses recorded in A/C's 920 and 921 which are transferred to construction costs or to nonutility accounts.</t>
  </si>
  <si>
    <t>Outside services employed</t>
  </si>
  <si>
    <t>To account for all consulting services which are not directly related to the transmission activity, but to the related support services.</t>
  </si>
  <si>
    <t xml:space="preserve">To account for fees and expenses of professional consultants and others for general services which are not applicable to a particular operating function or to other accounts.  It shall also include the pay and expenses of persons engaged for a special or </t>
  </si>
  <si>
    <t>This account shall be maintained so as to permit ready summarization according to the nature of service and the person furnishing the same.</t>
  </si>
  <si>
    <t>Property insurance</t>
  </si>
  <si>
    <t>To account for the annual property insurance expense.</t>
  </si>
  <si>
    <t>To account for the cost of insurance or reserve accruals to protect the utility against losses and damages to owned or leased property used in its utility operations.  It shall include also the cost of labor and related supplies and expenses incurred in p</t>
  </si>
  <si>
    <t>Records shall be kept so as to show the amount of coverage for each class of insurance carried, the property covered, and the applicable premiums.  Any dividends distributed by mutual insurance companies shall be credited to the accounts to which the insu</t>
  </si>
  <si>
    <t>Injuries and damage</t>
  </si>
  <si>
    <t>To account for pollution, liability, automobile, directors, workers comp, and umbrella insurance policy expenses.</t>
  </si>
  <si>
    <t>To account for the cost of insurance or reserve accruals to protect the utility against injuries and damages claims of employees or others, losses of such character not covered by insurance, and expenses incurred in settlement of injuries and damages clai</t>
  </si>
  <si>
    <t>Regulatory commission expenses</t>
  </si>
  <si>
    <t>To account for expenses incurred by the ISO in connection with a case before the FERC.  There exists a probability that the ISO will file a revised rate with the FERC for FY 1999 operations.</t>
  </si>
  <si>
    <t xml:space="preserve">To account for all expenses properly includable in utility operating expenses, incurred by the utility in connection with formal cases before regulatory commissions, or other regulatory bodies, or cases in which such a body is a party, including payments </t>
  </si>
  <si>
    <t>General advertising expenses</t>
  </si>
  <si>
    <t>To account for all costs of labor, materials used, and expenses incurred in advertising and related activities, the cost of which by their content and purpose are not provided for elsewhere.</t>
  </si>
  <si>
    <t>Miscellaneous general expenses</t>
  </si>
  <si>
    <t>To account for board compensation through 1998.</t>
  </si>
  <si>
    <t>To account for all costs of labor and expenses incurred in connection with the general management of the utility not provided for elsewhere.</t>
  </si>
  <si>
    <t>Rents</t>
  </si>
  <si>
    <t>To account for rent expense for both the primary and secondary sites.</t>
  </si>
  <si>
    <t>To account for all rents properly includable in utility operating expenses for the property of others used, occupied, or operated in connection with the customer accounts, customer service and informational, sales, and general and administrative functions</t>
  </si>
  <si>
    <t>Maintenance of general plant</t>
  </si>
  <si>
    <t>To account for the labor and other expenses incurred for the maintenance of all systems outside of the grid management operations.</t>
  </si>
  <si>
    <t>To account for the costs assignable to customer accounts, sales and administrative and general functions of labor, materials used and expenses incurred in the maintenance of property.</t>
  </si>
  <si>
    <t>Operating Expense Testing</t>
  </si>
  <si>
    <t>CALIFORNIA INDEPENDENT SYSTEM OPERATOR CORPORATION</t>
  </si>
  <si>
    <t>Balance Sheet</t>
  </si>
  <si>
    <t>For the period ending October 31, 1998</t>
  </si>
  <si>
    <t>TRUST</t>
  </si>
  <si>
    <t xml:space="preserve">Expected </t>
  </si>
  <si>
    <t>Cash</t>
  </si>
  <si>
    <t>I/S</t>
  </si>
  <si>
    <t>Other</t>
  </si>
  <si>
    <t>Current Month</t>
  </si>
  <si>
    <t>YE Balances</t>
  </si>
  <si>
    <t>ASSETS</t>
  </si>
  <si>
    <t>NET ELECTRIC UTILITY PLANT</t>
  </si>
  <si>
    <t>$</t>
  </si>
  <si>
    <t>RESTRICTED AND TRUST FUNDS</t>
  </si>
  <si>
    <t>CURRENT ASSETS</t>
  </si>
  <si>
    <t>Cash and Investments</t>
  </si>
  <si>
    <t>Unrestricted</t>
  </si>
  <si>
    <t>Restricted for payment of debt service</t>
  </si>
  <si>
    <t>Accounts Receivable, net</t>
  </si>
  <si>
    <t>Accrued Interest</t>
  </si>
  <si>
    <t>Total Current Asset</t>
  </si>
  <si>
    <t>NONCURRENT ASSET AND DEFERRED CHARGES</t>
  </si>
  <si>
    <t>Unamortized debt expenses</t>
  </si>
  <si>
    <t>Total Noncurrent Asset and Deferred Charges</t>
  </si>
  <si>
    <t>TOTAL ASSETS</t>
  </si>
  <si>
    <t>CAPITALIZATION AND LIABILITIES</t>
  </si>
  <si>
    <t>CAPITALIZATION</t>
  </si>
  <si>
    <t>Retained Earnings</t>
  </si>
  <si>
    <t>Bonds Payable</t>
  </si>
  <si>
    <t>Notes Payable - Trust</t>
  </si>
  <si>
    <t>TOTAL CAPITALIZATION</t>
  </si>
  <si>
    <t>CURRENT LIABILITIES</t>
  </si>
  <si>
    <t>Accounts Payable</t>
  </si>
  <si>
    <t>Accrued Salaries and Benefits</t>
  </si>
  <si>
    <t>SC Deposits</t>
  </si>
  <si>
    <t>Long-term debt due within one year</t>
  </si>
  <si>
    <t>Total Current Liabilities</t>
  </si>
  <si>
    <t>NONCURRENT LIABILITY AND DEFERRED CREDITS</t>
  </si>
  <si>
    <t>Deferred compensation benefits</t>
  </si>
  <si>
    <t>Total Noncurrent Liability and Deferred Credits</t>
  </si>
  <si>
    <t>TOTAL LIABILITIES</t>
  </si>
  <si>
    <t>TOTAL CAPITALIZATION AND LIABILITIES                      $</t>
  </si>
  <si>
    <t>Non-cash adj</t>
  </si>
  <si>
    <t>Depreciation</t>
  </si>
  <si>
    <t>EPIS Adjustemnt</t>
  </si>
  <si>
    <t>From Infrastructure Report</t>
  </si>
  <si>
    <t xml:space="preserve"> Adjusted to Prepayments </t>
  </si>
  <si>
    <t>Less</t>
  </si>
  <si>
    <t>Original transfer</t>
  </si>
  <si>
    <t>Trial balance - add'l Infras cost in Co 01.</t>
  </si>
  <si>
    <t>Add'l reclass to prepay (orig transfer)</t>
  </si>
  <si>
    <t>For the period ending December 31, 1999</t>
  </si>
  <si>
    <t>Fixed Assets</t>
  </si>
  <si>
    <t>DD&amp;E</t>
  </si>
  <si>
    <t>DEC I/S</t>
  </si>
  <si>
    <t>November</t>
  </si>
  <si>
    <t>December</t>
  </si>
  <si>
    <t>Long-term debt</t>
  </si>
  <si>
    <t>Prepayment amortization</t>
  </si>
  <si>
    <t>Amort</t>
  </si>
  <si>
    <t>EMS</t>
  </si>
  <si>
    <t>SI/SA/BBS</t>
  </si>
  <si>
    <t>Prepay</t>
  </si>
  <si>
    <t>Interest</t>
  </si>
  <si>
    <t>Transfer</t>
  </si>
  <si>
    <t>2000 I/S</t>
  </si>
  <si>
    <t>Debt pyment</t>
  </si>
  <si>
    <t>CALIFORNIA ISO</t>
  </si>
  <si>
    <t>Statement of Operations</t>
  </si>
  <si>
    <t>For the ten months ending October 31, 1998</t>
  </si>
  <si>
    <t>(thousands)</t>
  </si>
  <si>
    <t>Month</t>
  </si>
  <si>
    <t>Year-to-Date</t>
  </si>
  <si>
    <t>Annual Budget</t>
  </si>
  <si>
    <t xml:space="preserve">Actual </t>
  </si>
  <si>
    <t>Budget</t>
  </si>
  <si>
    <t>Variance</t>
  </si>
  <si>
    <t>Var (%)</t>
  </si>
  <si>
    <t xml:space="preserve">Var ($) </t>
  </si>
  <si>
    <t>Forecast</t>
  </si>
  <si>
    <t>Approved</t>
  </si>
  <si>
    <t>Revenues:</t>
  </si>
  <si>
    <t>Grid Management Charge</t>
  </si>
  <si>
    <t>Communication, WSCC,  &amp; Other Fees</t>
  </si>
  <si>
    <t>Interest income &amp; other</t>
  </si>
  <si>
    <t xml:space="preserve">     Total revenues</t>
  </si>
  <si>
    <t>Operating Expenses:</t>
  </si>
  <si>
    <t>Salaries and Benefits</t>
  </si>
  <si>
    <t>Building, Leases and Facility</t>
  </si>
  <si>
    <t>Insurance</t>
  </si>
  <si>
    <t>Third Party Vendor Contracts</t>
  </si>
  <si>
    <t>Professional and Consulting Services</t>
  </si>
  <si>
    <t>Legal and Audit</t>
  </si>
  <si>
    <t>Training, Travel and Professional Dues</t>
  </si>
  <si>
    <t>FERC Fees</t>
  </si>
  <si>
    <t>Contingency</t>
  </si>
  <si>
    <t xml:space="preserve">     Total operating expenses</t>
  </si>
  <si>
    <t>Net operating income (loss)</t>
  </si>
  <si>
    <t>Interest expense</t>
  </si>
  <si>
    <t>Income (Loss) before non-cash adjustments</t>
  </si>
  <si>
    <t>Non-cash adjustments:</t>
  </si>
  <si>
    <t>Depreciation and amortization</t>
  </si>
  <si>
    <t>Amortization of DDE</t>
  </si>
  <si>
    <t>Amortization of Prepaids (PMS/SI/SA/BBS)</t>
  </si>
  <si>
    <t>Amount capitalized to Startup Costs (including interest)</t>
  </si>
  <si>
    <t xml:space="preserve">       Total non-cash adjustments</t>
  </si>
  <si>
    <t>Excess (Deficiency) of Revenues Over Expenses</t>
  </si>
  <si>
    <t>Total Operating Expenses Breakdown By Department</t>
  </si>
  <si>
    <t>CEO/Human Resources</t>
  </si>
  <si>
    <t>Operations</t>
  </si>
  <si>
    <t>Client Services</t>
  </si>
  <si>
    <t>Information Services</t>
  </si>
  <si>
    <t>Legal</t>
  </si>
  <si>
    <t>Finance</t>
  </si>
  <si>
    <t>Statement of Operations (FERC Format)</t>
  </si>
  <si>
    <t>For the eleven months ending November 30, 1999</t>
  </si>
  <si>
    <t>(dollars in thousands)</t>
  </si>
  <si>
    <t>Fines and Penalties</t>
  </si>
  <si>
    <t xml:space="preserve">Scheduling Coordinator Application Fees </t>
  </si>
  <si>
    <t>Communication Unit Fees</t>
  </si>
  <si>
    <t>WSCC Security Fees</t>
  </si>
  <si>
    <t>Operating Expenses</t>
  </si>
  <si>
    <t>Maintenance Expenses</t>
  </si>
  <si>
    <t>Depreciation and Amortization Expenses</t>
  </si>
  <si>
    <t>Net operating income (loss):</t>
  </si>
  <si>
    <t>Non-operating income:</t>
  </si>
  <si>
    <t>Interest income</t>
  </si>
  <si>
    <t>Other Income</t>
  </si>
  <si>
    <t>Amortization</t>
  </si>
  <si>
    <t xml:space="preserve">      Total non-operating income</t>
  </si>
  <si>
    <t>Income (Loss) Before Interest Expenses</t>
  </si>
  <si>
    <t>Interest Expenses:</t>
  </si>
  <si>
    <t>Interest on Long-term Debt</t>
  </si>
  <si>
    <t>Amortization of Debt Discount and Expenses</t>
  </si>
  <si>
    <t>Other Interest Expenses</t>
  </si>
  <si>
    <t xml:space="preserve">       Total interest expenses</t>
  </si>
  <si>
    <t xml:space="preserve">Net income (loss) </t>
  </si>
  <si>
    <t>2000</t>
  </si>
  <si>
    <t>Operating and Maintenance Expenses</t>
  </si>
  <si>
    <t>Amortization of maintenance</t>
  </si>
  <si>
    <t>California Independent System Operator</t>
  </si>
  <si>
    <t>ATTACHMENT A</t>
  </si>
  <si>
    <t>2000 GMC CALCULATION</t>
  </si>
  <si>
    <t>For the Year Ending December 31, 2000</t>
  </si>
  <si>
    <t>In Thousands</t>
  </si>
  <si>
    <t>Filed as Part of the December 15, 1999 Informational Filing</t>
  </si>
  <si>
    <t>1999</t>
  </si>
  <si>
    <t>Line</t>
  </si>
  <si>
    <t>No.</t>
  </si>
  <si>
    <t>Description</t>
  </si>
  <si>
    <t>Amount</t>
  </si>
  <si>
    <t>Grid Management Charge Revenue Requirement:</t>
  </si>
  <si>
    <t>Operating Expenses (Statement AH)</t>
  </si>
  <si>
    <t>Transmission</t>
  </si>
  <si>
    <t>Customer Accounts</t>
  </si>
  <si>
    <t>Customer Service and Informational Expenses</t>
  </si>
  <si>
    <t>Administrative and General</t>
  </si>
  <si>
    <t>Total</t>
  </si>
  <si>
    <t>Debt Service (Statement BK)</t>
  </si>
  <si>
    <t>Principal Reserve Funding</t>
  </si>
  <si>
    <t>Interest Reserve Funding</t>
  </si>
  <si>
    <t>Coverage Requirement (Statement BK)</t>
  </si>
  <si>
    <t>Interest Earnings (Statement BK)</t>
  </si>
  <si>
    <t>Other Earnings (Statement AU)</t>
  </si>
  <si>
    <t>Total GMC Revenue Requirement</t>
  </si>
  <si>
    <t>Forecasted Annual Volume (MWh)</t>
  </si>
  <si>
    <t xml:space="preserve">Grid Management Charge </t>
  </si>
  <si>
    <t>Statement AA</t>
  </si>
  <si>
    <t>Unaudited</t>
  </si>
  <si>
    <t>Info. only</t>
  </si>
  <si>
    <t>Balance at</t>
  </si>
  <si>
    <t>Beginning of Year</t>
  </si>
  <si>
    <t>End of Year</t>
  </si>
  <si>
    <t>A/C #'s</t>
  </si>
  <si>
    <t>Utility Plant</t>
  </si>
  <si>
    <t>101 and 101.1</t>
  </si>
  <si>
    <t>Less: Accumulated Depreciation and Amortization</t>
  </si>
  <si>
    <t>108 and 111</t>
  </si>
  <si>
    <t>Net Utility Plant</t>
  </si>
  <si>
    <t>Other Property and Investments</t>
  </si>
  <si>
    <t>Special Funds</t>
  </si>
  <si>
    <t>125-128</t>
  </si>
  <si>
    <t>Total Other Property and Investments</t>
  </si>
  <si>
    <t>Current and Accrued Assets</t>
  </si>
  <si>
    <t>Cash - Unrestricted</t>
  </si>
  <si>
    <t>131</t>
  </si>
  <si>
    <t xml:space="preserve">           - Restricted for payment of debt service</t>
  </si>
  <si>
    <t>Customer Accounts Receivable</t>
  </si>
  <si>
    <t>142</t>
  </si>
  <si>
    <t>165</t>
  </si>
  <si>
    <t>Accrued Utility Revenues</t>
  </si>
  <si>
    <t>173</t>
  </si>
  <si>
    <t>Total Current and Accrued Assets</t>
  </si>
  <si>
    <t>Deferred Debits</t>
  </si>
  <si>
    <t>Unamortized Debt Expense</t>
  </si>
  <si>
    <t>181</t>
  </si>
  <si>
    <t>Total Deferred Debits</t>
  </si>
  <si>
    <t>Total Assets and Other Debits</t>
  </si>
  <si>
    <t xml:space="preserve">  </t>
  </si>
  <si>
    <t>Proprietary Capital</t>
  </si>
  <si>
    <t>Unappropriated Retained Earnings</t>
  </si>
  <si>
    <t>216</t>
  </si>
  <si>
    <t>Total Proprietary Capital</t>
  </si>
  <si>
    <t>Long-Term Debt</t>
  </si>
  <si>
    <t>221</t>
  </si>
  <si>
    <t>Notes Payable</t>
  </si>
  <si>
    <t>224</t>
  </si>
  <si>
    <t>Net Long-Term Debt</t>
  </si>
  <si>
    <t>Current and Accrued Liabilities</t>
  </si>
  <si>
    <t>Bonds - Short-term</t>
  </si>
  <si>
    <t>232</t>
  </si>
  <si>
    <t>Interest Accrued</t>
  </si>
  <si>
    <t>237</t>
  </si>
  <si>
    <t>Total Current and Accrued Liabilities</t>
  </si>
  <si>
    <t>Total Liabilities and Other Credits</t>
  </si>
  <si>
    <t>ISO</t>
  </si>
  <si>
    <t>Cash Flows between the B/S and I/S</t>
  </si>
  <si>
    <t>12/31/99</t>
  </si>
  <si>
    <t>Cash flows from operating activity</t>
  </si>
  <si>
    <t>Net income (loss)</t>
  </si>
  <si>
    <t>x</t>
  </si>
  <si>
    <t>Depreciation of utility plant</t>
  </si>
  <si>
    <t>Amortization utility plant</t>
  </si>
  <si>
    <t>Amortization of debt discount expense</t>
  </si>
  <si>
    <t>Total non-cash charges</t>
  </si>
  <si>
    <t>Changes in assets and liabilities:</t>
  </si>
  <si>
    <t>Decrease in customer accounts receivable</t>
  </si>
  <si>
    <t>Increase in unbilled utility revenues</t>
  </si>
  <si>
    <t>Decrease in prepayments</t>
  </si>
  <si>
    <t>Increase in accounts payable</t>
  </si>
  <si>
    <t>Increase in accrued interest payable</t>
  </si>
  <si>
    <t>Decrease in unamortized debt issuance cost</t>
  </si>
  <si>
    <t>Capital outlay</t>
  </si>
  <si>
    <t>Debt issuance costs</t>
  </si>
  <si>
    <t>Less: Deposits to the Principal Service Fund</t>
  </si>
  <si>
    <t>Less: Deposits to the Interest Service Fund</t>
  </si>
  <si>
    <t>Less: Deposits to the Reserve Fund</t>
  </si>
  <si>
    <t>Cash on hand at 12/31/98</t>
  </si>
  <si>
    <t>Should be</t>
  </si>
  <si>
    <t>Difference</t>
  </si>
  <si>
    <t xml:space="preserve"> ... and this is clearly IMMATERIAL...Bill !</t>
  </si>
  <si>
    <t>Interes paid calculation:</t>
  </si>
  <si>
    <t>Beginning interest payable</t>
  </si>
  <si>
    <t>Add: 1999 interest expense</t>
  </si>
  <si>
    <t>Less: Ending interest payable</t>
  </si>
  <si>
    <t>Interest paid in 1998</t>
  </si>
  <si>
    <t>Statement AB</t>
  </si>
  <si>
    <t>Income Statement</t>
  </si>
  <si>
    <t>For the Period Ending December 31, 2000</t>
  </si>
  <si>
    <t>Utility Operating Income</t>
  </si>
  <si>
    <t>Operating Revenues</t>
  </si>
  <si>
    <t>Depreciation Expenses</t>
  </si>
  <si>
    <t>Amortization of Maintenance Contracts</t>
  </si>
  <si>
    <t>Total Utility Operating Expenses</t>
  </si>
  <si>
    <t>Net Utility Operating Income</t>
  </si>
  <si>
    <t>Other Income and Deductions</t>
  </si>
  <si>
    <t>Interest Income</t>
  </si>
  <si>
    <t>Interest Charges</t>
  </si>
  <si>
    <t>Amortization of Debt Discount and Expense</t>
  </si>
  <si>
    <t>Other Interest Expense</t>
  </si>
  <si>
    <t>Total Interest Charges</t>
  </si>
  <si>
    <t>Net Income</t>
  </si>
  <si>
    <t>Done</t>
  </si>
  <si>
    <t>Statement AC</t>
  </si>
  <si>
    <t>Check</t>
  </si>
  <si>
    <t xml:space="preserve">Unappropriated Retained Earnings </t>
  </si>
  <si>
    <t>Unappropriated Retained Earnings - Beginning of Year</t>
  </si>
  <si>
    <t>Balance Transferred from Income (Account 433)</t>
  </si>
  <si>
    <t>Appropriations of Retained Earnings (Account 436)</t>
  </si>
  <si>
    <t>Unappropriated Retained Earnings - End of Year</t>
  </si>
  <si>
    <t>TEST, these should equal each other</t>
  </si>
  <si>
    <t>Appropriated Retained Earnings</t>
  </si>
  <si>
    <t>Appropriated Retained Earnings - Beginning of Year</t>
  </si>
  <si>
    <t>Increase in Appropriations of Retained Earnings</t>
  </si>
  <si>
    <t>Decrease in Appropriations of Retained Earnings</t>
  </si>
  <si>
    <t>PLUG</t>
  </si>
  <si>
    <t>Appropriated Retained Earnings - End of Year</t>
  </si>
  <si>
    <t>Statement AD</t>
  </si>
  <si>
    <t>Cost of Plant</t>
  </si>
  <si>
    <t>Average</t>
  </si>
  <si>
    <t>Functional Classification</t>
  </si>
  <si>
    <t>Balance</t>
  </si>
  <si>
    <t>A/C's</t>
  </si>
  <si>
    <t>Intangible</t>
  </si>
  <si>
    <t>General</t>
  </si>
  <si>
    <t>Total Plant</t>
  </si>
  <si>
    <t>TEST: Total Avg. Plant = Combined Simple Averages below</t>
  </si>
  <si>
    <t>above should = 0</t>
  </si>
  <si>
    <t>Simple</t>
  </si>
  <si>
    <t>Average 1/</t>
  </si>
  <si>
    <t>TEST: Total intangible and general plant = gross PIS @ Sched AA</t>
  </si>
  <si>
    <t>Averages for Transmission, Intangibles and General are based on a</t>
  </si>
  <si>
    <t>beginning-of-period, and end-of-period simple average.</t>
  </si>
  <si>
    <t>Statement AE</t>
  </si>
  <si>
    <t>Accumulated Depreciation and Amortization</t>
  </si>
  <si>
    <t>Total Accumulated Depreciation and Amortization</t>
  </si>
  <si>
    <t>TEST: Total intangible and general plant = Accum.Deprec. @ Sched AA</t>
  </si>
  <si>
    <t>12/31/97</t>
  </si>
  <si>
    <t>12/31/98</t>
  </si>
  <si>
    <t>Averages for Accumulated Depreciation and Amortization are based</t>
  </si>
  <si>
    <t>on a beginning-of-period, and end-of-period simple average.</t>
  </si>
  <si>
    <t>Statement AF</t>
  </si>
  <si>
    <t>Specified Deferred Credits</t>
  </si>
  <si>
    <t>Account 254 - Other Regulatory Liabilities</t>
  </si>
  <si>
    <t>Total Deferred Liabilities</t>
  </si>
  <si>
    <t>1/</t>
  </si>
  <si>
    <t xml:space="preserve">Averages for Deferred Credits are based on a beginning-of-period, </t>
  </si>
  <si>
    <t>and end-of-period simple average.</t>
  </si>
  <si>
    <t>The ISO has not projected any specified deferred credits</t>
  </si>
  <si>
    <t>Statement AG</t>
  </si>
  <si>
    <t>Specified Plant Accounts and Deferred Debits</t>
  </si>
  <si>
    <t>Account 181 - Unamortized Debt Expense</t>
  </si>
  <si>
    <t>Total - Specified Plant Accounts and Deferred Debits</t>
  </si>
  <si>
    <t xml:space="preserve">Averages for Deferred Debits are based on a beginning-of-period, </t>
  </si>
  <si>
    <t>Statement AH</t>
  </si>
  <si>
    <t>Operation and Maintenance Expenses</t>
  </si>
  <si>
    <t>Customer Service and Informational</t>
  </si>
  <si>
    <t>Account</t>
  </si>
  <si>
    <t>Transmission Expenses - Operation</t>
  </si>
  <si>
    <t>Operation Supervision and Engineering</t>
  </si>
  <si>
    <t>Load Dispatching</t>
  </si>
  <si>
    <t>Miscellaneous Transmission Expenses</t>
  </si>
  <si>
    <t>Total Operation</t>
  </si>
  <si>
    <t>ok</t>
  </si>
  <si>
    <t>Transmission Expenses - Maintenance</t>
  </si>
  <si>
    <t>Maintenance Supervision and Engineering</t>
  </si>
  <si>
    <t>Total Maintenance</t>
  </si>
  <si>
    <t>Total Transmission Expenses</t>
  </si>
  <si>
    <t>Electric Operating and Maintenance Expenses</t>
  </si>
  <si>
    <t>Customer Accounts Expenses - Operation</t>
  </si>
  <si>
    <t>Meter Reading Expenses</t>
  </si>
  <si>
    <t>Customer Record and Collection Expenses</t>
  </si>
  <si>
    <t>Miscellaneous Customer Accounts Expenses</t>
  </si>
  <si>
    <t>Total Customer Accounts Expenses</t>
  </si>
  <si>
    <t>Customer Service and Informational Expenses - Operation</t>
  </si>
  <si>
    <t>Customer Assistance Expenses</t>
  </si>
  <si>
    <t>Informational and Instructional Advertising Expenses</t>
  </si>
  <si>
    <t>Total Customer Service - Informational Expenses</t>
  </si>
  <si>
    <t>Administrative and General Expenses - Operation</t>
  </si>
  <si>
    <t>Administrative and General Salaries</t>
  </si>
  <si>
    <t>Office Supplies and Expenses</t>
  </si>
  <si>
    <t>Outside Services Employed</t>
  </si>
  <si>
    <t>Property Insurance</t>
  </si>
  <si>
    <t>Injuries and Damage</t>
  </si>
  <si>
    <t>Regulatory Commission Expenses</t>
  </si>
  <si>
    <t>Miscellaneous General Expenses</t>
  </si>
  <si>
    <t>Administrative and General Expenses - Maintenance</t>
  </si>
  <si>
    <t>Maintenance of General Plant</t>
  </si>
  <si>
    <t>Total Administrative and General Expenses</t>
  </si>
  <si>
    <t>Total Operating and Maintenance Expenses</t>
  </si>
  <si>
    <t xml:space="preserve">TEST:  = 'AH = total Electric Operating and Maintenance </t>
  </si>
  <si>
    <t>amount should = 0</t>
  </si>
  <si>
    <t>Itemization of General Advertising Expenses - Account 930.1</t>
  </si>
  <si>
    <t>Recruiting/ Advertising</t>
  </si>
  <si>
    <t>Itemization of Miscellaneous General Expenses - Account 930.2</t>
  </si>
  <si>
    <t>Board Compensation and Expenses</t>
  </si>
  <si>
    <t>Formulas updated</t>
  </si>
  <si>
    <t>Statement AI</t>
  </si>
  <si>
    <t xml:space="preserve"> Wages and Salaries</t>
  </si>
  <si>
    <t>Total Transmission Salary Expenses</t>
  </si>
  <si>
    <t>Electric Wages and Salaries</t>
  </si>
  <si>
    <t>Total Administrative and General Salary Expenses</t>
  </si>
  <si>
    <t>Total Operating and Maintenance Salary  Expenses</t>
  </si>
  <si>
    <t>Itemization of General Advertising Salary Expenses - Account 930.1</t>
  </si>
  <si>
    <t>December 31, 1998</t>
  </si>
  <si>
    <t>Itemization of Miscellaneous General Salary Expenses - Account 930.2</t>
  </si>
  <si>
    <t>Board Compensation</t>
  </si>
  <si>
    <t>Statement AJ</t>
  </si>
  <si>
    <t xml:space="preserve">Annual </t>
  </si>
  <si>
    <t>Depreciable</t>
  </si>
  <si>
    <t>of</t>
  </si>
  <si>
    <t>Rate</t>
  </si>
  <si>
    <t>Expense</t>
  </si>
  <si>
    <t>Intangibles</t>
  </si>
  <si>
    <t>TOTAL</t>
  </si>
  <si>
    <t>Statement AK</t>
  </si>
  <si>
    <t>Taxes Other Than Income Taxes</t>
  </si>
  <si>
    <t>Property Taxes</t>
  </si>
  <si>
    <t>EMPLOYER PAYROLL TAXES (2)</t>
  </si>
  <si>
    <t>1999 Workpaper</t>
  </si>
  <si>
    <t>2000 Workpaper</t>
  </si>
  <si>
    <t>Hospital Insurance (Medicare)</t>
  </si>
  <si>
    <t>Old-Age Survivors, and Disability Insurance (FICA)</t>
  </si>
  <si>
    <t>Federal Unemployment Insurance Tax (FUTA)</t>
  </si>
  <si>
    <t>State Unemployment Insurance Tax (SUI)</t>
  </si>
  <si>
    <t>California Employment Training Tax (ETT)</t>
  </si>
  <si>
    <t>Total Employer Payroll Taxes</t>
  </si>
  <si>
    <t>TOTAL TAXES OTHER THAN INCOME</t>
  </si>
  <si>
    <t>Statement AL</t>
  </si>
  <si>
    <t>Working Capital</t>
  </si>
  <si>
    <t>Working</t>
  </si>
  <si>
    <t>Month/Year</t>
  </si>
  <si>
    <t>HIDDEN</t>
  </si>
  <si>
    <t xml:space="preserve">   13-Month Total</t>
  </si>
  <si>
    <t xml:space="preserve">   13-Month Average</t>
  </si>
  <si>
    <t>Statement AM</t>
  </si>
  <si>
    <t>Construction Work in Process</t>
  </si>
  <si>
    <t>?</t>
  </si>
  <si>
    <t xml:space="preserve">Averages for Construction Work in Process are based on a beginning-of-period, </t>
  </si>
  <si>
    <t>Construction Work-in-Progress</t>
  </si>
  <si>
    <t>Software Upgrades</t>
  </si>
  <si>
    <t>Statement AN</t>
  </si>
  <si>
    <t>Date</t>
  </si>
  <si>
    <t>/1</t>
  </si>
  <si>
    <t>Average Balance</t>
  </si>
  <si>
    <t>The note will be paid-off  in January, 1999.</t>
  </si>
  <si>
    <t>Statement AO</t>
  </si>
  <si>
    <t>Rate for Allowance for Funds Used During Construction</t>
  </si>
  <si>
    <t>This Statement was not prepared because the ISO does not intend to request a return</t>
  </si>
  <si>
    <t>on funds used during construction.</t>
  </si>
  <si>
    <t>Statement AP</t>
  </si>
  <si>
    <t>Federal Income Tax Deductions - Interest</t>
  </si>
  <si>
    <t xml:space="preserve">This Statement was not prepared because the ISO is tax-exempt under section </t>
  </si>
  <si>
    <t>501(c)(3) of the Internal Revenue Code.</t>
  </si>
  <si>
    <t>Statement AQ</t>
  </si>
  <si>
    <t>Federal Income Tax Deductions - Other than Interest</t>
  </si>
  <si>
    <t>Statement AR</t>
  </si>
  <si>
    <t>Federal Tax Adjustments</t>
  </si>
  <si>
    <t>Statement AS</t>
  </si>
  <si>
    <t>Additional State Income Tax Deduction</t>
  </si>
  <si>
    <t>Statement AW</t>
  </si>
  <si>
    <t>Cost of Short-term Debt</t>
  </si>
  <si>
    <t>The ISO has not projected short-term debt costs for 2000.</t>
  </si>
  <si>
    <t>Statement AT</t>
  </si>
  <si>
    <t>State Tax Adjustments</t>
  </si>
  <si>
    <t>Statement AX</t>
  </si>
  <si>
    <t>Other Recent and Pending Rate Changes</t>
  </si>
  <si>
    <t>There are no recent or pending rate changes.</t>
  </si>
  <si>
    <t>Statement AY</t>
  </si>
  <si>
    <t>Income and Revenue Tax Rate Data</t>
  </si>
  <si>
    <t>Statement AU</t>
  </si>
  <si>
    <t>Revenue Credits</t>
  </si>
  <si>
    <t>Other Operating Revenue</t>
  </si>
  <si>
    <t>MCI Subscriber Charges</t>
  </si>
  <si>
    <t>WSCC Security Coordinator Fees</t>
  </si>
  <si>
    <t>Phase II Telecommunications Charges</t>
  </si>
  <si>
    <t>Total Operating Revenue (Account 456)</t>
  </si>
  <si>
    <t>Total Revenue Credits</t>
  </si>
  <si>
    <t>Statement AV</t>
  </si>
  <si>
    <t>Cost of Capital</t>
  </si>
  <si>
    <t>Weighted</t>
  </si>
  <si>
    <t>Capitalization</t>
  </si>
  <si>
    <t>Component</t>
  </si>
  <si>
    <t>Ratio</t>
  </si>
  <si>
    <t>Cost</t>
  </si>
  <si>
    <t>Cost of Short-Term Debt</t>
  </si>
  <si>
    <t xml:space="preserve">on an </t>
  </si>
  <si>
    <t>Type of Short-term Financing</t>
  </si>
  <si>
    <t>Annual Basis</t>
  </si>
  <si>
    <t>Line of Credit</t>
  </si>
  <si>
    <t>Total, All Short-Term Debt</t>
  </si>
  <si>
    <t>MAYBE WE USE THE AVERAGE BALANCE INSTEAD OF THE YE BALANCE?</t>
  </si>
  <si>
    <t>Statement BB</t>
  </si>
  <si>
    <t>Allocation Demand and Capability Data</t>
  </si>
  <si>
    <t>In developing the 2000 Grid Management Charge, the ISO forecasted the 2000</t>
  </si>
  <si>
    <t xml:space="preserve">transmission volume to be 216,000,000 MWh. This forecast is based on the projected volume </t>
  </si>
  <si>
    <t xml:space="preserve">scheduled through the ISO.  </t>
  </si>
  <si>
    <t>Statement BG</t>
  </si>
  <si>
    <t>Revenue Data to Reflect Changed Rates</t>
  </si>
  <si>
    <t>The ISO will have only one customer group. The ISO's forecasted revenue</t>
  </si>
  <si>
    <t>requirement for 2000 is $179,280,000. The amount equals the forecasted volume, 216,000,000</t>
  </si>
  <si>
    <t xml:space="preserve">MWh, times the Grid Management Charge of $0.8300. </t>
  </si>
  <si>
    <t>Statement BH</t>
  </si>
  <si>
    <t>Revenue Data to Reflect Present Rates</t>
  </si>
  <si>
    <t>Statement BJ</t>
  </si>
  <si>
    <t>Summary Data Tables</t>
  </si>
  <si>
    <t>Data</t>
  </si>
  <si>
    <t>Item</t>
  </si>
  <si>
    <t>Table</t>
  </si>
  <si>
    <t>Source</t>
  </si>
  <si>
    <t>Total Plant in Service</t>
  </si>
  <si>
    <t>Intangible Plant in Service</t>
  </si>
  <si>
    <t>AD</t>
  </si>
  <si>
    <t>General Plant in Service</t>
  </si>
  <si>
    <t>Intangible Depreciation and Amortization</t>
  </si>
  <si>
    <t>AE</t>
  </si>
  <si>
    <t>General Depreciation and Amortization</t>
  </si>
  <si>
    <t>AG</t>
  </si>
  <si>
    <t>AL</t>
  </si>
  <si>
    <t>Transmission Expense - O&amp;M</t>
  </si>
  <si>
    <t>AH</t>
  </si>
  <si>
    <t>Customer Accounts Expense</t>
  </si>
  <si>
    <t>Customer Service &amp; Information Expense</t>
  </si>
  <si>
    <t>Administration and General Expense</t>
  </si>
  <si>
    <t>Customer Accounts Expense - Labor</t>
  </si>
  <si>
    <t>AI</t>
  </si>
  <si>
    <t>Customer Service &amp; Information Expense - Labor</t>
  </si>
  <si>
    <t>Administration and General Expense - Labor</t>
  </si>
  <si>
    <t>General - Depreciation Expense</t>
  </si>
  <si>
    <t>AJ</t>
  </si>
  <si>
    <t>Intangibles - Depreciation Expense</t>
  </si>
  <si>
    <t>Employer Payroll Tax</t>
  </si>
  <si>
    <t>AK</t>
  </si>
  <si>
    <t>Other Tax</t>
  </si>
  <si>
    <t>Other Operating Revenues</t>
  </si>
  <si>
    <t>AU</t>
  </si>
  <si>
    <t>AV</t>
  </si>
  <si>
    <t>Statement BK</t>
  </si>
  <si>
    <t>Electric Utility Department Cost of Service, Total and as Allocated</t>
  </si>
  <si>
    <t>Add: Operating Expenses</t>
  </si>
  <si>
    <t>Add: Debt Service Funding</t>
  </si>
  <si>
    <t>Add: Coverage Requirement</t>
  </si>
  <si>
    <t>Less: Interest Earnings on Operating Funds</t>
  </si>
  <si>
    <t>Less: MCI Subscriber Charges</t>
  </si>
  <si>
    <t>Less: WSCC Security Coordinator Fees</t>
  </si>
  <si>
    <t>Less: Phase II Telecommunications Charges</t>
  </si>
  <si>
    <t>Total Revenue Requirement</t>
  </si>
  <si>
    <t>Amortization of Utility Plant</t>
  </si>
  <si>
    <t>Add: Depreciation Expenses</t>
  </si>
  <si>
    <t>Add: Amortization Expenses</t>
  </si>
  <si>
    <t>Increase in customer accounts receivable</t>
  </si>
  <si>
    <t>Decrease in bonds payable</t>
  </si>
  <si>
    <t>Add: Interest Income</t>
  </si>
  <si>
    <t>Less: Interest Expense</t>
  </si>
  <si>
    <t>Subtotal</t>
  </si>
  <si>
    <t>Less: Debt Service Funding</t>
  </si>
  <si>
    <t>Cash, January 1</t>
  </si>
  <si>
    <t>Cash, December 31</t>
  </si>
  <si>
    <t/>
  </si>
  <si>
    <t>PRINT MACROS</t>
  </si>
  <si>
    <t>{EDIT-GOTO "AA";;"RANGE"}</t>
  </si>
  <si>
    <t>{PRINT "SELECTION";1;9999;1;1}</t>
  </si>
  <si>
    <t>{EDIT-GOTO "AB";;"RANGE"}</t>
  </si>
  <si>
    <t>{EDIT-GOTO "AC";;"RANGE"}</t>
  </si>
  <si>
    <t>{EDIT-GOTO "AD";;"RANGE"}</t>
  </si>
  <si>
    <t>{EDIT-GOTO "AD AE WP";;"RANGE"}</t>
  </si>
  <si>
    <t>{EDIT-GOTO "AE";;"RANGE"}</t>
  </si>
  <si>
    <t>{EDIT-GOTO "AF";;"RANGE"}</t>
  </si>
  <si>
    <t>Footer should be</t>
  </si>
  <si>
    <t>{EDIT-GOTO "AG";;"RANGE"}</t>
  </si>
  <si>
    <t>Sheet 1 of 2</t>
  </si>
  <si>
    <t xml:space="preserve">Sheet 2 of 2 </t>
  </si>
  <si>
    <t>below</t>
  </si>
  <si>
    <t>{EDIT-GOTO "AG WP";;"RANGE"}</t>
  </si>
  <si>
    <t>{EDIT-GOTO "10";;"RANGE"}</t>
  </si>
  <si>
    <t>{EDIT-GOTO "11";;"RANGE"}</t>
  </si>
  <si>
    <t>{EDIT-GOTO "AH";;"RANGE"}</t>
  </si>
  <si>
    <t>{EDIT-GOTO "12";;"RANGE"}</t>
  </si>
  <si>
    <t>{EDIT-GOTO "13";;"RANGE"}</t>
  </si>
  <si>
    <t>{EDIT-GOTO "AI";;"RANGE"}</t>
  </si>
  <si>
    <t>{EDIT-GOTO "AI WP";;"RANGE"}</t>
  </si>
  <si>
    <t>{EDIT-GOTO "AI WP 2";;"RANGE"}</t>
  </si>
  <si>
    <t>{EDIT-GOTO "AJ";;"RANGE"}</t>
  </si>
  <si>
    <t>{EDIT-GOTO "AK";;"RANGE"}</t>
  </si>
  <si>
    <t>{EDIT-GOTO "AL";;"RANGE"}</t>
  </si>
  <si>
    <t>{EDIT-GOTO "AM";;"RANGE"}</t>
  </si>
  <si>
    <t>{EDIT-GOTO "AN";;"RANGE"}</t>
  </si>
  <si>
    <t>{EDIT-GOTO "AU";;"RANGE"}</t>
  </si>
  <si>
    <t>{EDIT-GOTO "AV";;"RANGE"}</t>
  </si>
  <si>
    <t>{EDIT-GOTO "AW";;"RANGE"}</t>
  </si>
  <si>
    <t>Sheet 1 of 3</t>
  </si>
  <si>
    <t>Sheet 2 of 3</t>
  </si>
  <si>
    <t>Sheet 3 of 3</t>
  </si>
  <si>
    <t>{EDIT-GOTO "BJ";;"RANGE"}</t>
  </si>
  <si>
    <t>{EDIT-GOTO "BK";;"RANGE"}</t>
  </si>
  <si>
    <t>{EDIT-GOTO "2";;"RANGE"}</t>
  </si>
  <si>
    <t>{EDIT-GOTO "3";;"RANGE"}</t>
  </si>
  <si>
    <t>{EDIT-GOTO "1";;"RANGE"}</t>
  </si>
  <si>
    <t>{EDIT-GOTO "5";;"RANGE"}</t>
  </si>
  <si>
    <t>{EDIT-GOTO "6";;"RANGE"}</t>
  </si>
  <si>
    <t>{EDIT-GOTO "4";;"RANGE"}</t>
  </si>
  <si>
    <t>{EDIT-GOTO "8";;"RANGE"}</t>
  </si>
  <si>
    <t>{EDIT-GOTO "9";;"RANGE"}</t>
  </si>
  <si>
    <t>{EDIT-GOTO "7";;"RANGE"}</t>
  </si>
  <si>
    <t>{EDIT-GOTO "LOG";;"RANGE"}</t>
  </si>
  <si>
    <t>{EDIT-GOTO "PAYROLL EXPENSE";;"RANGE"}</t>
  </si>
  <si>
    <t>{EDIT-GOTO "1997 EXP";;"RANGE"}</t>
  </si>
  <si>
    <t>{EDIT-GOTO "ASSETS";;"RANGE"}</t>
  </si>
  <si>
    <t>{EDIT-GOTO "STMT AH DETAIL";;"RANGE"}</t>
  </si>
  <si>
    <t>WORKPAPERS</t>
  </si>
  <si>
    <t>Statements AD and AE - Workpaper</t>
  </si>
  <si>
    <t>Amortization/</t>
  </si>
  <si>
    <t>Jan - Mar</t>
  </si>
  <si>
    <t>Capital Additions</t>
  </si>
  <si>
    <t>Rate 1/</t>
  </si>
  <si>
    <t>Expenses</t>
  </si>
  <si>
    <t>Infrastructure</t>
  </si>
  <si>
    <t>Capital</t>
  </si>
  <si>
    <t>Start-up</t>
  </si>
  <si>
    <t>Intangible Assets:</t>
  </si>
  <si>
    <t>ISO Start-up Costs</t>
  </si>
  <si>
    <t>ISO Corporation Start-up Costs</t>
  </si>
  <si>
    <t>ISO Trust Start-up Costs</t>
  </si>
  <si>
    <t>Computing Equipment Services</t>
  </si>
  <si>
    <t>Communication Equipment Svces</t>
  </si>
  <si>
    <t>Total Account 301</t>
  </si>
  <si>
    <t>Miscellaneous Intangible Plant</t>
  </si>
  <si>
    <t>Software</t>
  </si>
  <si>
    <t>Power Management Systems</t>
  </si>
  <si>
    <t>Scheduling and Business Sys</t>
  </si>
  <si>
    <t>Metering Systems</t>
  </si>
  <si>
    <t>Information Security</t>
  </si>
  <si>
    <t>EDMS</t>
  </si>
  <si>
    <t>Document Warehousing</t>
  </si>
  <si>
    <t>Market Surveillance</t>
  </si>
  <si>
    <t>Mapboard Software</t>
  </si>
  <si>
    <t>Total Account 303</t>
  </si>
  <si>
    <t>Total Intangible Assets</t>
  </si>
  <si>
    <t>General Assets:</t>
  </si>
  <si>
    <t>Structures and Improvements</t>
  </si>
  <si>
    <t>Leasehold Improvements</t>
  </si>
  <si>
    <t>Total Account 390</t>
  </si>
  <si>
    <t>Office Furniture and Equipment</t>
  </si>
  <si>
    <t>Hardware</t>
  </si>
  <si>
    <t>Balance of Business Systems</t>
  </si>
  <si>
    <t>Mapboard and Video System</t>
  </si>
  <si>
    <t>Furniture</t>
  </si>
  <si>
    <t>Total Account 391</t>
  </si>
  <si>
    <t>Field Vehicles</t>
  </si>
  <si>
    <t>Other Tangible Property</t>
  </si>
  <si>
    <t>SI/SA System</t>
  </si>
  <si>
    <t>ACC Upgrades</t>
  </si>
  <si>
    <t>Total Account 399</t>
  </si>
  <si>
    <t>Total General Assets</t>
  </si>
  <si>
    <t>Totals</t>
  </si>
  <si>
    <t xml:space="preserve">1/ </t>
  </si>
  <si>
    <t>The amortization and depreciation rates are calculated by dividing the average balances by their respective</t>
  </si>
  <si>
    <t>depreciation expenses.</t>
  </si>
  <si>
    <t>Hardware:</t>
  </si>
  <si>
    <t>Scheduling Infrastructure</t>
  </si>
  <si>
    <t>Scheduling Applications</t>
  </si>
  <si>
    <t>Information Equipment</t>
  </si>
  <si>
    <t>Facilities Equipment</t>
  </si>
  <si>
    <t>Total Hardware</t>
  </si>
  <si>
    <t>Communication Infrastructure and Equipment</t>
  </si>
  <si>
    <t>Computing Infrastructure and Equipment</t>
  </si>
  <si>
    <t>Total Infrastructure</t>
  </si>
  <si>
    <t>Software:</t>
  </si>
  <si>
    <t>Total Software</t>
  </si>
  <si>
    <t>Organizational and 'Startup Costs</t>
  </si>
  <si>
    <t>Corporate Expenses</t>
  </si>
  <si>
    <t>Legal and Regulatory Expenses</t>
  </si>
  <si>
    <t>Total Intangible</t>
  </si>
  <si>
    <t>BALANCES ARE SHOWN IN GROSS</t>
  </si>
  <si>
    <t>Miscellaneous Deferred Debits</t>
  </si>
  <si>
    <t>Total Assets</t>
  </si>
  <si>
    <t>Miscellaneous Amortization</t>
  </si>
  <si>
    <t>Total 1998 CAPEX and increases to Def. Debit Accounts</t>
  </si>
  <si>
    <t>DONE</t>
  </si>
  <si>
    <t>Phase II Software Enhancements</t>
  </si>
  <si>
    <t>Shared Systems Software</t>
  </si>
  <si>
    <t>Generator Com Project</t>
  </si>
  <si>
    <t>Others</t>
  </si>
  <si>
    <t>Commucation Equipment</t>
  </si>
  <si>
    <t>ISO Communication Equipment</t>
  </si>
  <si>
    <t>Communication Systems</t>
  </si>
  <si>
    <t>Work-in-process</t>
  </si>
  <si>
    <t>Statement AG - Workpaper</t>
  </si>
  <si>
    <t>Total debt issuance costs, Beginning of Year</t>
  </si>
  <si>
    <t>Amortization period</t>
  </si>
  <si>
    <t>10 years, or 120 months</t>
  </si>
  <si>
    <t>Date of issuance</t>
  </si>
  <si>
    <t>Months of amortization in current year</t>
  </si>
  <si>
    <t>1998 Amortization expenses charged to account 428,</t>
  </si>
  <si>
    <t>Net Unamortized Debt Expense at End of Prior Year</t>
  </si>
  <si>
    <t>Statement AH - Workpaper</t>
  </si>
  <si>
    <t>Department</t>
  </si>
  <si>
    <t>Amounts</t>
  </si>
  <si>
    <t>1</t>
  </si>
  <si>
    <t>2</t>
  </si>
  <si>
    <t>Building, Leases &amp; Facility</t>
  </si>
  <si>
    <t>3</t>
  </si>
  <si>
    <t>5</t>
  </si>
  <si>
    <t>6</t>
  </si>
  <si>
    <t>Legal, Regulatory and Audit</t>
  </si>
  <si>
    <t>7</t>
  </si>
  <si>
    <t xml:space="preserve">Total Account 560 </t>
  </si>
  <si>
    <t>8</t>
  </si>
  <si>
    <t>9</t>
  </si>
  <si>
    <t>10</t>
  </si>
  <si>
    <t>Total Account 561</t>
  </si>
  <si>
    <t>Total Account 566</t>
  </si>
  <si>
    <t>Total Account 568</t>
  </si>
  <si>
    <t>Total Account 920</t>
  </si>
  <si>
    <t>Total Account 921</t>
  </si>
  <si>
    <t>Total Operations Department</t>
  </si>
  <si>
    <t>Customer Service</t>
  </si>
  <si>
    <t>Total Account 901</t>
  </si>
  <si>
    <t>Total Account 902</t>
  </si>
  <si>
    <t>Total Account 903</t>
  </si>
  <si>
    <t>Total Account 905</t>
  </si>
  <si>
    <t>Total Account 907</t>
  </si>
  <si>
    <t>Total Account 908</t>
  </si>
  <si>
    <t>Total Customer Service Department</t>
  </si>
  <si>
    <t>Miscellaneous Customer Account Expenses</t>
  </si>
  <si>
    <t>Total Account 923</t>
  </si>
  <si>
    <t>Total Account 924</t>
  </si>
  <si>
    <t>Total Account 925</t>
  </si>
  <si>
    <t>Total Account 935</t>
  </si>
  <si>
    <t>Total Finance Department</t>
  </si>
  <si>
    <t>Human Resouces/Executive</t>
  </si>
  <si>
    <t>Total Account 930</t>
  </si>
  <si>
    <t>Total Account 931</t>
  </si>
  <si>
    <t>Total Human Resources/Executive Departments</t>
  </si>
  <si>
    <t>Information Technology</t>
  </si>
  <si>
    <t>Meter Reading</t>
  </si>
  <si>
    <t>Total Information Technology Department</t>
  </si>
  <si>
    <t>Regulatory Affairs/Chief Counsel</t>
  </si>
  <si>
    <t>Total Account 909</t>
  </si>
  <si>
    <t>Total Account 928</t>
  </si>
  <si>
    <t>Total Regulatory Affairs/General Counsel Department</t>
  </si>
  <si>
    <t>Total Operating and Maintenance Expense</t>
  </si>
  <si>
    <t>Statement AI - Workpaper</t>
  </si>
  <si>
    <t>Wages and Salaries</t>
  </si>
  <si>
    <t>Acct. Totals</t>
  </si>
  <si>
    <t>Total Account 560</t>
  </si>
  <si>
    <t>Human Resources/Executive</t>
  </si>
  <si>
    <t>Information</t>
  </si>
  <si>
    <t>Total Operating and</t>
  </si>
  <si>
    <t xml:space="preserve">  Maintenance Salary Expense</t>
  </si>
  <si>
    <t>Check:</t>
  </si>
  <si>
    <t>SET OF BOOKS ID</t>
  </si>
  <si>
    <t>FF SEGMENT 1</t>
  </si>
  <si>
    <t>Company</t>
  </si>
  <si>
    <t>FF APP COL NAME 1</t>
  </si>
  <si>
    <t>SEGMENT1</t>
  </si>
  <si>
    <t>LOW SEG 1</t>
  </si>
  <si>
    <t>HIGH SEG 1</t>
  </si>
  <si>
    <t>SORT ORDER 1</t>
  </si>
  <si>
    <t>DIRECTION 1</t>
  </si>
  <si>
    <t>FF SEG DESC 1</t>
  </si>
  <si>
    <t>SET OF BOOKS NAME</t>
  </si>
  <si>
    <t>California ISO</t>
  </si>
  <si>
    <t>FF SEGMENT 2</t>
  </si>
  <si>
    <t>FF APP COL NAME 2</t>
  </si>
  <si>
    <t>SEGMENT2</t>
  </si>
  <si>
    <t>LOW SEG 2</t>
  </si>
  <si>
    <t>HIGH SEG 2</t>
  </si>
  <si>
    <t>SORT ORDER 2</t>
  </si>
  <si>
    <t>DIRECTION 2</t>
  </si>
  <si>
    <t>FF SEG DESC 2</t>
  </si>
  <si>
    <t>CHART OF ACCOUNTS ID</t>
  </si>
  <si>
    <t>FF SEGMENT 3</t>
  </si>
  <si>
    <t>Cost Center</t>
  </si>
  <si>
    <t>FF APP COL NAME 3</t>
  </si>
  <si>
    <t>SEGMENT3</t>
  </si>
  <si>
    <t>LOW SEG 3</t>
  </si>
  <si>
    <t>1400</t>
  </si>
  <si>
    <t>HIGH SEG 3</t>
  </si>
  <si>
    <t>1464</t>
  </si>
  <si>
    <t>SORT ORDER 3</t>
  </si>
  <si>
    <t>DIRECTION 3</t>
  </si>
  <si>
    <t>FF SEG DESC 3</t>
  </si>
  <si>
    <t>PERIOD SET NAME</t>
  </si>
  <si>
    <t>Accounting</t>
  </si>
  <si>
    <t>FF SEGMENT 4</t>
  </si>
  <si>
    <t>Future1</t>
  </si>
  <si>
    <t>FF APP COL NAME 4</t>
  </si>
  <si>
    <t>SEGMENT4</t>
  </si>
  <si>
    <t>LOW SEG 4</t>
  </si>
  <si>
    <t>HIGH SEG 4</t>
  </si>
  <si>
    <t>SORT ORDER 4</t>
  </si>
  <si>
    <t>DIRECTION 4</t>
  </si>
  <si>
    <t>FF SEG DESC 4</t>
  </si>
  <si>
    <t>ACCOUNTED PERIOD TYPE</t>
  </si>
  <si>
    <t>FF SEGMENT 5</t>
  </si>
  <si>
    <t>Future2</t>
  </si>
  <si>
    <t>FF APP COL NAME 5</t>
  </si>
  <si>
    <t>SEGMENT5</t>
  </si>
  <si>
    <t>LOW SEG 5</t>
  </si>
  <si>
    <t>HIGH SEG 5</t>
  </si>
  <si>
    <t>SORT ORDER 5</t>
  </si>
  <si>
    <t>DIRECTION 5</t>
  </si>
  <si>
    <t>FF SEG DESC 5</t>
  </si>
  <si>
    <t>RESPONSIBILITY NAME</t>
  </si>
  <si>
    <t>General Ledger Budget Supervisor GUI</t>
  </si>
  <si>
    <t>RESP APPLICATION ID</t>
  </si>
  <si>
    <t>RESPONSIBILITY ID</t>
  </si>
  <si>
    <t>DATABASE USERNAME</t>
  </si>
  <si>
    <t>APPS</t>
  </si>
  <si>
    <t>CONNECT STRING</t>
  </si>
  <si>
    <t>P001</t>
  </si>
  <si>
    <t>APPLICATIONS USERNAME</t>
  </si>
  <si>
    <t>pleiber</t>
  </si>
  <si>
    <t>NO OF FF SEGMENTS</t>
  </si>
  <si>
    <t>BUDGET NAME</t>
  </si>
  <si>
    <t>BUDGET2000</t>
  </si>
  <si>
    <t>BUDGET ORGANIZATION</t>
  </si>
  <si>
    <t>BUDGET ENTITY ID</t>
  </si>
  <si>
    <t>BUDGET CURRENCY</t>
  </si>
  <si>
    <t>USD</t>
  </si>
  <si>
    <t>START PERIOD NAME</t>
  </si>
  <si>
    <t>JAN-00</t>
  </si>
  <si>
    <t>START PERIOD NUM</t>
  </si>
  <si>
    <t>END PERIOD NAME</t>
  </si>
  <si>
    <t>DEC-00</t>
  </si>
  <si>
    <t>END PERIOD NUM</t>
  </si>
  <si>
    <t>PERIOD YEAR</t>
  </si>
  <si>
    <t>NUMBER OF PERIODS - CALCULATED</t>
  </si>
  <si>
    <t>BUDGET VERSION ID</t>
  </si>
  <si>
    <t>OUTPUT OPTION</t>
  </si>
  <si>
    <t>CREATE GRAPH</t>
  </si>
  <si>
    <t>ACCOUNT SEGMENT</t>
  </si>
  <si>
    <t>UPDATE LOGIC TYPE</t>
  </si>
  <si>
    <t>REPLACE</t>
  </si>
  <si>
    <t>REQ BUDGET JOURNALS</t>
  </si>
  <si>
    <t>N</t>
  </si>
  <si>
    <t>BUDGET STATUS</t>
  </si>
  <si>
    <t>O</t>
  </si>
  <si>
    <t>APPLICATIONS USERNAME ID</t>
  </si>
  <si>
    <t>BUDGET ORG FROZEN</t>
  </si>
  <si>
    <t>DELETE LOGIC TYPE</t>
  </si>
  <si>
    <t>P</t>
  </si>
  <si>
    <t>ROWS TO UPLOAD</t>
  </si>
  <si>
    <t>Y</t>
  </si>
  <si>
    <t>START BUDGET POST</t>
  </si>
  <si>
    <t>NE</t>
  </si>
  <si>
    <t>FNDNAM</t>
  </si>
  <si>
    <t>GWYUID</t>
  </si>
  <si>
    <t>APPLSYSPUB/PUB</t>
  </si>
  <si>
    <t>DB NAME</t>
  </si>
  <si>
    <t>Production P001</t>
  </si>
  <si>
    <t>FF SEG SEPARATOR</t>
  </si>
  <si>
    <t>.</t>
  </si>
  <si>
    <t>PASSWORD REQUIRED</t>
  </si>
  <si>
    <t>BUDGET GRAPH STYLE</t>
  </si>
  <si>
    <t>3DCOLUMN</t>
  </si>
  <si>
    <t>NUMBER OF DECIMAL PLACES</t>
  </si>
  <si>
    <t>INCLUDE BUDGETS ON GRAPH</t>
  </si>
  <si>
    <t>INCLUDE ACTUALS ON GRAPH</t>
  </si>
  <si>
    <t>INCLUDE VARIANCES ON GRAPH</t>
  </si>
  <si>
    <t>INCLUDE CORRESPONDING VALUES ON GRAPH</t>
  </si>
  <si>
    <t>CRITERIA BACK COLOUR</t>
  </si>
  <si>
    <t>CRITERIA BORDER COLOUR</t>
  </si>
  <si>
    <t>CRITERIA FORE COLOUR</t>
  </si>
  <si>
    <t>READ ONLY BACK COLOUR</t>
  </si>
  <si>
    <t>READ WRITE BACK COLOUR</t>
  </si>
  <si>
    <t>HEADINGS BACK COLOUR</t>
  </si>
  <si>
    <t>HEADINGS FORE COLOUR</t>
  </si>
  <si>
    <t>INCLUDE GL TITLES ON GRAPHS</t>
  </si>
  <si>
    <t>SHOW CRITERIA SHEET</t>
  </si>
  <si>
    <t>MINIMUM VALUE WIDTH</t>
  </si>
  <si>
    <t>START PERIOD YEAR</t>
  </si>
  <si>
    <t>END PERIOD YEAR</t>
  </si>
  <si>
    <t>Total Operations</t>
  </si>
  <si>
    <t>Total Customer Service</t>
  </si>
  <si>
    <t>Total Finance</t>
  </si>
  <si>
    <t>Total Human Resources/Executive</t>
  </si>
  <si>
    <t>Total Information</t>
  </si>
  <si>
    <t>Regulatory Affairs/General Counsel</t>
  </si>
  <si>
    <t>Total Regulatory Affairs/Chief Counsel</t>
  </si>
  <si>
    <t>Total Operating and Maintenance</t>
  </si>
  <si>
    <t xml:space="preserve">  Salary Expense</t>
  </si>
  <si>
    <t>ISO Budget to FERC Account Reconciliation</t>
  </si>
  <si>
    <t>ATTACHMENT D</t>
  </si>
  <si>
    <t>Third</t>
  </si>
  <si>
    <t>Salaries</t>
  </si>
  <si>
    <t>Bldg,</t>
  </si>
  <si>
    <t>Party</t>
  </si>
  <si>
    <t>Prof &amp;</t>
  </si>
  <si>
    <t>Training,</t>
  </si>
  <si>
    <t>Amount By</t>
  </si>
  <si>
    <t>and</t>
  </si>
  <si>
    <t>Leases &amp;</t>
  </si>
  <si>
    <t>Vendor</t>
  </si>
  <si>
    <t>Cons</t>
  </si>
  <si>
    <t>Legal &amp;</t>
  </si>
  <si>
    <t>Travel &amp;</t>
  </si>
  <si>
    <t xml:space="preserve">Benefits  </t>
  </si>
  <si>
    <t>Fac Costs</t>
  </si>
  <si>
    <t>Contract</t>
  </si>
  <si>
    <t>Svcs</t>
  </si>
  <si>
    <t>Regulatory</t>
  </si>
  <si>
    <t>Prof Dues</t>
  </si>
  <si>
    <t>Fees</t>
  </si>
  <si>
    <t>Transmission Expenses</t>
  </si>
  <si>
    <t>Customer Accounts Expenses</t>
  </si>
  <si>
    <t>Administrative and General Expenses</t>
  </si>
  <si>
    <t>FERC_Account</t>
  </si>
  <si>
    <t>COST_CENTER</t>
  </si>
  <si>
    <t>PARENT</t>
  </si>
  <si>
    <t>EXPENDITURE_CODE</t>
  </si>
  <si>
    <t>Lookup</t>
  </si>
  <si>
    <t>EXPENDITURE_DESCRIPTION</t>
  </si>
  <si>
    <t>Budget2000</t>
  </si>
  <si>
    <t>ACCT DESCIPTION</t>
  </si>
  <si>
    <t>9200010</t>
  </si>
  <si>
    <t>1100</t>
  </si>
  <si>
    <t>Overtime / Call-out Bonuses</t>
  </si>
  <si>
    <t>New Account/Expenditure</t>
  </si>
  <si>
    <t>Tuition Reimbursement</t>
  </si>
  <si>
    <t>Incentive/Spot Bonuses</t>
  </si>
  <si>
    <t>Relocation</t>
  </si>
  <si>
    <t>Housing Allowance</t>
  </si>
  <si>
    <t>Auto Allowance</t>
  </si>
  <si>
    <t>Other Compensation</t>
  </si>
  <si>
    <t>Salaries, including Burden</t>
  </si>
  <si>
    <t>9210010</t>
  </si>
  <si>
    <t>Professional / Membership Dues</t>
  </si>
  <si>
    <t>Transportation and Travel</t>
  </si>
  <si>
    <t>Training Fees / Supplies</t>
  </si>
  <si>
    <t>Conference Fees</t>
  </si>
  <si>
    <t>Client Meetings</t>
  </si>
  <si>
    <t>Office Meetings</t>
  </si>
  <si>
    <t>Office Supplies</t>
  </si>
  <si>
    <t>Office Equipment</t>
  </si>
  <si>
    <t>Publications / Subscriptions</t>
  </si>
  <si>
    <t>Printing Services</t>
  </si>
  <si>
    <t>Telephone</t>
  </si>
  <si>
    <t>Postage / Courier</t>
  </si>
  <si>
    <t>Contingency (Budget Only)</t>
  </si>
  <si>
    <t>9230010</t>
  </si>
  <si>
    <t>Consultants</t>
  </si>
  <si>
    <t>Legal Audit</t>
  </si>
  <si>
    <t>Other Contracts / Services</t>
  </si>
  <si>
    <t>4</t>
  </si>
  <si>
    <t>Temporary / Contract Staff</t>
  </si>
  <si>
    <t>9300110</t>
  </si>
  <si>
    <t>Advertising</t>
  </si>
  <si>
    <t>General Advertising</t>
  </si>
  <si>
    <t>9300251</t>
  </si>
  <si>
    <t>Board Expenses</t>
  </si>
  <si>
    <t>Board Member Expenses</t>
  </si>
  <si>
    <t>9300252</t>
  </si>
  <si>
    <t>Board Member Compensation</t>
  </si>
  <si>
    <t>9310010</t>
  </si>
  <si>
    <t>Rent - Folsom</t>
  </si>
  <si>
    <t>Facility Leases</t>
  </si>
  <si>
    <t>Equipment Leases</t>
  </si>
  <si>
    <t>9350010</t>
  </si>
  <si>
    <t>General Plant Maintenance</t>
  </si>
  <si>
    <t>Facility Operating Expenses</t>
  </si>
  <si>
    <t>Maintenance Contracts - Hardware</t>
  </si>
  <si>
    <t>9010010</t>
  </si>
  <si>
    <t>1300</t>
  </si>
  <si>
    <t>9020010</t>
  </si>
  <si>
    <t>9030010</t>
  </si>
  <si>
    <t>Customer Records and Collection</t>
  </si>
  <si>
    <t>Maintenance Contracts - Software</t>
  </si>
  <si>
    <t>Stakeholder Meetings</t>
  </si>
  <si>
    <t>9050010</t>
  </si>
  <si>
    <t>Miscellaneous Customer Accounts</t>
  </si>
  <si>
    <t>Bank Fees</t>
  </si>
  <si>
    <t>9240010</t>
  </si>
  <si>
    <t>Insurance Premiums</t>
  </si>
  <si>
    <t>9250010</t>
  </si>
  <si>
    <t>Injuries and Damages Insurance</t>
  </si>
  <si>
    <t>9280010</t>
  </si>
  <si>
    <t>9300210</t>
  </si>
  <si>
    <t>Bank Service Fees</t>
  </si>
  <si>
    <t>9300240</t>
  </si>
  <si>
    <t>Unbudgeted/Non-cash</t>
  </si>
  <si>
    <t>5610010</t>
  </si>
  <si>
    <t>MCI Contract</t>
  </si>
  <si>
    <t>5680010</t>
  </si>
  <si>
    <t>Vehicle Costs</t>
  </si>
  <si>
    <t>1411</t>
  </si>
  <si>
    <t>IBM Contract</t>
  </si>
  <si>
    <t>5600010</t>
  </si>
  <si>
    <t>1500</t>
  </si>
  <si>
    <t>Working Holiday Allowance</t>
  </si>
  <si>
    <t>Hardware Equipment</t>
  </si>
  <si>
    <t>1600</t>
  </si>
  <si>
    <t>9280011</t>
  </si>
  <si>
    <t>1700</t>
  </si>
  <si>
    <t>Customer Accounts Supervision</t>
  </si>
  <si>
    <t>9080010</t>
  </si>
  <si>
    <t>Customer Assistance</t>
  </si>
  <si>
    <t>Expenditure Code</t>
  </si>
  <si>
    <t>Parent</t>
  </si>
  <si>
    <t>Parent Exp. Code</t>
  </si>
  <si>
    <t>Parent Exp. Desc.</t>
  </si>
  <si>
    <t>For Future Use</t>
  </si>
  <si>
    <t>0</t>
  </si>
  <si>
    <t>Salaries - Regular</t>
  </si>
  <si>
    <t>Building, Lease &amp; Facility</t>
  </si>
  <si>
    <t>Insurance &amp; Interest</t>
  </si>
  <si>
    <t>Professional &amp; Consulting Services</t>
  </si>
  <si>
    <t>Legal &amp; Audit</t>
  </si>
  <si>
    <t>Training and Travel &amp; Professional Dues</t>
  </si>
  <si>
    <t>Merit increases (budget only)</t>
  </si>
  <si>
    <t>Employer Payroll Taxes</t>
  </si>
  <si>
    <t>Loan Charges</t>
  </si>
  <si>
    <t>Open</t>
  </si>
  <si>
    <t>Taxes</t>
  </si>
  <si>
    <t>Depreciation / Amortization</t>
  </si>
  <si>
    <t>Market Activity</t>
  </si>
  <si>
    <t>Revenue</t>
  </si>
  <si>
    <t>Other Revenue</t>
  </si>
  <si>
    <t>Statement BA</t>
  </si>
  <si>
    <t>Wholesale Customer Groups</t>
  </si>
  <si>
    <t>The ISO will have only one customer group. All of the ISO's customers, whether</t>
  </si>
  <si>
    <t>wholesale or retail, will pay the same rate, which will be the Grid management Charge (GMC).</t>
  </si>
  <si>
    <t>Costs will be allocated to the ISO's customers based on volume transmitted on or through the ISO</t>
  </si>
  <si>
    <t>Grid.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</si>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</sst>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2E858-DA5F-47DF-AF4F-DBD175614A78}">
  <dimension ref="A1:O156"/>
  <sheetViews>
    <sheetView tabSelected="1" workbookViewId="0"/>
  </sheetViews>
  <sheetFormatPr defaultRowHeight="15" x14ac:dyDescent="0.25"/>
  <sheetData>
    <row r="1" spans="1:15" x14ac:dyDescent="0.25">
      <c r="B1" t="s">
        <v>0</v>
      </c>
    </row>
    <row r="3" spans="1:15" x14ac:dyDescent="0.25">
      <c r="M3" t="s">
        <v>1</v>
      </c>
    </row>
    <row r="4" spans="1:15" x14ac:dyDescent="0.25">
      <c r="A4" t="s">
        <v>2</v>
      </c>
      <c r="M4" t="s">
        <v>3</v>
      </c>
    </row>
    <row r="5" spans="1:15" x14ac:dyDescent="0.25">
      <c r="A5" t="s">
        <v>4</v>
      </c>
      <c r="B5" t="s">
        <v>5</v>
      </c>
      <c r="C5">
        <v>36160</v>
      </c>
      <c r="E5">
        <v>36525</v>
      </c>
      <c r="H5">
        <v>36525</v>
      </c>
      <c r="J5" t="s">
        <v>6</v>
      </c>
      <c r="L5" t="s">
        <v>7</v>
      </c>
      <c r="M5" t="s">
        <v>8</v>
      </c>
      <c r="N5" t="s">
        <v>9</v>
      </c>
      <c r="O5" t="s">
        <v>10</v>
      </c>
    </row>
    <row r="6" spans="1:15" x14ac:dyDescent="0.25">
      <c r="C6" t="s">
        <v>11</v>
      </c>
      <c r="E6" t="s">
        <v>11</v>
      </c>
      <c r="H6" t="s">
        <v>12</v>
      </c>
      <c r="J6" t="s">
        <v>13</v>
      </c>
    </row>
    <row r="7" spans="1:15" x14ac:dyDescent="0.25">
      <c r="B7" t="s">
        <v>14</v>
      </c>
    </row>
    <row r="8" spans="1:15" x14ac:dyDescent="0.25">
      <c r="B8" t="s">
        <v>15</v>
      </c>
    </row>
    <row r="9" spans="1:15" x14ac:dyDescent="0.25">
      <c r="A9">
        <v>101</v>
      </c>
      <c r="B9" t="s">
        <v>16</v>
      </c>
      <c r="C9">
        <f>SUM(C71:C79)-C10</f>
        <v>0</v>
      </c>
      <c r="E9" t="e">
        <f>SUM(E71:E79)-E10</f>
        <v>#VALUE!</v>
      </c>
      <c r="F9" t="s">
        <v>17</v>
      </c>
      <c r="H9" t="e">
        <f>SUM(H71:H79)-H10</f>
        <v>#VALUE!</v>
      </c>
      <c r="J9" t="e">
        <f>SUM(J71:J79)-J10</f>
        <v>#VALUE!</v>
      </c>
      <c r="K9" t="s">
        <v>18</v>
      </c>
      <c r="L9" t="s">
        <v>19</v>
      </c>
      <c r="N9" t="s">
        <v>20</v>
      </c>
    </row>
    <row r="10" spans="1:15" x14ac:dyDescent="0.25">
      <c r="A10">
        <v>101.1</v>
      </c>
      <c r="B10" t="s">
        <v>21</v>
      </c>
      <c r="E10" t="s">
        <v>22</v>
      </c>
      <c r="F10" t="s">
        <v>23</v>
      </c>
      <c r="H10" t="s">
        <v>22</v>
      </c>
      <c r="J10" t="s">
        <v>22</v>
      </c>
      <c r="K10" t="s">
        <v>24</v>
      </c>
      <c r="L10" t="s">
        <v>25</v>
      </c>
      <c r="N10" t="s">
        <v>20</v>
      </c>
    </row>
    <row r="11" spans="1:15" x14ac:dyDescent="0.25">
      <c r="A11">
        <v>107</v>
      </c>
      <c r="B11" t="s">
        <v>26</v>
      </c>
      <c r="C11" t="s">
        <v>22</v>
      </c>
      <c r="E11">
        <v>0</v>
      </c>
      <c r="K11" t="s">
        <v>27</v>
      </c>
      <c r="L11" t="s">
        <v>28</v>
      </c>
      <c r="N11" t="s">
        <v>29</v>
      </c>
      <c r="O11" t="s">
        <v>30</v>
      </c>
    </row>
    <row r="12" spans="1:15" x14ac:dyDescent="0.25">
      <c r="A12">
        <v>108</v>
      </c>
      <c r="B12" t="s">
        <v>31</v>
      </c>
      <c r="C12">
        <f>C86</f>
        <v>0</v>
      </c>
      <c r="E12">
        <f>E86+C12</f>
        <v>0</v>
      </c>
      <c r="F12" t="s">
        <v>32</v>
      </c>
      <c r="K12" t="s">
        <v>33</v>
      </c>
      <c r="L12" t="s">
        <v>34</v>
      </c>
      <c r="N12" t="s">
        <v>35</v>
      </c>
    </row>
    <row r="13" spans="1:15" x14ac:dyDescent="0.25">
      <c r="A13">
        <v>111</v>
      </c>
      <c r="B13" t="s">
        <v>36</v>
      </c>
      <c r="C13">
        <f>C87+C96</f>
        <v>0</v>
      </c>
      <c r="E13">
        <f>E96+C13</f>
        <v>0</v>
      </c>
      <c r="F13" t="s">
        <v>37</v>
      </c>
      <c r="H13">
        <v>0</v>
      </c>
      <c r="J13">
        <v>0</v>
      </c>
      <c r="K13" t="s">
        <v>38</v>
      </c>
      <c r="L13" t="s">
        <v>39</v>
      </c>
      <c r="N13" t="s">
        <v>40</v>
      </c>
    </row>
    <row r="15" spans="1:15" x14ac:dyDescent="0.25">
      <c r="B15" t="s">
        <v>41</v>
      </c>
    </row>
    <row r="16" spans="1:15" x14ac:dyDescent="0.25">
      <c r="A16">
        <v>124</v>
      </c>
      <c r="B16" t="s">
        <v>42</v>
      </c>
      <c r="E16">
        <v>0</v>
      </c>
      <c r="J16">
        <v>0</v>
      </c>
      <c r="K16" t="s">
        <v>43</v>
      </c>
      <c r="L16" t="s">
        <v>44</v>
      </c>
    </row>
    <row r="17" spans="1:14" x14ac:dyDescent="0.25">
      <c r="A17">
        <v>125</v>
      </c>
      <c r="B17" t="s">
        <v>45</v>
      </c>
      <c r="E17">
        <v>0</v>
      </c>
      <c r="F17" t="s">
        <v>46</v>
      </c>
      <c r="J17">
        <v>0</v>
      </c>
      <c r="K17" t="s">
        <v>43</v>
      </c>
      <c r="L17" t="s">
        <v>47</v>
      </c>
    </row>
    <row r="18" spans="1:14" x14ac:dyDescent="0.25">
      <c r="A18">
        <v>126</v>
      </c>
      <c r="B18" t="s">
        <v>48</v>
      </c>
      <c r="E18" t="s">
        <v>46</v>
      </c>
      <c r="F18" t="s">
        <v>46</v>
      </c>
      <c r="J18">
        <v>0</v>
      </c>
      <c r="K18" t="s">
        <v>43</v>
      </c>
      <c r="L18" t="s">
        <v>49</v>
      </c>
    </row>
    <row r="19" spans="1:14" x14ac:dyDescent="0.25">
      <c r="A19">
        <v>128</v>
      </c>
      <c r="B19" t="s">
        <v>50</v>
      </c>
      <c r="C19">
        <v>257555</v>
      </c>
      <c r="F19" t="s">
        <v>51</v>
      </c>
      <c r="K19" t="s">
        <v>52</v>
      </c>
      <c r="L19" t="s">
        <v>53</v>
      </c>
    </row>
    <row r="21" spans="1:14" x14ac:dyDescent="0.25">
      <c r="B21" t="s">
        <v>54</v>
      </c>
    </row>
    <row r="22" spans="1:14" x14ac:dyDescent="0.25">
      <c r="A22">
        <v>131</v>
      </c>
      <c r="B22" t="s">
        <v>55</v>
      </c>
      <c r="C22">
        <v>6483</v>
      </c>
      <c r="K22" t="s">
        <v>56</v>
      </c>
      <c r="L22" t="s">
        <v>57</v>
      </c>
    </row>
    <row r="23" spans="1:14" x14ac:dyDescent="0.25">
      <c r="A23">
        <v>132</v>
      </c>
      <c r="B23" t="s">
        <v>58</v>
      </c>
      <c r="C23">
        <v>10500</v>
      </c>
      <c r="F23" t="s">
        <v>59</v>
      </c>
      <c r="K23" t="s">
        <v>60</v>
      </c>
      <c r="L23" t="s">
        <v>61</v>
      </c>
    </row>
    <row r="24" spans="1:14" x14ac:dyDescent="0.25">
      <c r="A24">
        <v>142</v>
      </c>
      <c r="B24" t="s">
        <v>62</v>
      </c>
      <c r="C24">
        <v>36602</v>
      </c>
      <c r="K24" t="s">
        <v>63</v>
      </c>
      <c r="L24" t="s">
        <v>64</v>
      </c>
      <c r="N24" t="s">
        <v>65</v>
      </c>
    </row>
    <row r="25" spans="1:14" x14ac:dyDescent="0.25">
      <c r="A25">
        <v>144</v>
      </c>
      <c r="B25" t="s">
        <v>66</v>
      </c>
      <c r="E25">
        <v>0</v>
      </c>
      <c r="H25">
        <v>0</v>
      </c>
      <c r="J25">
        <v>0</v>
      </c>
      <c r="K25" t="s">
        <v>67</v>
      </c>
      <c r="L25" t="s">
        <v>68</v>
      </c>
      <c r="N25" t="s">
        <v>69</v>
      </c>
    </row>
    <row r="26" spans="1:14" x14ac:dyDescent="0.25">
      <c r="A26">
        <v>165</v>
      </c>
      <c r="B26" t="s">
        <v>70</v>
      </c>
      <c r="C26">
        <v>3109</v>
      </c>
      <c r="K26" t="s">
        <v>71</v>
      </c>
      <c r="L26" t="s">
        <v>72</v>
      </c>
    </row>
    <row r="27" spans="1:14" x14ac:dyDescent="0.25">
      <c r="A27">
        <v>171</v>
      </c>
      <c r="B27" t="s">
        <v>73</v>
      </c>
      <c r="C27">
        <v>0</v>
      </c>
      <c r="E27">
        <v>0</v>
      </c>
      <c r="H27">
        <v>0</v>
      </c>
      <c r="J27">
        <v>0</v>
      </c>
      <c r="K27" t="s">
        <v>74</v>
      </c>
      <c r="L27" t="s">
        <v>75</v>
      </c>
    </row>
    <row r="28" spans="1:14" x14ac:dyDescent="0.25">
      <c r="A28">
        <v>173</v>
      </c>
      <c r="B28" t="s">
        <v>76</v>
      </c>
      <c r="C28">
        <v>0</v>
      </c>
      <c r="E28">
        <v>0</v>
      </c>
      <c r="F28" t="s">
        <v>77</v>
      </c>
      <c r="H28">
        <v>0</v>
      </c>
      <c r="J28">
        <v>0</v>
      </c>
      <c r="K28" t="s">
        <v>78</v>
      </c>
      <c r="L28" t="s">
        <v>79</v>
      </c>
    </row>
    <row r="29" spans="1:14" x14ac:dyDescent="0.25">
      <c r="A29">
        <v>174</v>
      </c>
      <c r="B29" t="s">
        <v>80</v>
      </c>
      <c r="E29">
        <v>0</v>
      </c>
      <c r="H29">
        <v>0</v>
      </c>
      <c r="J29">
        <v>0</v>
      </c>
      <c r="K29" t="s">
        <v>22</v>
      </c>
      <c r="L29" t="s">
        <v>81</v>
      </c>
    </row>
    <row r="31" spans="1:14" x14ac:dyDescent="0.25">
      <c r="B31" t="s">
        <v>82</v>
      </c>
    </row>
    <row r="32" spans="1:14" x14ac:dyDescent="0.25">
      <c r="A32">
        <v>181</v>
      </c>
      <c r="B32" t="s">
        <v>83</v>
      </c>
      <c r="D32" t="s">
        <v>84</v>
      </c>
      <c r="K32" t="s">
        <v>85</v>
      </c>
      <c r="L32" t="s">
        <v>86</v>
      </c>
    </row>
    <row r="33" spans="1:15" x14ac:dyDescent="0.25">
      <c r="A33">
        <v>182.3</v>
      </c>
      <c r="B33" t="s">
        <v>87</v>
      </c>
      <c r="E33">
        <v>0</v>
      </c>
      <c r="H33">
        <v>0</v>
      </c>
      <c r="K33" t="s">
        <v>88</v>
      </c>
      <c r="L33" t="s">
        <v>89</v>
      </c>
      <c r="M33" t="s">
        <v>90</v>
      </c>
      <c r="O33" t="s">
        <v>91</v>
      </c>
    </row>
    <row r="34" spans="1:15" x14ac:dyDescent="0.25">
      <c r="A34">
        <v>186</v>
      </c>
      <c r="B34" t="s">
        <v>92</v>
      </c>
      <c r="C34">
        <v>0</v>
      </c>
      <c r="E34">
        <v>0</v>
      </c>
      <c r="K34" t="s">
        <v>93</v>
      </c>
      <c r="L34" t="s">
        <v>94</v>
      </c>
      <c r="M34" t="s">
        <v>90</v>
      </c>
    </row>
    <row r="36" spans="1:15" x14ac:dyDescent="0.25">
      <c r="B36" t="s">
        <v>95</v>
      </c>
    </row>
    <row r="37" spans="1:15" x14ac:dyDescent="0.25">
      <c r="B37" t="s">
        <v>96</v>
      </c>
    </row>
    <row r="38" spans="1:15" x14ac:dyDescent="0.25">
      <c r="A38">
        <v>215</v>
      </c>
      <c r="B38" t="s">
        <v>97</v>
      </c>
      <c r="E38">
        <v>0</v>
      </c>
      <c r="K38" t="s">
        <v>98</v>
      </c>
      <c r="L38" t="s">
        <v>99</v>
      </c>
    </row>
    <row r="39" spans="1:15" x14ac:dyDescent="0.25">
      <c r="A39">
        <v>216</v>
      </c>
      <c r="B39" t="s">
        <v>100</v>
      </c>
      <c r="C39">
        <v>-42</v>
      </c>
      <c r="K39" t="s">
        <v>101</v>
      </c>
      <c r="L39" t="s">
        <v>99</v>
      </c>
    </row>
    <row r="41" spans="1:15" x14ac:dyDescent="0.25">
      <c r="B41" t="s">
        <v>102</v>
      </c>
    </row>
    <row r="42" spans="1:15" x14ac:dyDescent="0.25">
      <c r="A42">
        <v>221</v>
      </c>
      <c r="B42" t="s">
        <v>103</v>
      </c>
      <c r="C42">
        <v>301400</v>
      </c>
      <c r="K42" t="s">
        <v>104</v>
      </c>
      <c r="L42" t="s">
        <v>105</v>
      </c>
      <c r="M42" t="s">
        <v>90</v>
      </c>
      <c r="N42" t="s">
        <v>106</v>
      </c>
      <c r="O42" t="s">
        <v>107</v>
      </c>
    </row>
    <row r="43" spans="1:15" x14ac:dyDescent="0.25">
      <c r="A43">
        <v>224</v>
      </c>
      <c r="B43" t="s">
        <v>108</v>
      </c>
      <c r="C43">
        <v>0</v>
      </c>
      <c r="E43">
        <v>0</v>
      </c>
      <c r="H43">
        <v>0</v>
      </c>
      <c r="J43">
        <v>0</v>
      </c>
      <c r="K43" t="s">
        <v>109</v>
      </c>
      <c r="L43" t="s">
        <v>110</v>
      </c>
      <c r="M43" t="s">
        <v>90</v>
      </c>
      <c r="N43" t="s">
        <v>111</v>
      </c>
      <c r="O43" t="s">
        <v>112</v>
      </c>
    </row>
    <row r="44" spans="1:15" x14ac:dyDescent="0.25">
      <c r="A44">
        <v>225</v>
      </c>
      <c r="B44" t="s">
        <v>113</v>
      </c>
      <c r="C44">
        <v>0</v>
      </c>
      <c r="E44">
        <v>0</v>
      </c>
      <c r="H44">
        <v>0</v>
      </c>
      <c r="J44">
        <v>0</v>
      </c>
      <c r="K44" t="s">
        <v>114</v>
      </c>
      <c r="L44" t="s">
        <v>115</v>
      </c>
    </row>
    <row r="45" spans="1:15" x14ac:dyDescent="0.25">
      <c r="A45">
        <v>226</v>
      </c>
      <c r="B45" t="s">
        <v>116</v>
      </c>
      <c r="C45">
        <v>0</v>
      </c>
      <c r="E45">
        <v>0</v>
      </c>
      <c r="H45">
        <v>0</v>
      </c>
      <c r="J45">
        <v>0</v>
      </c>
      <c r="K45" t="s">
        <v>117</v>
      </c>
      <c r="L45" t="s">
        <v>118</v>
      </c>
    </row>
    <row r="47" spans="1:15" x14ac:dyDescent="0.25">
      <c r="B47" t="s">
        <v>119</v>
      </c>
    </row>
    <row r="48" spans="1:15" x14ac:dyDescent="0.25">
      <c r="A48">
        <v>227</v>
      </c>
      <c r="B48" t="s">
        <v>120</v>
      </c>
      <c r="C48">
        <v>0</v>
      </c>
      <c r="E48">
        <v>0</v>
      </c>
      <c r="H48">
        <v>0</v>
      </c>
      <c r="J48">
        <v>0</v>
      </c>
      <c r="K48" t="s">
        <v>121</v>
      </c>
      <c r="L48" t="s">
        <v>122</v>
      </c>
    </row>
    <row r="49" spans="1:15" x14ac:dyDescent="0.25">
      <c r="A49">
        <v>228.1</v>
      </c>
      <c r="B49" t="s">
        <v>123</v>
      </c>
      <c r="C49">
        <v>0</v>
      </c>
      <c r="E49">
        <v>0</v>
      </c>
      <c r="H49">
        <v>0</v>
      </c>
      <c r="J49">
        <v>0</v>
      </c>
      <c r="K49" t="s">
        <v>124</v>
      </c>
      <c r="L49" t="s">
        <v>125</v>
      </c>
      <c r="O49" t="s">
        <v>126</v>
      </c>
    </row>
    <row r="50" spans="1:15" x14ac:dyDescent="0.25">
      <c r="A50">
        <v>228.2</v>
      </c>
      <c r="B50" t="s">
        <v>127</v>
      </c>
      <c r="C50">
        <v>0</v>
      </c>
      <c r="E50">
        <v>0</v>
      </c>
      <c r="H50">
        <v>0</v>
      </c>
      <c r="J50">
        <v>0</v>
      </c>
      <c r="K50" t="s">
        <v>124</v>
      </c>
      <c r="L50" t="s">
        <v>128</v>
      </c>
      <c r="O50" t="s">
        <v>126</v>
      </c>
    </row>
    <row r="51" spans="1:15" x14ac:dyDescent="0.25">
      <c r="A51">
        <v>228.3</v>
      </c>
      <c r="B51" t="s">
        <v>129</v>
      </c>
      <c r="C51">
        <v>0</v>
      </c>
      <c r="E51">
        <v>0</v>
      </c>
      <c r="H51">
        <v>0</v>
      </c>
      <c r="J51">
        <v>0</v>
      </c>
      <c r="K51" t="s">
        <v>124</v>
      </c>
      <c r="L51" t="s">
        <v>130</v>
      </c>
      <c r="N51" t="s">
        <v>131</v>
      </c>
    </row>
    <row r="52" spans="1:15" x14ac:dyDescent="0.25">
      <c r="A52">
        <v>228.4</v>
      </c>
      <c r="B52" t="s">
        <v>132</v>
      </c>
      <c r="C52">
        <v>0</v>
      </c>
      <c r="E52">
        <v>0</v>
      </c>
      <c r="H52">
        <v>0</v>
      </c>
      <c r="J52">
        <v>0</v>
      </c>
      <c r="K52" t="s">
        <v>124</v>
      </c>
      <c r="L52" t="s">
        <v>133</v>
      </c>
      <c r="N52" t="s">
        <v>134</v>
      </c>
    </row>
    <row r="54" spans="1:15" x14ac:dyDescent="0.25">
      <c r="B54" t="s">
        <v>135</v>
      </c>
    </row>
    <row r="55" spans="1:15" x14ac:dyDescent="0.25">
      <c r="A55">
        <v>231</v>
      </c>
      <c r="B55" t="s">
        <v>136</v>
      </c>
      <c r="C55">
        <v>206000</v>
      </c>
      <c r="K55" t="s">
        <v>137</v>
      </c>
      <c r="L55" t="s">
        <v>138</v>
      </c>
    </row>
    <row r="56" spans="1:15" x14ac:dyDescent="0.25">
      <c r="A56">
        <v>232</v>
      </c>
      <c r="B56" t="s">
        <v>139</v>
      </c>
      <c r="C56">
        <v>2700</v>
      </c>
      <c r="K56" t="s">
        <v>140</v>
      </c>
      <c r="L56" t="s">
        <v>141</v>
      </c>
    </row>
    <row r="57" spans="1:15" x14ac:dyDescent="0.25">
      <c r="A57">
        <v>235</v>
      </c>
      <c r="B57" t="s">
        <v>142</v>
      </c>
      <c r="C57">
        <v>0</v>
      </c>
      <c r="E57">
        <v>0</v>
      </c>
      <c r="H57">
        <v>0</v>
      </c>
      <c r="J57">
        <v>0</v>
      </c>
      <c r="K57" t="s">
        <v>143</v>
      </c>
      <c r="L57" t="s">
        <v>144</v>
      </c>
    </row>
    <row r="58" spans="1:15" x14ac:dyDescent="0.25">
      <c r="A58">
        <v>236</v>
      </c>
      <c r="B58" t="s">
        <v>145</v>
      </c>
      <c r="C58">
        <v>0</v>
      </c>
      <c r="E58">
        <v>0</v>
      </c>
      <c r="H58">
        <v>0</v>
      </c>
      <c r="J58">
        <v>0</v>
      </c>
      <c r="K58" t="s">
        <v>146</v>
      </c>
      <c r="L58" t="s">
        <v>147</v>
      </c>
    </row>
    <row r="59" spans="1:15" x14ac:dyDescent="0.25">
      <c r="A59">
        <v>237</v>
      </c>
      <c r="B59" t="s">
        <v>148</v>
      </c>
      <c r="C59">
        <v>0</v>
      </c>
      <c r="E59">
        <v>0</v>
      </c>
      <c r="H59">
        <v>0</v>
      </c>
      <c r="J59">
        <v>0</v>
      </c>
      <c r="K59" t="s">
        <v>149</v>
      </c>
      <c r="L59" t="s">
        <v>150</v>
      </c>
      <c r="N59" t="s">
        <v>151</v>
      </c>
    </row>
    <row r="60" spans="1:15" x14ac:dyDescent="0.25">
      <c r="A60">
        <v>239</v>
      </c>
      <c r="B60" t="s">
        <v>152</v>
      </c>
      <c r="C60">
        <v>0</v>
      </c>
      <c r="E60" t="s">
        <v>46</v>
      </c>
      <c r="H60" t="s">
        <v>46</v>
      </c>
      <c r="J60" t="s">
        <v>46</v>
      </c>
      <c r="K60" t="s">
        <v>153</v>
      </c>
      <c r="L60" t="s">
        <v>154</v>
      </c>
    </row>
    <row r="61" spans="1:15" x14ac:dyDescent="0.25">
      <c r="A61">
        <v>240</v>
      </c>
      <c r="B61" t="s">
        <v>155</v>
      </c>
      <c r="C61">
        <v>0</v>
      </c>
      <c r="E61" t="s">
        <v>46</v>
      </c>
      <c r="H61" t="s">
        <v>46</v>
      </c>
      <c r="J61" t="s">
        <v>46</v>
      </c>
      <c r="K61" t="s">
        <v>153</v>
      </c>
      <c r="L61" t="s">
        <v>156</v>
      </c>
    </row>
    <row r="62" spans="1:15" x14ac:dyDescent="0.25">
      <c r="A62">
        <v>241</v>
      </c>
      <c r="B62" t="s">
        <v>157</v>
      </c>
      <c r="C62">
        <v>0</v>
      </c>
      <c r="E62" t="s">
        <v>22</v>
      </c>
      <c r="H62">
        <v>0</v>
      </c>
      <c r="J62">
        <v>0</v>
      </c>
      <c r="K62" t="s">
        <v>158</v>
      </c>
      <c r="L62" t="s">
        <v>159</v>
      </c>
    </row>
    <row r="63" spans="1:15" x14ac:dyDescent="0.25">
      <c r="A63">
        <v>243</v>
      </c>
      <c r="B63" t="s">
        <v>160</v>
      </c>
      <c r="C63">
        <v>0</v>
      </c>
      <c r="E63" t="s">
        <v>22</v>
      </c>
      <c r="H63">
        <v>0</v>
      </c>
      <c r="J63">
        <v>0</v>
      </c>
      <c r="K63" t="s">
        <v>121</v>
      </c>
      <c r="L63" t="s">
        <v>161</v>
      </c>
    </row>
    <row r="65" spans="1:14" x14ac:dyDescent="0.25">
      <c r="B65" t="s">
        <v>162</v>
      </c>
    </row>
    <row r="66" spans="1:14" x14ac:dyDescent="0.25">
      <c r="A66">
        <v>253</v>
      </c>
      <c r="B66" t="s">
        <v>163</v>
      </c>
      <c r="E66" t="s">
        <v>22</v>
      </c>
      <c r="H66">
        <v>0</v>
      </c>
      <c r="J66">
        <v>0</v>
      </c>
      <c r="K66" t="s">
        <v>93</v>
      </c>
      <c r="L66" t="s">
        <v>164</v>
      </c>
      <c r="M66" t="s">
        <v>90</v>
      </c>
    </row>
    <row r="67" spans="1:14" x14ac:dyDescent="0.25">
      <c r="A67">
        <v>254</v>
      </c>
      <c r="B67" t="s">
        <v>165</v>
      </c>
      <c r="E67">
        <v>0</v>
      </c>
      <c r="H67">
        <v>0</v>
      </c>
      <c r="J67">
        <v>0</v>
      </c>
      <c r="K67" t="s">
        <v>166</v>
      </c>
      <c r="L67" t="s">
        <v>167</v>
      </c>
      <c r="M67" t="s">
        <v>90</v>
      </c>
      <c r="N67" t="s">
        <v>168</v>
      </c>
    </row>
    <row r="69" spans="1:14" x14ac:dyDescent="0.25">
      <c r="B69" t="s">
        <v>169</v>
      </c>
    </row>
    <row r="70" spans="1:14" x14ac:dyDescent="0.25">
      <c r="B70" t="s">
        <v>170</v>
      </c>
    </row>
    <row r="71" spans="1:14" x14ac:dyDescent="0.25">
      <c r="A71">
        <v>301</v>
      </c>
      <c r="B71" t="s">
        <v>171</v>
      </c>
      <c r="D71" t="s">
        <v>84</v>
      </c>
      <c r="K71" t="s">
        <v>172</v>
      </c>
      <c r="L71" t="s">
        <v>173</v>
      </c>
    </row>
    <row r="72" spans="1:14" x14ac:dyDescent="0.25">
      <c r="A72">
        <v>303</v>
      </c>
      <c r="B72" t="s">
        <v>174</v>
      </c>
      <c r="K72" t="s">
        <v>175</v>
      </c>
      <c r="L72" t="s">
        <v>176</v>
      </c>
    </row>
    <row r="74" spans="1:14" x14ac:dyDescent="0.25">
      <c r="B74" t="s">
        <v>177</v>
      </c>
    </row>
    <row r="75" spans="1:14" x14ac:dyDescent="0.25">
      <c r="A75">
        <v>390</v>
      </c>
      <c r="B75" t="s">
        <v>178</v>
      </c>
      <c r="D75" t="s">
        <v>84</v>
      </c>
      <c r="K75" t="s">
        <v>179</v>
      </c>
      <c r="L75" t="s">
        <v>180</v>
      </c>
    </row>
    <row r="76" spans="1:14" x14ac:dyDescent="0.25">
      <c r="A76">
        <v>391</v>
      </c>
      <c r="B76" t="s">
        <v>181</v>
      </c>
      <c r="D76" t="s">
        <v>84</v>
      </c>
      <c r="K76" t="s">
        <v>182</v>
      </c>
    </row>
    <row r="77" spans="1:14" x14ac:dyDescent="0.25">
      <c r="A77">
        <v>392</v>
      </c>
      <c r="B77" t="s">
        <v>183</v>
      </c>
      <c r="D77" t="s">
        <v>84</v>
      </c>
      <c r="K77" t="s">
        <v>184</v>
      </c>
    </row>
    <row r="78" spans="1:14" x14ac:dyDescent="0.25">
      <c r="A78">
        <v>397</v>
      </c>
      <c r="B78" t="s">
        <v>185</v>
      </c>
    </row>
    <row r="79" spans="1:14" x14ac:dyDescent="0.25">
      <c r="A79">
        <v>399</v>
      </c>
      <c r="B79" t="s">
        <v>186</v>
      </c>
      <c r="D79" t="s">
        <v>84</v>
      </c>
      <c r="K79" t="s">
        <v>187</v>
      </c>
    </row>
    <row r="81" spans="1:15" x14ac:dyDescent="0.25">
      <c r="B81" t="s">
        <v>188</v>
      </c>
    </row>
    <row r="82" spans="1:15" x14ac:dyDescent="0.25">
      <c r="B82" t="s">
        <v>189</v>
      </c>
    </row>
    <row r="83" spans="1:15" x14ac:dyDescent="0.25">
      <c r="A83">
        <v>400</v>
      </c>
      <c r="B83" t="s">
        <v>190</v>
      </c>
      <c r="C83">
        <f>SUM(C114)</f>
        <v>0</v>
      </c>
      <c r="E83">
        <f>+E114</f>
        <v>161682</v>
      </c>
      <c r="J83">
        <f>+J114</f>
        <v>180187</v>
      </c>
      <c r="K83" t="s">
        <v>191</v>
      </c>
      <c r="L83" t="s">
        <v>192</v>
      </c>
    </row>
    <row r="84" spans="1:15" x14ac:dyDescent="0.25">
      <c r="A84">
        <v>401</v>
      </c>
      <c r="B84" t="s">
        <v>193</v>
      </c>
      <c r="C84">
        <f>SUM(C118:C120)+SUM(C124:C128)+SUM(C131:C134)+SUM(C137:C140)+SUM(C143:C152)</f>
        <v>0</v>
      </c>
      <c r="E84">
        <f>ROUND(SUM(E118:E120)+SUM(E124:E128)+SUM(E131:E134)+SUM(E137:E140)+SUM(E143:E152),0)</f>
        <v>64589</v>
      </c>
      <c r="J84">
        <f>ROUND(SUM(J118:J120)+SUM(J124:J128)+SUM(J131:J134)+SUM(J137:J140)+SUM(J143:J152),0)</f>
        <v>115021</v>
      </c>
      <c r="K84" t="s">
        <v>194</v>
      </c>
      <c r="L84" t="s">
        <v>195</v>
      </c>
    </row>
    <row r="85" spans="1:15" x14ac:dyDescent="0.25">
      <c r="A85">
        <v>402</v>
      </c>
      <c r="B85" t="s">
        <v>196</v>
      </c>
      <c r="C85">
        <f>SUM(C121)+C153</f>
        <v>0</v>
      </c>
      <c r="E85">
        <f>ROUND(SUM(E121)+E153-1,0)+1</f>
        <v>6562</v>
      </c>
      <c r="J85">
        <f>ROUND(SUM(J121)+J153-1,0)+1</f>
        <v>18196</v>
      </c>
      <c r="K85" t="s">
        <v>197</v>
      </c>
      <c r="L85" t="s">
        <v>198</v>
      </c>
    </row>
    <row r="86" spans="1:15" x14ac:dyDescent="0.25">
      <c r="A86">
        <v>403</v>
      </c>
      <c r="B86" t="s">
        <v>199</v>
      </c>
      <c r="D86" t="s">
        <v>84</v>
      </c>
      <c r="K86" t="s">
        <v>200</v>
      </c>
      <c r="L86" t="s">
        <v>201</v>
      </c>
      <c r="O86" t="s">
        <v>202</v>
      </c>
    </row>
    <row r="87" spans="1:15" x14ac:dyDescent="0.25">
      <c r="A87" t="s">
        <v>203</v>
      </c>
      <c r="B87" t="s">
        <v>204</v>
      </c>
      <c r="C87">
        <v>0</v>
      </c>
      <c r="D87" t="s">
        <v>84</v>
      </c>
      <c r="E87">
        <v>1904</v>
      </c>
      <c r="H87">
        <v>0</v>
      </c>
      <c r="J87">
        <v>1067</v>
      </c>
      <c r="K87" t="s">
        <v>205</v>
      </c>
      <c r="L87" t="s">
        <v>206</v>
      </c>
    </row>
    <row r="88" spans="1:15" x14ac:dyDescent="0.25">
      <c r="A88">
        <v>407.3</v>
      </c>
      <c r="B88" t="s">
        <v>207</v>
      </c>
      <c r="E88">
        <v>0</v>
      </c>
      <c r="H88">
        <v>0</v>
      </c>
      <c r="J88" t="s">
        <v>208</v>
      </c>
      <c r="K88" t="s">
        <v>209</v>
      </c>
      <c r="L88" t="s">
        <v>210</v>
      </c>
    </row>
    <row r="89" spans="1:15" x14ac:dyDescent="0.25">
      <c r="A89">
        <v>407.4</v>
      </c>
      <c r="B89" t="s">
        <v>211</v>
      </c>
      <c r="E89" t="s">
        <v>22</v>
      </c>
      <c r="H89">
        <v>0</v>
      </c>
      <c r="J89" t="s">
        <v>208</v>
      </c>
      <c r="K89" t="s">
        <v>212</v>
      </c>
      <c r="L89" t="s">
        <v>213</v>
      </c>
    </row>
    <row r="91" spans="1:15" x14ac:dyDescent="0.25">
      <c r="B91" t="s">
        <v>214</v>
      </c>
    </row>
    <row r="92" spans="1:15" x14ac:dyDescent="0.25">
      <c r="B92" t="s">
        <v>215</v>
      </c>
    </row>
    <row r="93" spans="1:15" x14ac:dyDescent="0.25">
      <c r="A93">
        <v>419</v>
      </c>
      <c r="B93" t="s">
        <v>216</v>
      </c>
      <c r="E93">
        <v>200</v>
      </c>
      <c r="J93">
        <v>1100</v>
      </c>
      <c r="K93" t="s">
        <v>217</v>
      </c>
      <c r="L93" t="s">
        <v>218</v>
      </c>
    </row>
    <row r="95" spans="1:15" x14ac:dyDescent="0.25">
      <c r="B95" t="s">
        <v>219</v>
      </c>
    </row>
    <row r="96" spans="1:15" x14ac:dyDescent="0.25">
      <c r="A96">
        <v>425</v>
      </c>
      <c r="B96" t="s">
        <v>220</v>
      </c>
      <c r="D96" t="s">
        <v>84</v>
      </c>
      <c r="K96" t="s">
        <v>22</v>
      </c>
      <c r="L96" t="s">
        <v>221</v>
      </c>
      <c r="O96" t="s">
        <v>222</v>
      </c>
    </row>
    <row r="97" spans="1:15" x14ac:dyDescent="0.25">
      <c r="A97">
        <v>426.1</v>
      </c>
      <c r="B97" t="s">
        <v>223</v>
      </c>
      <c r="E97" t="s">
        <v>22</v>
      </c>
      <c r="K97" t="s">
        <v>22</v>
      </c>
      <c r="L97" t="s">
        <v>224</v>
      </c>
    </row>
    <row r="98" spans="1:15" x14ac:dyDescent="0.25">
      <c r="A98">
        <v>426.2</v>
      </c>
      <c r="B98" t="s">
        <v>225</v>
      </c>
      <c r="E98" t="s">
        <v>22</v>
      </c>
      <c r="K98" t="s">
        <v>22</v>
      </c>
      <c r="L98" t="s">
        <v>226</v>
      </c>
    </row>
    <row r="99" spans="1:15" x14ac:dyDescent="0.25">
      <c r="A99">
        <v>426.5</v>
      </c>
      <c r="B99" t="s">
        <v>227</v>
      </c>
      <c r="E99" t="s">
        <v>22</v>
      </c>
      <c r="K99" t="s">
        <v>22</v>
      </c>
      <c r="L99" t="s">
        <v>228</v>
      </c>
    </row>
    <row r="101" spans="1:15" x14ac:dyDescent="0.25">
      <c r="B101" t="s">
        <v>229</v>
      </c>
    </row>
    <row r="102" spans="1:15" x14ac:dyDescent="0.25">
      <c r="A102">
        <v>427</v>
      </c>
      <c r="B102" t="s">
        <v>230</v>
      </c>
      <c r="E102">
        <v>13456</v>
      </c>
      <c r="J102">
        <v>11656</v>
      </c>
      <c r="K102" t="s">
        <v>231</v>
      </c>
      <c r="L102" t="s">
        <v>232</v>
      </c>
    </row>
    <row r="103" spans="1:15" x14ac:dyDescent="0.25">
      <c r="A103">
        <v>428</v>
      </c>
      <c r="B103" t="s">
        <v>233</v>
      </c>
      <c r="E103">
        <f>+(17.3*3+15.2*9)+(10.6*3+8.8*9)</f>
        <v>299.7</v>
      </c>
      <c r="H103">
        <v>300</v>
      </c>
      <c r="J103">
        <v>260</v>
      </c>
      <c r="K103" t="s">
        <v>234</v>
      </c>
      <c r="L103" t="s">
        <v>235</v>
      </c>
    </row>
    <row r="104" spans="1:15" x14ac:dyDescent="0.25">
      <c r="A104">
        <v>429</v>
      </c>
      <c r="B104" t="s">
        <v>236</v>
      </c>
      <c r="E104">
        <v>0</v>
      </c>
      <c r="J104">
        <v>0</v>
      </c>
      <c r="K104" t="s">
        <v>237</v>
      </c>
      <c r="L104" t="s">
        <v>238</v>
      </c>
      <c r="O104" t="s">
        <v>239</v>
      </c>
    </row>
    <row r="105" spans="1:15" x14ac:dyDescent="0.25">
      <c r="A105">
        <v>431</v>
      </c>
      <c r="B105" t="s">
        <v>240</v>
      </c>
      <c r="E105">
        <v>0</v>
      </c>
      <c r="J105">
        <v>0</v>
      </c>
      <c r="K105" t="s">
        <v>241</v>
      </c>
      <c r="L105" t="s">
        <v>242</v>
      </c>
    </row>
    <row r="107" spans="1:15" x14ac:dyDescent="0.25">
      <c r="B107" t="s">
        <v>243</v>
      </c>
    </row>
    <row r="108" spans="1:15" x14ac:dyDescent="0.25">
      <c r="A108">
        <v>433</v>
      </c>
      <c r="B108" t="s">
        <v>244</v>
      </c>
      <c r="E108" t="s">
        <v>22</v>
      </c>
      <c r="K108" t="s">
        <v>245</v>
      </c>
      <c r="L108" t="s">
        <v>246</v>
      </c>
    </row>
    <row r="109" spans="1:15" x14ac:dyDescent="0.25">
      <c r="A109">
        <v>436</v>
      </c>
      <c r="B109" t="s">
        <v>247</v>
      </c>
      <c r="E109">
        <f>E38</f>
        <v>0</v>
      </c>
      <c r="J109">
        <f>J38</f>
        <v>0</v>
      </c>
      <c r="K109" t="s">
        <v>248</v>
      </c>
      <c r="L109" t="s">
        <v>249</v>
      </c>
    </row>
    <row r="111" spans="1:15" x14ac:dyDescent="0.25">
      <c r="B111" t="s">
        <v>250</v>
      </c>
    </row>
    <row r="112" spans="1:15" x14ac:dyDescent="0.25">
      <c r="B112" t="s">
        <v>251</v>
      </c>
    </row>
    <row r="113" spans="1:14" x14ac:dyDescent="0.25">
      <c r="A113">
        <v>451</v>
      </c>
      <c r="B113" t="s">
        <v>252</v>
      </c>
      <c r="K113" t="s">
        <v>253</v>
      </c>
    </row>
    <row r="114" spans="1:14" x14ac:dyDescent="0.25">
      <c r="A114">
        <v>456</v>
      </c>
      <c r="B114" t="s">
        <v>254</v>
      </c>
      <c r="E114">
        <f>100+688+2160+158734</f>
        <v>161682</v>
      </c>
      <c r="J114">
        <f>904+179283</f>
        <v>180187</v>
      </c>
      <c r="K114" t="s">
        <v>255</v>
      </c>
      <c r="L114" t="s">
        <v>256</v>
      </c>
    </row>
    <row r="116" spans="1:14" x14ac:dyDescent="0.25">
      <c r="B116" t="s">
        <v>257</v>
      </c>
    </row>
    <row r="117" spans="1:14" x14ac:dyDescent="0.25">
      <c r="B117" t="s">
        <v>258</v>
      </c>
    </row>
    <row r="118" spans="1:14" x14ac:dyDescent="0.25">
      <c r="A118">
        <v>560</v>
      </c>
      <c r="B118" t="s">
        <v>259</v>
      </c>
      <c r="J118">
        <v>3256</v>
      </c>
      <c r="K118" t="s">
        <v>260</v>
      </c>
      <c r="L118" t="s">
        <v>261</v>
      </c>
    </row>
    <row r="119" spans="1:14" x14ac:dyDescent="0.25">
      <c r="A119">
        <v>561</v>
      </c>
      <c r="B119" t="s">
        <v>262</v>
      </c>
      <c r="E119">
        <v>50684</v>
      </c>
      <c r="J119">
        <v>52146</v>
      </c>
      <c r="K119" t="s">
        <v>263</v>
      </c>
      <c r="L119" t="s">
        <v>264</v>
      </c>
      <c r="N119" t="s">
        <v>90</v>
      </c>
    </row>
    <row r="120" spans="1:14" x14ac:dyDescent="0.25">
      <c r="A120">
        <v>566</v>
      </c>
      <c r="B120" t="s">
        <v>265</v>
      </c>
      <c r="E120">
        <v>0</v>
      </c>
      <c r="J120">
        <v>0</v>
      </c>
      <c r="K120" t="s">
        <v>266</v>
      </c>
      <c r="L120" t="s">
        <v>267</v>
      </c>
      <c r="N120" t="s">
        <v>90</v>
      </c>
    </row>
    <row r="121" spans="1:14" x14ac:dyDescent="0.25">
      <c r="A121">
        <v>568</v>
      </c>
      <c r="B121" t="s">
        <v>268</v>
      </c>
      <c r="E121">
        <v>6562</v>
      </c>
      <c r="J121">
        <v>11998</v>
      </c>
      <c r="K121" t="s">
        <v>269</v>
      </c>
      <c r="L121" t="s">
        <v>270</v>
      </c>
    </row>
    <row r="123" spans="1:14" x14ac:dyDescent="0.25">
      <c r="B123" t="s">
        <v>271</v>
      </c>
    </row>
    <row r="124" spans="1:14" x14ac:dyDescent="0.25">
      <c r="A124">
        <v>901</v>
      </c>
      <c r="B124" t="s">
        <v>272</v>
      </c>
      <c r="J124">
        <v>355</v>
      </c>
      <c r="K124" t="s">
        <v>273</v>
      </c>
      <c r="L124" t="s">
        <v>274</v>
      </c>
    </row>
    <row r="125" spans="1:14" x14ac:dyDescent="0.25">
      <c r="A125">
        <v>902</v>
      </c>
      <c r="B125" t="s">
        <v>275</v>
      </c>
      <c r="J125">
        <v>2033</v>
      </c>
      <c r="K125" t="s">
        <v>276</v>
      </c>
      <c r="L125" t="s">
        <v>277</v>
      </c>
      <c r="N125" t="s">
        <v>90</v>
      </c>
    </row>
    <row r="126" spans="1:14" x14ac:dyDescent="0.25">
      <c r="A126">
        <v>903</v>
      </c>
      <c r="B126" t="s">
        <v>278</v>
      </c>
      <c r="J126">
        <v>6201</v>
      </c>
      <c r="K126" t="s">
        <v>279</v>
      </c>
    </row>
    <row r="127" spans="1:14" x14ac:dyDescent="0.25">
      <c r="A127">
        <v>904</v>
      </c>
      <c r="B127" t="s">
        <v>280</v>
      </c>
      <c r="C127">
        <f>C25</f>
        <v>0</v>
      </c>
      <c r="E127">
        <f>E25</f>
        <v>0</v>
      </c>
      <c r="J127">
        <v>0</v>
      </c>
      <c r="K127" t="s">
        <v>281</v>
      </c>
      <c r="L127" t="s">
        <v>282</v>
      </c>
    </row>
    <row r="128" spans="1:14" x14ac:dyDescent="0.25">
      <c r="A128">
        <v>905</v>
      </c>
      <c r="B128" t="s">
        <v>283</v>
      </c>
      <c r="J128">
        <v>1122</v>
      </c>
      <c r="K128" t="s">
        <v>284</v>
      </c>
      <c r="L128" t="s">
        <v>285</v>
      </c>
      <c r="N128" t="s">
        <v>90</v>
      </c>
    </row>
    <row r="130" spans="1:15" x14ac:dyDescent="0.25">
      <c r="B130" t="s">
        <v>286</v>
      </c>
    </row>
    <row r="131" spans="1:15" x14ac:dyDescent="0.25">
      <c r="A131">
        <v>907</v>
      </c>
      <c r="B131" t="s">
        <v>272</v>
      </c>
      <c r="E131">
        <v>0</v>
      </c>
      <c r="J131">
        <v>0</v>
      </c>
      <c r="K131" t="s">
        <v>287</v>
      </c>
      <c r="L131" t="s">
        <v>288</v>
      </c>
    </row>
    <row r="132" spans="1:15" x14ac:dyDescent="0.25">
      <c r="A132">
        <v>908</v>
      </c>
      <c r="B132" t="s">
        <v>289</v>
      </c>
      <c r="J132">
        <v>2598</v>
      </c>
      <c r="K132" t="s">
        <v>290</v>
      </c>
      <c r="L132" t="s">
        <v>291</v>
      </c>
      <c r="N132" t="s">
        <v>90</v>
      </c>
    </row>
    <row r="133" spans="1:15" x14ac:dyDescent="0.25">
      <c r="A133">
        <v>909</v>
      </c>
      <c r="B133" t="s">
        <v>292</v>
      </c>
      <c r="E133">
        <v>0</v>
      </c>
      <c r="J133">
        <v>0</v>
      </c>
      <c r="K133" t="s">
        <v>293</v>
      </c>
      <c r="L133" t="s">
        <v>293</v>
      </c>
      <c r="N133" t="s">
        <v>90</v>
      </c>
    </row>
    <row r="134" spans="1:15" x14ac:dyDescent="0.25">
      <c r="A134">
        <v>910</v>
      </c>
      <c r="B134" t="s">
        <v>294</v>
      </c>
      <c r="E134">
        <v>0</v>
      </c>
      <c r="J134">
        <v>0</v>
      </c>
      <c r="K134" t="s">
        <v>295</v>
      </c>
      <c r="L134" t="s">
        <v>296</v>
      </c>
      <c r="N134" t="s">
        <v>90</v>
      </c>
    </row>
    <row r="136" spans="1:15" x14ac:dyDescent="0.25">
      <c r="B136" t="s">
        <v>297</v>
      </c>
    </row>
    <row r="137" spans="1:15" x14ac:dyDescent="0.25">
      <c r="A137">
        <v>911</v>
      </c>
      <c r="B137" t="s">
        <v>272</v>
      </c>
      <c r="E137">
        <v>0</v>
      </c>
      <c r="J137">
        <v>0</v>
      </c>
      <c r="K137" t="s">
        <v>298</v>
      </c>
      <c r="L137" t="s">
        <v>298</v>
      </c>
    </row>
    <row r="138" spans="1:15" x14ac:dyDescent="0.25">
      <c r="A138">
        <v>912</v>
      </c>
      <c r="B138" t="s">
        <v>299</v>
      </c>
      <c r="E138">
        <v>0</v>
      </c>
      <c r="J138">
        <v>0</v>
      </c>
      <c r="K138" t="s">
        <v>300</v>
      </c>
      <c r="L138" t="s">
        <v>300</v>
      </c>
      <c r="N138" t="s">
        <v>90</v>
      </c>
    </row>
    <row r="139" spans="1:15" x14ac:dyDescent="0.25">
      <c r="A139">
        <v>913</v>
      </c>
      <c r="B139" t="s">
        <v>301</v>
      </c>
      <c r="E139">
        <v>0</v>
      </c>
      <c r="J139">
        <v>0</v>
      </c>
      <c r="K139" t="s">
        <v>302</v>
      </c>
      <c r="L139" t="s">
        <v>303</v>
      </c>
      <c r="N139" t="s">
        <v>90</v>
      </c>
    </row>
    <row r="140" spans="1:15" x14ac:dyDescent="0.25">
      <c r="A140">
        <v>916</v>
      </c>
      <c r="B140" t="s">
        <v>304</v>
      </c>
      <c r="E140">
        <v>0</v>
      </c>
      <c r="J140">
        <v>0</v>
      </c>
      <c r="K140" t="s">
        <v>305</v>
      </c>
      <c r="L140" t="s">
        <v>306</v>
      </c>
    </row>
    <row r="142" spans="1:15" x14ac:dyDescent="0.25">
      <c r="B142" t="s">
        <v>307</v>
      </c>
    </row>
    <row r="143" spans="1:15" x14ac:dyDescent="0.25">
      <c r="A143">
        <v>920</v>
      </c>
      <c r="B143" t="s">
        <v>308</v>
      </c>
      <c r="E143">
        <v>11626</v>
      </c>
      <c r="J143">
        <v>16838</v>
      </c>
      <c r="K143" t="s">
        <v>309</v>
      </c>
      <c r="L143" t="s">
        <v>310</v>
      </c>
      <c r="O143" t="s">
        <v>311</v>
      </c>
    </row>
    <row r="144" spans="1:15" x14ac:dyDescent="0.25">
      <c r="A144">
        <v>921</v>
      </c>
      <c r="B144" t="s">
        <v>312</v>
      </c>
      <c r="E144">
        <v>2279</v>
      </c>
      <c r="J144">
        <v>4236</v>
      </c>
      <c r="K144" t="s">
        <v>313</v>
      </c>
      <c r="L144" t="s">
        <v>314</v>
      </c>
      <c r="N144" t="s">
        <v>90</v>
      </c>
    </row>
    <row r="145" spans="1:15" x14ac:dyDescent="0.25">
      <c r="A145">
        <v>922</v>
      </c>
      <c r="B145" t="s">
        <v>315</v>
      </c>
      <c r="E145" t="s">
        <v>46</v>
      </c>
      <c r="J145">
        <v>0</v>
      </c>
      <c r="K145" t="s">
        <v>46</v>
      </c>
      <c r="L145" t="s">
        <v>316</v>
      </c>
    </row>
    <row r="146" spans="1:15" x14ac:dyDescent="0.25">
      <c r="A146">
        <v>923</v>
      </c>
      <c r="B146" t="s">
        <v>317</v>
      </c>
      <c r="J146">
        <v>10014</v>
      </c>
      <c r="K146" t="s">
        <v>318</v>
      </c>
      <c r="L146" t="s">
        <v>319</v>
      </c>
      <c r="N146" t="s">
        <v>90</v>
      </c>
      <c r="O146" t="s">
        <v>320</v>
      </c>
    </row>
    <row r="147" spans="1:15" x14ac:dyDescent="0.25">
      <c r="A147">
        <v>924</v>
      </c>
      <c r="B147" t="s">
        <v>321</v>
      </c>
      <c r="J147">
        <v>899</v>
      </c>
      <c r="K147" t="s">
        <v>322</v>
      </c>
      <c r="L147" t="s">
        <v>323</v>
      </c>
      <c r="N147" t="s">
        <v>90</v>
      </c>
      <c r="O147" t="s">
        <v>324</v>
      </c>
    </row>
    <row r="148" spans="1:15" x14ac:dyDescent="0.25">
      <c r="A148">
        <v>925</v>
      </c>
      <c r="B148" t="s">
        <v>325</v>
      </c>
      <c r="J148">
        <v>0</v>
      </c>
      <c r="K148" t="s">
        <v>326</v>
      </c>
      <c r="L148" t="s">
        <v>327</v>
      </c>
      <c r="N148" t="s">
        <v>90</v>
      </c>
    </row>
    <row r="149" spans="1:15" x14ac:dyDescent="0.25">
      <c r="A149">
        <v>928</v>
      </c>
      <c r="B149" t="s">
        <v>328</v>
      </c>
      <c r="J149">
        <v>0</v>
      </c>
      <c r="K149" t="s">
        <v>329</v>
      </c>
      <c r="L149" t="s">
        <v>330</v>
      </c>
      <c r="N149" t="s">
        <v>90</v>
      </c>
    </row>
    <row r="150" spans="1:15" x14ac:dyDescent="0.25">
      <c r="A150">
        <v>930.1</v>
      </c>
      <c r="B150" t="s">
        <v>331</v>
      </c>
      <c r="K150" t="s">
        <v>46</v>
      </c>
      <c r="L150" t="s">
        <v>332</v>
      </c>
      <c r="N150" t="s">
        <v>90</v>
      </c>
    </row>
    <row r="151" spans="1:15" x14ac:dyDescent="0.25">
      <c r="A151">
        <v>930.2</v>
      </c>
      <c r="B151" t="s">
        <v>333</v>
      </c>
      <c r="J151">
        <v>702</v>
      </c>
      <c r="K151" t="s">
        <v>334</v>
      </c>
      <c r="L151" t="s">
        <v>335</v>
      </c>
      <c r="N151" t="s">
        <v>90</v>
      </c>
    </row>
    <row r="152" spans="1:15" x14ac:dyDescent="0.25">
      <c r="A152">
        <v>931</v>
      </c>
      <c r="B152" t="s">
        <v>336</v>
      </c>
      <c r="J152">
        <v>14621</v>
      </c>
      <c r="K152" t="s">
        <v>337</v>
      </c>
      <c r="L152" t="s">
        <v>338</v>
      </c>
    </row>
    <row r="153" spans="1:15" x14ac:dyDescent="0.25">
      <c r="A153">
        <v>935</v>
      </c>
      <c r="B153" t="s">
        <v>339</v>
      </c>
      <c r="J153">
        <v>6198</v>
      </c>
      <c r="K153" t="s">
        <v>340</v>
      </c>
      <c r="L153" t="s">
        <v>341</v>
      </c>
    </row>
    <row r="155" spans="1:15" x14ac:dyDescent="0.25">
      <c r="C155" t="s">
        <v>84</v>
      </c>
      <c r="E155" t="s">
        <v>342</v>
      </c>
      <c r="J155" t="s">
        <v>342</v>
      </c>
    </row>
    <row r="156" spans="1:15" x14ac:dyDescent="0.25">
      <c r="E156">
        <f>SUM(E118:E153)</f>
        <v>71151</v>
      </c>
      <c r="J156">
        <f>SUM(J118:J153)</f>
        <v>133217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3D7B3-DC5C-4393-9D84-A292074FE0CE}">
  <dimension ref="A1:R42"/>
  <sheetViews>
    <sheetView workbookViewId="0"/>
  </sheetViews>
  <sheetFormatPr defaultRowHeight="15" x14ac:dyDescent="0.25"/>
  <sheetData>
    <row r="1" spans="1:16" x14ac:dyDescent="0.25">
      <c r="A1" t="s">
        <v>483</v>
      </c>
      <c r="N1" t="s">
        <v>484</v>
      </c>
    </row>
    <row r="2" spans="1:16" x14ac:dyDescent="0.25">
      <c r="A2" t="s">
        <v>485</v>
      </c>
    </row>
    <row r="3" spans="1:16" x14ac:dyDescent="0.25">
      <c r="A3" t="s">
        <v>486</v>
      </c>
    </row>
    <row r="4" spans="1:16" x14ac:dyDescent="0.25">
      <c r="A4" t="s">
        <v>487</v>
      </c>
    </row>
    <row r="6" spans="1:16" x14ac:dyDescent="0.25">
      <c r="H6" t="s">
        <v>488</v>
      </c>
    </row>
    <row r="9" spans="1:16" x14ac:dyDescent="0.25">
      <c r="L9" t="s">
        <v>489</v>
      </c>
      <c r="N9" t="s">
        <v>480</v>
      </c>
    </row>
    <row r="10" spans="1:16" x14ac:dyDescent="0.25">
      <c r="A10" t="s">
        <v>490</v>
      </c>
      <c r="C10" t="s">
        <v>84</v>
      </c>
      <c r="P10" t="s">
        <v>490</v>
      </c>
    </row>
    <row r="11" spans="1:16" x14ac:dyDescent="0.25">
      <c r="A11" t="s">
        <v>491</v>
      </c>
      <c r="C11" t="s">
        <v>492</v>
      </c>
      <c r="L11" t="s">
        <v>493</v>
      </c>
      <c r="N11" t="s">
        <v>493</v>
      </c>
      <c r="P11" t="s">
        <v>491</v>
      </c>
    </row>
    <row r="14" spans="1:16" x14ac:dyDescent="0.25">
      <c r="C14" t="s">
        <v>494</v>
      </c>
    </row>
    <row r="16" spans="1:16" x14ac:dyDescent="0.25">
      <c r="A16">
        <v>1</v>
      </c>
      <c r="C16" t="s">
        <v>495</v>
      </c>
      <c r="P16">
        <f>+A16</f>
        <v>1</v>
      </c>
    </row>
    <row r="17" spans="1:16" x14ac:dyDescent="0.25">
      <c r="A17">
        <v>2</v>
      </c>
      <c r="C17" t="s">
        <v>84</v>
      </c>
      <c r="D17" t="s">
        <v>496</v>
      </c>
      <c r="P17">
        <f t="shared" ref="P17:P35" si="0">+A17</f>
        <v>2</v>
      </c>
    </row>
    <row r="18" spans="1:16" x14ac:dyDescent="0.25">
      <c r="A18">
        <v>3</v>
      </c>
      <c r="D18" t="s">
        <v>497</v>
      </c>
      <c r="P18">
        <f t="shared" si="0"/>
        <v>3</v>
      </c>
    </row>
    <row r="19" spans="1:16" x14ac:dyDescent="0.25">
      <c r="A19">
        <v>4</v>
      </c>
      <c r="D19" t="s">
        <v>498</v>
      </c>
      <c r="P19">
        <f t="shared" si="0"/>
        <v>4</v>
      </c>
    </row>
    <row r="20" spans="1:16" x14ac:dyDescent="0.25">
      <c r="A20">
        <v>5</v>
      </c>
      <c r="D20" t="s">
        <v>499</v>
      </c>
      <c r="P20">
        <f t="shared" si="0"/>
        <v>5</v>
      </c>
    </row>
    <row r="21" spans="1:16" x14ac:dyDescent="0.25">
      <c r="A21">
        <v>6</v>
      </c>
      <c r="G21" t="s">
        <v>500</v>
      </c>
      <c r="L21">
        <f>SUM(L17:L20)</f>
        <v>0</v>
      </c>
      <c r="M21" t="s">
        <v>84</v>
      </c>
      <c r="N21">
        <f>SUM(N17:N20)</f>
        <v>0</v>
      </c>
      <c r="P21">
        <f t="shared" si="0"/>
        <v>6</v>
      </c>
    </row>
    <row r="22" spans="1:16" x14ac:dyDescent="0.25">
      <c r="P22" t="s">
        <v>84</v>
      </c>
    </row>
    <row r="23" spans="1:16" x14ac:dyDescent="0.25">
      <c r="A23">
        <v>7</v>
      </c>
      <c r="C23" t="s">
        <v>501</v>
      </c>
      <c r="P23">
        <f t="shared" si="0"/>
        <v>7</v>
      </c>
    </row>
    <row r="24" spans="1:16" x14ac:dyDescent="0.25">
      <c r="A24">
        <v>8</v>
      </c>
      <c r="D24" t="s">
        <v>502</v>
      </c>
      <c r="P24">
        <f t="shared" si="0"/>
        <v>8</v>
      </c>
    </row>
    <row r="25" spans="1:16" x14ac:dyDescent="0.25">
      <c r="A25">
        <v>9</v>
      </c>
      <c r="D25" t="s">
        <v>503</v>
      </c>
      <c r="P25">
        <f t="shared" si="0"/>
        <v>9</v>
      </c>
    </row>
    <row r="26" spans="1:16" x14ac:dyDescent="0.25">
      <c r="A26">
        <v>10</v>
      </c>
      <c r="G26" t="s">
        <v>500</v>
      </c>
      <c r="L26">
        <f>SUM(L24:L25)</f>
        <v>0</v>
      </c>
      <c r="N26">
        <f>SUM(N24:N25)</f>
        <v>0</v>
      </c>
      <c r="P26">
        <f t="shared" si="0"/>
        <v>10</v>
      </c>
    </row>
    <row r="27" spans="1:16" x14ac:dyDescent="0.25">
      <c r="P27" t="s">
        <v>84</v>
      </c>
    </row>
    <row r="28" spans="1:16" x14ac:dyDescent="0.25">
      <c r="A28">
        <v>11</v>
      </c>
      <c r="C28" t="s">
        <v>504</v>
      </c>
      <c r="P28">
        <f t="shared" si="0"/>
        <v>11</v>
      </c>
    </row>
    <row r="29" spans="1:16" x14ac:dyDescent="0.25">
      <c r="P29" t="s">
        <v>84</v>
      </c>
    </row>
    <row r="30" spans="1:16" x14ac:dyDescent="0.25">
      <c r="A30">
        <v>12</v>
      </c>
      <c r="C30" t="s">
        <v>505</v>
      </c>
      <c r="P30">
        <f t="shared" si="0"/>
        <v>12</v>
      </c>
    </row>
    <row r="31" spans="1:16" x14ac:dyDescent="0.25">
      <c r="P31" t="s">
        <v>84</v>
      </c>
    </row>
    <row r="32" spans="1:16" x14ac:dyDescent="0.25">
      <c r="A32">
        <v>13</v>
      </c>
      <c r="C32" t="s">
        <v>506</v>
      </c>
      <c r="P32">
        <f t="shared" si="0"/>
        <v>13</v>
      </c>
    </row>
    <row r="33" spans="1:18" x14ac:dyDescent="0.25">
      <c r="P33" t="s">
        <v>84</v>
      </c>
    </row>
    <row r="34" spans="1:18" x14ac:dyDescent="0.25">
      <c r="P34" t="s">
        <v>84</v>
      </c>
      <c r="R34" t="s">
        <v>84</v>
      </c>
    </row>
    <row r="35" spans="1:18" x14ac:dyDescent="0.25">
      <c r="A35">
        <v>14</v>
      </c>
      <c r="D35" t="s">
        <v>507</v>
      </c>
      <c r="L35">
        <f>+L21+L26+L28+L30+L32</f>
        <v>0</v>
      </c>
      <c r="N35">
        <f>+N21+N26+N28+N30+N32</f>
        <v>0</v>
      </c>
      <c r="P35">
        <f t="shared" si="0"/>
        <v>14</v>
      </c>
    </row>
    <row r="38" spans="1:18" x14ac:dyDescent="0.25">
      <c r="A38">
        <v>15</v>
      </c>
      <c r="C38" t="s">
        <v>508</v>
      </c>
      <c r="L38">
        <v>204000</v>
      </c>
      <c r="N38">
        <v>216000</v>
      </c>
      <c r="P38">
        <f>+A38</f>
        <v>15</v>
      </c>
    </row>
    <row r="41" spans="1:18" x14ac:dyDescent="0.25">
      <c r="A41">
        <v>16</v>
      </c>
      <c r="C41" t="s">
        <v>509</v>
      </c>
      <c r="L41">
        <f>+L35/L38</f>
        <v>0</v>
      </c>
      <c r="N41">
        <f>+N35/N38</f>
        <v>0</v>
      </c>
      <c r="P41">
        <f>+A41</f>
        <v>16</v>
      </c>
    </row>
    <row r="42" spans="1:18" x14ac:dyDescent="0.25">
      <c r="A42" t="s">
        <v>84</v>
      </c>
      <c r="F42" t="s">
        <v>84</v>
      </c>
      <c r="P42" t="s">
        <v>84</v>
      </c>
      <c r="Q42" t="s">
        <v>84</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78E5B-D29D-4835-B6E4-9CFF28C3C406}">
  <dimension ref="A1"/>
  <sheetViews>
    <sheetView workbookViewId="0"/>
  </sheetViews>
  <sheetFormatPr defaultRowHeight="15" x14ac:dyDescent="0.25"/>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C5A21-2768-4A1B-AD8B-3865B29CF52F}">
  <dimension ref="A1:W95"/>
  <sheetViews>
    <sheetView workbookViewId="0"/>
  </sheetViews>
  <sheetFormatPr defaultRowHeight="15" x14ac:dyDescent="0.25"/>
  <sheetData>
    <row r="1" spans="1:23" x14ac:dyDescent="0.25">
      <c r="A1" t="s">
        <v>483</v>
      </c>
    </row>
    <row r="2" spans="1:23" x14ac:dyDescent="0.25">
      <c r="A2" t="s">
        <v>510</v>
      </c>
    </row>
    <row r="3" spans="1:23" x14ac:dyDescent="0.25">
      <c r="A3" t="s">
        <v>344</v>
      </c>
    </row>
    <row r="4" spans="1:23" x14ac:dyDescent="0.25">
      <c r="A4">
        <v>36891</v>
      </c>
    </row>
    <row r="5" spans="1:23" x14ac:dyDescent="0.25">
      <c r="A5" t="s">
        <v>511</v>
      </c>
    </row>
    <row r="6" spans="1:23" x14ac:dyDescent="0.25">
      <c r="A6" t="s">
        <v>487</v>
      </c>
    </row>
    <row r="9" spans="1:23" x14ac:dyDescent="0.25">
      <c r="A9" t="s">
        <v>84</v>
      </c>
    </row>
    <row r="11" spans="1:23" x14ac:dyDescent="0.25">
      <c r="A11" t="s">
        <v>84</v>
      </c>
      <c r="J11" t="s">
        <v>489</v>
      </c>
      <c r="N11" t="s">
        <v>480</v>
      </c>
      <c r="T11" t="s">
        <v>512</v>
      </c>
    </row>
    <row r="12" spans="1:23" x14ac:dyDescent="0.25">
      <c r="A12" t="s">
        <v>490</v>
      </c>
      <c r="I12" t="s">
        <v>513</v>
      </c>
      <c r="K12" t="s">
        <v>513</v>
      </c>
      <c r="M12" t="s">
        <v>513</v>
      </c>
      <c r="O12" t="s">
        <v>513</v>
      </c>
      <c r="R12" t="s">
        <v>490</v>
      </c>
      <c r="T12" t="s">
        <v>2</v>
      </c>
    </row>
    <row r="13" spans="1:23" x14ac:dyDescent="0.25">
      <c r="A13" t="s">
        <v>491</v>
      </c>
      <c r="C13" t="s">
        <v>7</v>
      </c>
      <c r="I13" t="s">
        <v>514</v>
      </c>
      <c r="K13" t="s">
        <v>515</v>
      </c>
      <c r="M13" t="s">
        <v>514</v>
      </c>
      <c r="O13" t="s">
        <v>515</v>
      </c>
      <c r="R13" t="s">
        <v>491</v>
      </c>
      <c r="T13" t="s">
        <v>516</v>
      </c>
    </row>
    <row r="14" spans="1:23" x14ac:dyDescent="0.25">
      <c r="A14" t="s">
        <v>84</v>
      </c>
      <c r="B14" t="s">
        <v>84</v>
      </c>
      <c r="C14" t="s">
        <v>84</v>
      </c>
      <c r="D14" t="s">
        <v>84</v>
      </c>
      <c r="E14" t="s">
        <v>84</v>
      </c>
      <c r="F14" t="s">
        <v>84</v>
      </c>
      <c r="G14" t="s">
        <v>84</v>
      </c>
      <c r="H14" t="s">
        <v>84</v>
      </c>
      <c r="I14" t="s">
        <v>84</v>
      </c>
      <c r="J14" t="s">
        <v>84</v>
      </c>
      <c r="K14" t="s">
        <v>84</v>
      </c>
      <c r="L14" t="s">
        <v>84</v>
      </c>
      <c r="M14" t="s">
        <v>84</v>
      </c>
      <c r="N14" t="s">
        <v>84</v>
      </c>
      <c r="O14" t="s">
        <v>84</v>
      </c>
      <c r="R14" t="s">
        <v>84</v>
      </c>
      <c r="S14" t="s">
        <v>84</v>
      </c>
      <c r="T14" t="s">
        <v>84</v>
      </c>
      <c r="U14" t="s">
        <v>84</v>
      </c>
      <c r="V14" t="s">
        <v>84</v>
      </c>
      <c r="W14" t="s">
        <v>84</v>
      </c>
    </row>
    <row r="15" spans="1:23" x14ac:dyDescent="0.25">
      <c r="A15" t="s">
        <v>84</v>
      </c>
      <c r="B15" t="s">
        <v>84</v>
      </c>
      <c r="C15" t="s">
        <v>84</v>
      </c>
      <c r="D15" t="s">
        <v>84</v>
      </c>
      <c r="E15" t="s">
        <v>84</v>
      </c>
      <c r="F15" t="s">
        <v>84</v>
      </c>
      <c r="G15" t="s">
        <v>84</v>
      </c>
      <c r="H15" t="s">
        <v>84</v>
      </c>
      <c r="I15" t="s">
        <v>84</v>
      </c>
      <c r="J15" t="s">
        <v>84</v>
      </c>
      <c r="K15" t="s">
        <v>84</v>
      </c>
      <c r="L15" t="s">
        <v>84</v>
      </c>
      <c r="M15" t="s">
        <v>84</v>
      </c>
      <c r="N15" t="s">
        <v>84</v>
      </c>
      <c r="O15" t="s">
        <v>84</v>
      </c>
      <c r="R15" t="s">
        <v>84</v>
      </c>
      <c r="S15" t="s">
        <v>84</v>
      </c>
      <c r="T15" t="s">
        <v>84</v>
      </c>
      <c r="U15" t="s">
        <v>84</v>
      </c>
      <c r="V15" t="s">
        <v>84</v>
      </c>
      <c r="W15" t="s">
        <v>84</v>
      </c>
    </row>
    <row r="16" spans="1:23" x14ac:dyDescent="0.25">
      <c r="C16" t="s">
        <v>517</v>
      </c>
      <c r="U16" t="s">
        <v>84</v>
      </c>
      <c r="V16" t="s">
        <v>84</v>
      </c>
      <c r="W16" t="s">
        <v>84</v>
      </c>
    </row>
    <row r="17" spans="1:20" x14ac:dyDescent="0.25">
      <c r="A17">
        <v>1</v>
      </c>
      <c r="C17" t="s">
        <v>517</v>
      </c>
      <c r="R17">
        <f>A17</f>
        <v>1</v>
      </c>
      <c r="T17" t="s">
        <v>518</v>
      </c>
    </row>
    <row r="18" spans="1:20" x14ac:dyDescent="0.25">
      <c r="A18">
        <v>2</v>
      </c>
      <c r="C18" t="s">
        <v>519</v>
      </c>
      <c r="R18">
        <f>A18</f>
        <v>2</v>
      </c>
      <c r="T18" t="s">
        <v>520</v>
      </c>
    </row>
    <row r="19" spans="1:20" x14ac:dyDescent="0.25">
      <c r="A19">
        <v>3</v>
      </c>
      <c r="D19" t="s">
        <v>521</v>
      </c>
      <c r="I19">
        <f>I17-I18</f>
        <v>0</v>
      </c>
      <c r="K19">
        <f>K17-K18</f>
        <v>0</v>
      </c>
      <c r="M19">
        <f>M17-M18</f>
        <v>0</v>
      </c>
      <c r="O19">
        <f>O17-O18</f>
        <v>0</v>
      </c>
      <c r="R19">
        <f>A19</f>
        <v>3</v>
      </c>
    </row>
    <row r="23" spans="1:20" x14ac:dyDescent="0.25">
      <c r="C23" t="s">
        <v>522</v>
      </c>
    </row>
    <row r="24" spans="1:20" x14ac:dyDescent="0.25">
      <c r="A24">
        <v>4</v>
      </c>
      <c r="C24" t="s">
        <v>523</v>
      </c>
      <c r="R24">
        <f>A24</f>
        <v>4</v>
      </c>
      <c r="T24" t="s">
        <v>524</v>
      </c>
    </row>
    <row r="25" spans="1:20" x14ac:dyDescent="0.25">
      <c r="A25">
        <v>5</v>
      </c>
      <c r="D25" t="s">
        <v>525</v>
      </c>
      <c r="I25">
        <f>SUM(I24)</f>
        <v>0</v>
      </c>
      <c r="K25">
        <f>SUM(K24)</f>
        <v>0</v>
      </c>
      <c r="M25">
        <f>SUM(M24)</f>
        <v>0</v>
      </c>
      <c r="O25">
        <f>SUM(O24)</f>
        <v>0</v>
      </c>
      <c r="R25">
        <f>A25</f>
        <v>5</v>
      </c>
    </row>
    <row r="29" spans="1:20" x14ac:dyDescent="0.25">
      <c r="C29" t="s">
        <v>526</v>
      </c>
    </row>
    <row r="30" spans="1:20" x14ac:dyDescent="0.25">
      <c r="A30">
        <v>6</v>
      </c>
      <c r="C30" t="s">
        <v>527</v>
      </c>
      <c r="R30">
        <f t="shared" ref="R30:R35" si="0">A30</f>
        <v>6</v>
      </c>
      <c r="T30" t="s">
        <v>528</v>
      </c>
    </row>
    <row r="31" spans="1:20" x14ac:dyDescent="0.25">
      <c r="A31">
        <v>7</v>
      </c>
      <c r="C31" t="s">
        <v>529</v>
      </c>
      <c r="R31">
        <f t="shared" si="0"/>
        <v>7</v>
      </c>
    </row>
    <row r="32" spans="1:20" x14ac:dyDescent="0.25">
      <c r="A32">
        <v>8</v>
      </c>
      <c r="C32" t="s">
        <v>530</v>
      </c>
      <c r="R32">
        <f t="shared" si="0"/>
        <v>8</v>
      </c>
      <c r="T32" t="s">
        <v>531</v>
      </c>
    </row>
    <row r="33" spans="1:20" x14ac:dyDescent="0.25">
      <c r="A33">
        <v>9</v>
      </c>
      <c r="C33" t="s">
        <v>70</v>
      </c>
      <c r="R33">
        <f t="shared" si="0"/>
        <v>9</v>
      </c>
      <c r="T33" t="s">
        <v>532</v>
      </c>
    </row>
    <row r="34" spans="1:20" x14ac:dyDescent="0.25">
      <c r="A34">
        <v>10</v>
      </c>
      <c r="C34" t="s">
        <v>533</v>
      </c>
      <c r="R34">
        <f t="shared" si="0"/>
        <v>10</v>
      </c>
      <c r="T34" t="s">
        <v>534</v>
      </c>
    </row>
    <row r="35" spans="1:20" x14ac:dyDescent="0.25">
      <c r="A35">
        <v>11</v>
      </c>
      <c r="D35" t="s">
        <v>535</v>
      </c>
      <c r="I35">
        <f>SUM(I30:I34)</f>
        <v>0</v>
      </c>
      <c r="K35">
        <f>SUM(K30:K34)</f>
        <v>0</v>
      </c>
      <c r="M35">
        <f>SUM(M30:M34)</f>
        <v>0</v>
      </c>
      <c r="O35">
        <f>SUM(O30:O34)</f>
        <v>0</v>
      </c>
      <c r="R35">
        <f t="shared" si="0"/>
        <v>11</v>
      </c>
    </row>
    <row r="39" spans="1:20" x14ac:dyDescent="0.25">
      <c r="C39" t="s">
        <v>536</v>
      </c>
    </row>
    <row r="40" spans="1:20" x14ac:dyDescent="0.25">
      <c r="A40">
        <v>12</v>
      </c>
      <c r="C40" t="s">
        <v>537</v>
      </c>
      <c r="R40">
        <f>A40</f>
        <v>12</v>
      </c>
      <c r="T40" t="s">
        <v>538</v>
      </c>
    </row>
    <row r="41" spans="1:20" x14ac:dyDescent="0.25">
      <c r="A41">
        <v>13</v>
      </c>
      <c r="C41" t="s">
        <v>350</v>
      </c>
      <c r="R41">
        <f>A41</f>
        <v>13</v>
      </c>
      <c r="T41">
        <v>186</v>
      </c>
    </row>
    <row r="42" spans="1:20" x14ac:dyDescent="0.25">
      <c r="A42">
        <v>14</v>
      </c>
      <c r="D42" t="s">
        <v>539</v>
      </c>
      <c r="I42">
        <f>SUM(I40:I41)</f>
        <v>0</v>
      </c>
      <c r="K42">
        <f>SUM(K40:K41)</f>
        <v>0</v>
      </c>
      <c r="M42">
        <f>SUM(M40:M41)</f>
        <v>0</v>
      </c>
      <c r="O42">
        <f>SUM(O40:O41)</f>
        <v>0</v>
      </c>
      <c r="R42">
        <f>A42</f>
        <v>14</v>
      </c>
    </row>
    <row r="46" spans="1:20" x14ac:dyDescent="0.25">
      <c r="A46">
        <v>15</v>
      </c>
      <c r="C46" t="s">
        <v>540</v>
      </c>
      <c r="I46">
        <f>I42+I35+I25+I19</f>
        <v>0</v>
      </c>
      <c r="K46">
        <f>K42+K35+K25+K19</f>
        <v>0</v>
      </c>
      <c r="M46">
        <f>M42+M35+M25+M19</f>
        <v>0</v>
      </c>
      <c r="O46">
        <f>O42+O35+O25+O19</f>
        <v>0</v>
      </c>
      <c r="R46">
        <f>A46</f>
        <v>15</v>
      </c>
    </row>
    <row r="52" spans="1:20" x14ac:dyDescent="0.25">
      <c r="A52" t="s">
        <v>541</v>
      </c>
    </row>
    <row r="53" spans="1:20" x14ac:dyDescent="0.25">
      <c r="A53" t="s">
        <v>483</v>
      </c>
    </row>
    <row r="54" spans="1:20" x14ac:dyDescent="0.25">
      <c r="A54" t="s">
        <v>510</v>
      </c>
    </row>
    <row r="55" spans="1:20" x14ac:dyDescent="0.25">
      <c r="A55" t="s">
        <v>344</v>
      </c>
    </row>
    <row r="56" spans="1:20" x14ac:dyDescent="0.25">
      <c r="A56">
        <v>36891</v>
      </c>
    </row>
    <row r="57" spans="1:20" x14ac:dyDescent="0.25">
      <c r="A57" t="s">
        <v>511</v>
      </c>
    </row>
    <row r="58" spans="1:20" x14ac:dyDescent="0.25">
      <c r="A58" t="s">
        <v>487</v>
      </c>
    </row>
    <row r="62" spans="1:20" x14ac:dyDescent="0.25">
      <c r="J62" t="s">
        <v>489</v>
      </c>
    </row>
    <row r="63" spans="1:20" x14ac:dyDescent="0.25">
      <c r="N63" t="s">
        <v>480</v>
      </c>
      <c r="T63" t="s">
        <v>512</v>
      </c>
    </row>
    <row r="64" spans="1:20" x14ac:dyDescent="0.25">
      <c r="A64" t="s">
        <v>490</v>
      </c>
      <c r="I64" t="s">
        <v>513</v>
      </c>
      <c r="K64" t="s">
        <v>513</v>
      </c>
      <c r="M64" t="s">
        <v>513</v>
      </c>
      <c r="O64" t="s">
        <v>513</v>
      </c>
      <c r="R64" t="s">
        <v>490</v>
      </c>
      <c r="T64" t="s">
        <v>2</v>
      </c>
    </row>
    <row r="65" spans="1:20" x14ac:dyDescent="0.25">
      <c r="A65" t="s">
        <v>491</v>
      </c>
      <c r="C65" t="s">
        <v>7</v>
      </c>
      <c r="I65" t="s">
        <v>514</v>
      </c>
      <c r="K65" t="s">
        <v>515</v>
      </c>
      <c r="M65" t="s">
        <v>514</v>
      </c>
      <c r="O65" t="s">
        <v>515</v>
      </c>
      <c r="R65" t="s">
        <v>491</v>
      </c>
      <c r="T65" t="s">
        <v>516</v>
      </c>
    </row>
    <row r="68" spans="1:20" x14ac:dyDescent="0.25">
      <c r="C68" t="s">
        <v>542</v>
      </c>
    </row>
    <row r="69" spans="1:20" x14ac:dyDescent="0.25">
      <c r="A69">
        <v>16</v>
      </c>
      <c r="C69" t="s">
        <v>543</v>
      </c>
      <c r="R69">
        <f>A69</f>
        <v>16</v>
      </c>
      <c r="T69" t="s">
        <v>544</v>
      </c>
    </row>
    <row r="70" spans="1:20" x14ac:dyDescent="0.25">
      <c r="A70">
        <v>17</v>
      </c>
      <c r="D70" t="s">
        <v>545</v>
      </c>
      <c r="I70">
        <f>SUM(I69)</f>
        <v>0</v>
      </c>
      <c r="K70">
        <f>SUM(K69)</f>
        <v>0</v>
      </c>
      <c r="M70">
        <f>SUM(M69)</f>
        <v>0</v>
      </c>
      <c r="O70">
        <f>SUM(O69)</f>
        <v>0</v>
      </c>
      <c r="R70">
        <f>A70</f>
        <v>17</v>
      </c>
    </row>
    <row r="73" spans="1:20" x14ac:dyDescent="0.25">
      <c r="C73" t="s">
        <v>84</v>
      </c>
    </row>
    <row r="74" spans="1:20" x14ac:dyDescent="0.25">
      <c r="C74" t="s">
        <v>546</v>
      </c>
    </row>
    <row r="75" spans="1:20" x14ac:dyDescent="0.25">
      <c r="A75">
        <v>18</v>
      </c>
      <c r="C75" t="s">
        <v>103</v>
      </c>
      <c r="R75">
        <f>A75</f>
        <v>18</v>
      </c>
      <c r="T75" t="s">
        <v>547</v>
      </c>
    </row>
    <row r="76" spans="1:20" x14ac:dyDescent="0.25">
      <c r="A76">
        <v>19</v>
      </c>
      <c r="C76" t="s">
        <v>548</v>
      </c>
      <c r="M76">
        <v>0</v>
      </c>
      <c r="R76">
        <f>A76</f>
        <v>19</v>
      </c>
      <c r="T76" t="s">
        <v>549</v>
      </c>
    </row>
    <row r="77" spans="1:20" x14ac:dyDescent="0.25">
      <c r="A77">
        <v>20</v>
      </c>
      <c r="D77" t="s">
        <v>550</v>
      </c>
      <c r="I77">
        <f>SUM(I75:I76)</f>
        <v>0</v>
      </c>
      <c r="K77">
        <f>SUM(K75:K76)</f>
        <v>0</v>
      </c>
      <c r="M77">
        <f>SUM(M75:M76)</f>
        <v>0</v>
      </c>
      <c r="O77">
        <f>SUM(O75:O76)</f>
        <v>0</v>
      </c>
      <c r="R77">
        <f>A77</f>
        <v>20</v>
      </c>
    </row>
    <row r="81" spans="1:20" x14ac:dyDescent="0.25">
      <c r="C81" t="s">
        <v>551</v>
      </c>
    </row>
    <row r="82" spans="1:20" x14ac:dyDescent="0.25">
      <c r="A82">
        <v>21</v>
      </c>
      <c r="C82" t="s">
        <v>552</v>
      </c>
      <c r="R82">
        <f>A82</f>
        <v>21</v>
      </c>
      <c r="T82">
        <v>221</v>
      </c>
    </row>
    <row r="83" spans="1:20" x14ac:dyDescent="0.25">
      <c r="A83">
        <v>22</v>
      </c>
      <c r="C83" t="s">
        <v>375</v>
      </c>
      <c r="R83">
        <f>A83</f>
        <v>22</v>
      </c>
      <c r="T83" t="s">
        <v>553</v>
      </c>
    </row>
    <row r="84" spans="1:20" x14ac:dyDescent="0.25">
      <c r="A84">
        <v>23</v>
      </c>
      <c r="C84" t="s">
        <v>554</v>
      </c>
      <c r="R84">
        <f>A84</f>
        <v>23</v>
      </c>
      <c r="T84" t="s">
        <v>555</v>
      </c>
    </row>
    <row r="85" spans="1:20" x14ac:dyDescent="0.25">
      <c r="A85">
        <v>24</v>
      </c>
      <c r="D85" t="s">
        <v>556</v>
      </c>
      <c r="I85">
        <f>SUM(I82:I84)</f>
        <v>0</v>
      </c>
      <c r="K85">
        <f>SUM(K82:K84)</f>
        <v>0</v>
      </c>
      <c r="M85">
        <f>SUM(M82:M84)</f>
        <v>0</v>
      </c>
      <c r="O85">
        <f>SUM(O82:O84)</f>
        <v>0</v>
      </c>
      <c r="R85">
        <f>A85</f>
        <v>24</v>
      </c>
    </row>
    <row r="89" spans="1:20" x14ac:dyDescent="0.25">
      <c r="A89">
        <v>25</v>
      </c>
      <c r="C89" t="s">
        <v>557</v>
      </c>
      <c r="I89">
        <f>I85+I77+I70</f>
        <v>0</v>
      </c>
      <c r="K89">
        <f>K85+K77+K70</f>
        <v>0</v>
      </c>
      <c r="M89">
        <f>M85+M77+M70</f>
        <v>0</v>
      </c>
      <c r="O89">
        <f>O85+O77+O70</f>
        <v>0</v>
      </c>
      <c r="R89">
        <f>A89</f>
        <v>25</v>
      </c>
    </row>
    <row r="95" spans="1:20" x14ac:dyDescent="0.25">
      <c r="A95" t="s">
        <v>84</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B7E7C-4B40-4FA1-9B39-62310E70FF2A}">
  <dimension ref="A1:K43"/>
  <sheetViews>
    <sheetView workbookViewId="0"/>
  </sheetViews>
  <sheetFormatPr defaultRowHeight="15" x14ac:dyDescent="0.25"/>
  <sheetData>
    <row r="1" spans="1:11" x14ac:dyDescent="0.25">
      <c r="A1" t="s">
        <v>558</v>
      </c>
    </row>
    <row r="2" spans="1:11" x14ac:dyDescent="0.25">
      <c r="A2" t="s">
        <v>559</v>
      </c>
    </row>
    <row r="3" spans="1:11" x14ac:dyDescent="0.25">
      <c r="A3" t="s">
        <v>560</v>
      </c>
    </row>
    <row r="6" spans="1:11" x14ac:dyDescent="0.25">
      <c r="A6" t="s">
        <v>561</v>
      </c>
    </row>
    <row r="7" spans="1:11" x14ac:dyDescent="0.25">
      <c r="B7" t="s">
        <v>562</v>
      </c>
      <c r="K7" t="s">
        <v>563</v>
      </c>
    </row>
    <row r="9" spans="1:11" x14ac:dyDescent="0.25">
      <c r="B9" t="s">
        <v>564</v>
      </c>
      <c r="K9" t="s">
        <v>563</v>
      </c>
    </row>
    <row r="10" spans="1:11" x14ac:dyDescent="0.25">
      <c r="B10" t="s">
        <v>565</v>
      </c>
      <c r="K10" t="s">
        <v>563</v>
      </c>
    </row>
    <row r="11" spans="1:11" x14ac:dyDescent="0.25">
      <c r="B11" t="s">
        <v>566</v>
      </c>
      <c r="K11" t="s">
        <v>563</v>
      </c>
    </row>
    <row r="12" spans="1:11" x14ac:dyDescent="0.25">
      <c r="C12" t="s">
        <v>567</v>
      </c>
      <c r="J12">
        <f>SUM(J7:J11)</f>
        <v>0</v>
      </c>
    </row>
    <row r="14" spans="1:11" x14ac:dyDescent="0.25">
      <c r="B14" t="s">
        <v>568</v>
      </c>
    </row>
    <row r="15" spans="1:11" x14ac:dyDescent="0.25">
      <c r="C15" t="s">
        <v>569</v>
      </c>
    </row>
    <row r="16" spans="1:11" x14ac:dyDescent="0.25">
      <c r="C16" t="s">
        <v>570</v>
      </c>
    </row>
    <row r="17" spans="2:10" x14ac:dyDescent="0.25">
      <c r="C17" t="s">
        <v>571</v>
      </c>
    </row>
    <row r="18" spans="2:10" x14ac:dyDescent="0.25">
      <c r="C18" t="s">
        <v>572</v>
      </c>
    </row>
    <row r="19" spans="2:10" x14ac:dyDescent="0.25">
      <c r="C19" t="s">
        <v>573</v>
      </c>
    </row>
    <row r="20" spans="2:10" x14ac:dyDescent="0.25">
      <c r="C20" t="s">
        <v>574</v>
      </c>
    </row>
    <row r="21" spans="2:10" x14ac:dyDescent="0.25">
      <c r="B21" t="s">
        <v>575</v>
      </c>
    </row>
    <row r="22" spans="2:10" x14ac:dyDescent="0.25">
      <c r="B22" t="s">
        <v>576</v>
      </c>
      <c r="J22">
        <v>0</v>
      </c>
    </row>
    <row r="24" spans="2:10" x14ac:dyDescent="0.25">
      <c r="J24">
        <f>SUM(J12:J22)</f>
        <v>0</v>
      </c>
    </row>
    <row r="26" spans="2:10" x14ac:dyDescent="0.25">
      <c r="B26" t="s">
        <v>577</v>
      </c>
    </row>
    <row r="27" spans="2:10" x14ac:dyDescent="0.25">
      <c r="B27" t="s">
        <v>578</v>
      </c>
    </row>
    <row r="28" spans="2:10" x14ac:dyDescent="0.25">
      <c r="B28" t="s">
        <v>579</v>
      </c>
    </row>
    <row r="30" spans="2:10" x14ac:dyDescent="0.25">
      <c r="B30" t="s">
        <v>580</v>
      </c>
      <c r="J30">
        <f>J24+J27+J26+J28</f>
        <v>0</v>
      </c>
    </row>
    <row r="32" spans="2:10" x14ac:dyDescent="0.25">
      <c r="B32" t="s">
        <v>581</v>
      </c>
    </row>
    <row r="34" spans="2:11" x14ac:dyDescent="0.25">
      <c r="B34" t="s">
        <v>582</v>
      </c>
      <c r="J34">
        <f>J30-J32</f>
        <v>0</v>
      </c>
      <c r="K34" t="s">
        <v>583</v>
      </c>
    </row>
    <row r="37" spans="2:11" x14ac:dyDescent="0.25">
      <c r="B37" t="s">
        <v>584</v>
      </c>
    </row>
    <row r="39" spans="2:11" x14ac:dyDescent="0.25">
      <c r="B39" t="s">
        <v>585</v>
      </c>
      <c r="G39">
        <v>0</v>
      </c>
    </row>
    <row r="40" spans="2:11" x14ac:dyDescent="0.25">
      <c r="B40" t="s">
        <v>586</v>
      </c>
    </row>
    <row r="41" spans="2:11" x14ac:dyDescent="0.25">
      <c r="B41" t="s">
        <v>587</v>
      </c>
    </row>
    <row r="43" spans="2:11" x14ac:dyDescent="0.25">
      <c r="B43" t="s">
        <v>588</v>
      </c>
      <c r="G43">
        <f>G39+G40-G41</f>
        <v>0</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231D2-FCE0-4F81-A5AE-E9465A5D9F34}">
  <dimension ref="A1:Q41"/>
  <sheetViews>
    <sheetView workbookViewId="0"/>
  </sheetViews>
  <sheetFormatPr defaultRowHeight="15" x14ac:dyDescent="0.25"/>
  <sheetData>
    <row r="1" spans="1:17" x14ac:dyDescent="0.25">
      <c r="A1" t="s">
        <v>483</v>
      </c>
    </row>
    <row r="2" spans="1:17" x14ac:dyDescent="0.25">
      <c r="A2" t="s">
        <v>589</v>
      </c>
    </row>
    <row r="3" spans="1:17" x14ac:dyDescent="0.25">
      <c r="A3" t="s">
        <v>590</v>
      </c>
    </row>
    <row r="4" spans="1:17" x14ac:dyDescent="0.25">
      <c r="A4" t="s">
        <v>591</v>
      </c>
    </row>
    <row r="5" spans="1:17" x14ac:dyDescent="0.25">
      <c r="A5" t="s">
        <v>511</v>
      </c>
    </row>
    <row r="6" spans="1:17" x14ac:dyDescent="0.25">
      <c r="A6" t="s">
        <v>487</v>
      </c>
    </row>
    <row r="11" spans="1:17" x14ac:dyDescent="0.25">
      <c r="K11" t="s">
        <v>489</v>
      </c>
      <c r="M11" t="s">
        <v>480</v>
      </c>
    </row>
    <row r="12" spans="1:17" x14ac:dyDescent="0.25">
      <c r="A12" t="s">
        <v>490</v>
      </c>
      <c r="K12" t="s">
        <v>513</v>
      </c>
      <c r="M12" t="s">
        <v>513</v>
      </c>
      <c r="O12" t="s">
        <v>490</v>
      </c>
      <c r="Q12" t="s">
        <v>2</v>
      </c>
    </row>
    <row r="13" spans="1:17" x14ac:dyDescent="0.25">
      <c r="A13" t="s">
        <v>491</v>
      </c>
      <c r="C13" t="s">
        <v>7</v>
      </c>
      <c r="K13" t="s">
        <v>515</v>
      </c>
      <c r="M13" t="s">
        <v>515</v>
      </c>
      <c r="O13" t="s">
        <v>491</v>
      </c>
      <c r="Q13" t="s">
        <v>516</v>
      </c>
    </row>
    <row r="16" spans="1:17" x14ac:dyDescent="0.25">
      <c r="C16" t="s">
        <v>592</v>
      </c>
    </row>
    <row r="17" spans="1:17" x14ac:dyDescent="0.25">
      <c r="A17">
        <v>1</v>
      </c>
      <c r="C17" t="s">
        <v>593</v>
      </c>
      <c r="O17">
        <f t="shared" ref="O17:O24" si="0">A17</f>
        <v>1</v>
      </c>
      <c r="Q17">
        <v>400</v>
      </c>
    </row>
    <row r="18" spans="1:17" x14ac:dyDescent="0.25">
      <c r="A18">
        <v>2</v>
      </c>
      <c r="C18" t="s">
        <v>429</v>
      </c>
      <c r="O18">
        <f t="shared" si="0"/>
        <v>2</v>
      </c>
    </row>
    <row r="19" spans="1:17" x14ac:dyDescent="0.25">
      <c r="A19">
        <v>3</v>
      </c>
      <c r="D19" t="s">
        <v>464</v>
      </c>
      <c r="O19">
        <f t="shared" si="0"/>
        <v>3</v>
      </c>
      <c r="Q19">
        <v>401</v>
      </c>
    </row>
    <row r="20" spans="1:17" x14ac:dyDescent="0.25">
      <c r="A20">
        <v>4</v>
      </c>
      <c r="D20" t="s">
        <v>465</v>
      </c>
      <c r="O20">
        <f t="shared" si="0"/>
        <v>4</v>
      </c>
      <c r="Q20">
        <v>402</v>
      </c>
    </row>
    <row r="21" spans="1:17" x14ac:dyDescent="0.25">
      <c r="A21">
        <v>5</v>
      </c>
      <c r="D21" t="s">
        <v>594</v>
      </c>
      <c r="O21">
        <f t="shared" si="0"/>
        <v>5</v>
      </c>
      <c r="Q21">
        <v>403</v>
      </c>
    </row>
    <row r="22" spans="1:17" x14ac:dyDescent="0.25">
      <c r="A22">
        <v>6</v>
      </c>
      <c r="D22" t="s">
        <v>595</v>
      </c>
      <c r="O22">
        <f t="shared" si="0"/>
        <v>6</v>
      </c>
      <c r="Q22">
        <v>402</v>
      </c>
    </row>
    <row r="23" spans="1:17" x14ac:dyDescent="0.25">
      <c r="A23">
        <v>7</v>
      </c>
      <c r="E23" t="s">
        <v>596</v>
      </c>
      <c r="K23">
        <f>SUM(K19:K22)</f>
        <v>0</v>
      </c>
      <c r="M23">
        <f>SUM(M19:M22)</f>
        <v>0</v>
      </c>
      <c r="O23">
        <f t="shared" si="0"/>
        <v>7</v>
      </c>
    </row>
    <row r="24" spans="1:17" x14ac:dyDescent="0.25">
      <c r="A24">
        <v>8</v>
      </c>
      <c r="C24" t="s">
        <v>597</v>
      </c>
      <c r="K24">
        <f>K17-K23</f>
        <v>0</v>
      </c>
      <c r="M24">
        <f>M17-M23</f>
        <v>0</v>
      </c>
      <c r="O24">
        <f t="shared" si="0"/>
        <v>8</v>
      </c>
    </row>
    <row r="28" spans="1:17" x14ac:dyDescent="0.25">
      <c r="C28" t="s">
        <v>598</v>
      </c>
    </row>
    <row r="29" spans="1:17" x14ac:dyDescent="0.25">
      <c r="A29">
        <v>9</v>
      </c>
      <c r="C29" t="s">
        <v>599</v>
      </c>
      <c r="O29">
        <f>A29</f>
        <v>9</v>
      </c>
      <c r="Q29">
        <v>419</v>
      </c>
    </row>
    <row r="33" spans="1:17" x14ac:dyDescent="0.25">
      <c r="C33" t="s">
        <v>600</v>
      </c>
    </row>
    <row r="34" spans="1:17" x14ac:dyDescent="0.25">
      <c r="A34">
        <v>10</v>
      </c>
      <c r="C34" t="s">
        <v>475</v>
      </c>
      <c r="O34">
        <f>A34</f>
        <v>10</v>
      </c>
      <c r="Q34">
        <v>427</v>
      </c>
    </row>
    <row r="35" spans="1:17" x14ac:dyDescent="0.25">
      <c r="A35">
        <v>11</v>
      </c>
      <c r="C35" t="s">
        <v>601</v>
      </c>
      <c r="O35">
        <f>A35</f>
        <v>11</v>
      </c>
      <c r="Q35">
        <v>428</v>
      </c>
    </row>
    <row r="36" spans="1:17" x14ac:dyDescent="0.25">
      <c r="A36">
        <v>12</v>
      </c>
      <c r="C36" t="s">
        <v>602</v>
      </c>
      <c r="O36">
        <f>A36</f>
        <v>12</v>
      </c>
      <c r="Q36">
        <v>431</v>
      </c>
    </row>
    <row r="37" spans="1:17" x14ac:dyDescent="0.25">
      <c r="A37">
        <v>13</v>
      </c>
      <c r="D37" t="s">
        <v>603</v>
      </c>
      <c r="K37">
        <f>SUM(K34:K36)</f>
        <v>0</v>
      </c>
      <c r="M37">
        <f>SUM(M34:M36)</f>
        <v>0</v>
      </c>
      <c r="O37">
        <f>A37</f>
        <v>13</v>
      </c>
    </row>
    <row r="41" spans="1:17" x14ac:dyDescent="0.25">
      <c r="A41">
        <v>14</v>
      </c>
      <c r="C41" t="s">
        <v>604</v>
      </c>
      <c r="K41">
        <f>K24+K29-K37</f>
        <v>0</v>
      </c>
      <c r="M41">
        <f>M24+M29-M37</f>
        <v>0</v>
      </c>
      <c r="O41">
        <f>A41</f>
        <v>14</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8AE92-6E7D-4DEB-BBC8-A2B7518EE9C9}">
  <dimension ref="A1:Q34"/>
  <sheetViews>
    <sheetView workbookViewId="0"/>
  </sheetViews>
  <sheetFormatPr defaultRowHeight="15" x14ac:dyDescent="0.25"/>
  <sheetData>
    <row r="1" spans="1:16" x14ac:dyDescent="0.25">
      <c r="A1" t="s">
        <v>483</v>
      </c>
      <c r="O1" t="s">
        <v>605</v>
      </c>
    </row>
    <row r="2" spans="1:16" x14ac:dyDescent="0.25">
      <c r="A2" t="s">
        <v>606</v>
      </c>
    </row>
    <row r="3" spans="1:16" x14ac:dyDescent="0.25">
      <c r="A3" t="s">
        <v>370</v>
      </c>
    </row>
    <row r="4" spans="1:16" x14ac:dyDescent="0.25">
      <c r="A4">
        <v>36891</v>
      </c>
    </row>
    <row r="5" spans="1:16" x14ac:dyDescent="0.25">
      <c r="A5" t="s">
        <v>511</v>
      </c>
    </row>
    <row r="6" spans="1:16" x14ac:dyDescent="0.25">
      <c r="A6" t="s">
        <v>487</v>
      </c>
    </row>
    <row r="12" spans="1:16" x14ac:dyDescent="0.25">
      <c r="A12" t="s">
        <v>490</v>
      </c>
      <c r="I12" t="s">
        <v>489</v>
      </c>
      <c r="K12" t="s">
        <v>480</v>
      </c>
      <c r="M12" t="s">
        <v>490</v>
      </c>
      <c r="O12" t="s">
        <v>489</v>
      </c>
      <c r="P12">
        <v>2000</v>
      </c>
    </row>
    <row r="13" spans="1:16" x14ac:dyDescent="0.25">
      <c r="A13" t="s">
        <v>491</v>
      </c>
      <c r="C13" t="s">
        <v>7</v>
      </c>
      <c r="I13" t="s">
        <v>493</v>
      </c>
      <c r="K13" t="s">
        <v>493</v>
      </c>
      <c r="M13" t="s">
        <v>491</v>
      </c>
      <c r="O13" t="s">
        <v>607</v>
      </c>
      <c r="P13" t="s">
        <v>607</v>
      </c>
    </row>
    <row r="17" spans="1:17" x14ac:dyDescent="0.25">
      <c r="C17" t="s">
        <v>608</v>
      </c>
    </row>
    <row r="18" spans="1:17" x14ac:dyDescent="0.25">
      <c r="A18">
        <v>1</v>
      </c>
      <c r="C18" t="s">
        <v>609</v>
      </c>
      <c r="I18">
        <v>-69156</v>
      </c>
      <c r="K18">
        <f>+I23</f>
        <v>-69156</v>
      </c>
      <c r="M18">
        <f>A18</f>
        <v>1</v>
      </c>
    </row>
    <row r="19" spans="1:17" x14ac:dyDescent="0.25">
      <c r="D19" t="s">
        <v>84</v>
      </c>
    </row>
    <row r="20" spans="1:17" x14ac:dyDescent="0.25">
      <c r="A20">
        <v>2</v>
      </c>
      <c r="C20" t="s">
        <v>610</v>
      </c>
      <c r="M20">
        <f>A20</f>
        <v>2</v>
      </c>
    </row>
    <row r="21" spans="1:17" x14ac:dyDescent="0.25">
      <c r="A21">
        <v>3</v>
      </c>
      <c r="C21" t="s">
        <v>611</v>
      </c>
      <c r="M21">
        <f>A21</f>
        <v>3</v>
      </c>
    </row>
    <row r="23" spans="1:17" x14ac:dyDescent="0.25">
      <c r="A23">
        <v>4</v>
      </c>
      <c r="C23" t="s">
        <v>612</v>
      </c>
      <c r="I23">
        <f>I18+I20-I21</f>
        <v>-69156</v>
      </c>
      <c r="K23">
        <f>K18+K20-K21</f>
        <v>-69156</v>
      </c>
      <c r="M23">
        <f>A23</f>
        <v>4</v>
      </c>
      <c r="Q23" t="s">
        <v>613</v>
      </c>
    </row>
    <row r="27" spans="1:17" x14ac:dyDescent="0.25">
      <c r="C27" t="s">
        <v>614</v>
      </c>
    </row>
    <row r="29" spans="1:17" x14ac:dyDescent="0.25">
      <c r="A29">
        <v>5</v>
      </c>
      <c r="C29" t="s">
        <v>615</v>
      </c>
      <c r="M29">
        <f>A29</f>
        <v>5</v>
      </c>
    </row>
    <row r="31" spans="1:17" x14ac:dyDescent="0.25">
      <c r="A31">
        <v>6</v>
      </c>
      <c r="C31" t="s">
        <v>616</v>
      </c>
      <c r="I31">
        <f>I21</f>
        <v>0</v>
      </c>
      <c r="K31">
        <f>K21</f>
        <v>0</v>
      </c>
      <c r="M31">
        <f>A31</f>
        <v>6</v>
      </c>
    </row>
    <row r="32" spans="1:17" x14ac:dyDescent="0.25">
      <c r="A32">
        <v>7</v>
      </c>
      <c r="C32" t="s">
        <v>617</v>
      </c>
      <c r="I32">
        <v>0</v>
      </c>
      <c r="K32">
        <v>0</v>
      </c>
      <c r="M32">
        <f>A32</f>
        <v>7</v>
      </c>
      <c r="O32" t="s">
        <v>618</v>
      </c>
    </row>
    <row r="34" spans="1:17" x14ac:dyDescent="0.25">
      <c r="A34">
        <v>8</v>
      </c>
      <c r="C34" t="s">
        <v>619</v>
      </c>
      <c r="I34">
        <f>I29+I31</f>
        <v>0</v>
      </c>
      <c r="K34">
        <f>K29+K31</f>
        <v>0</v>
      </c>
      <c r="M34">
        <f>A34</f>
        <v>8</v>
      </c>
      <c r="Q34" t="s">
        <v>613</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4CB8E-F0A5-4939-AFFC-0239B12431F9}">
  <dimension ref="A1:AC38"/>
  <sheetViews>
    <sheetView workbookViewId="0"/>
  </sheetViews>
  <sheetFormatPr defaultRowHeight="15" x14ac:dyDescent="0.25"/>
  <sheetData>
    <row r="1" spans="1:25" x14ac:dyDescent="0.25">
      <c r="A1" t="s">
        <v>483</v>
      </c>
    </row>
    <row r="2" spans="1:25" x14ac:dyDescent="0.25">
      <c r="A2" t="s">
        <v>620</v>
      </c>
    </row>
    <row r="3" spans="1:25" x14ac:dyDescent="0.25">
      <c r="A3" t="s">
        <v>621</v>
      </c>
    </row>
    <row r="4" spans="1:25" x14ac:dyDescent="0.25">
      <c r="A4">
        <v>36891</v>
      </c>
    </row>
    <row r="5" spans="1:25" x14ac:dyDescent="0.25">
      <c r="A5" t="s">
        <v>487</v>
      </c>
    </row>
    <row r="10" spans="1:25" x14ac:dyDescent="0.25">
      <c r="C10" t="s">
        <v>84</v>
      </c>
      <c r="K10" t="s">
        <v>489</v>
      </c>
      <c r="M10" t="s">
        <v>84</v>
      </c>
      <c r="U10" t="s">
        <v>480</v>
      </c>
    </row>
    <row r="11" spans="1:25" x14ac:dyDescent="0.25">
      <c r="A11" t="s">
        <v>490</v>
      </c>
      <c r="K11" t="s">
        <v>622</v>
      </c>
      <c r="U11" t="s">
        <v>622</v>
      </c>
      <c r="W11" t="s">
        <v>490</v>
      </c>
    </row>
    <row r="12" spans="1:25" x14ac:dyDescent="0.25">
      <c r="A12" t="s">
        <v>491</v>
      </c>
      <c r="C12" t="s">
        <v>623</v>
      </c>
      <c r="K12" t="s">
        <v>624</v>
      </c>
      <c r="M12" t="s">
        <v>623</v>
      </c>
      <c r="U12" t="s">
        <v>624</v>
      </c>
      <c r="W12" t="s">
        <v>491</v>
      </c>
      <c r="Y12" t="s">
        <v>625</v>
      </c>
    </row>
    <row r="15" spans="1:25" x14ac:dyDescent="0.25">
      <c r="A15">
        <v>1</v>
      </c>
      <c r="C15" t="s">
        <v>496</v>
      </c>
      <c r="K15">
        <v>0</v>
      </c>
      <c r="M15" t="s">
        <v>496</v>
      </c>
      <c r="U15">
        <v>0</v>
      </c>
      <c r="W15">
        <f>A15</f>
        <v>1</v>
      </c>
      <c r="Y15" t="s">
        <v>84</v>
      </c>
    </row>
    <row r="16" spans="1:25" x14ac:dyDescent="0.25">
      <c r="A16">
        <v>2</v>
      </c>
      <c r="C16" t="s">
        <v>626</v>
      </c>
      <c r="K16">
        <f>K30</f>
        <v>0</v>
      </c>
      <c r="M16" t="s">
        <v>626</v>
      </c>
      <c r="U16">
        <f>U30</f>
        <v>0</v>
      </c>
      <c r="W16">
        <f>A16</f>
        <v>2</v>
      </c>
    </row>
    <row r="17" spans="1:29" x14ac:dyDescent="0.25">
      <c r="A17">
        <v>3</v>
      </c>
      <c r="C17" t="s">
        <v>627</v>
      </c>
      <c r="K17">
        <f>K31</f>
        <v>0</v>
      </c>
      <c r="M17" t="s">
        <v>627</v>
      </c>
      <c r="U17">
        <f>U31</f>
        <v>0</v>
      </c>
      <c r="W17">
        <f>A17</f>
        <v>3</v>
      </c>
    </row>
    <row r="18" spans="1:29" x14ac:dyDescent="0.25">
      <c r="W18" t="s">
        <v>84</v>
      </c>
    </row>
    <row r="19" spans="1:29" x14ac:dyDescent="0.25">
      <c r="A19">
        <v>4</v>
      </c>
      <c r="D19" t="s">
        <v>628</v>
      </c>
      <c r="K19">
        <f>SUM(K15:K17)</f>
        <v>0</v>
      </c>
      <c r="N19" t="s">
        <v>628</v>
      </c>
      <c r="U19">
        <f>SUM(U15:U17)</f>
        <v>0</v>
      </c>
      <c r="W19">
        <f>A19</f>
        <v>4</v>
      </c>
      <c r="Y19" t="s">
        <v>629</v>
      </c>
    </row>
    <row r="20" spans="1:29" x14ac:dyDescent="0.25">
      <c r="Y20">
        <f>SUM(K30:K31)-K19</f>
        <v>0</v>
      </c>
    </row>
    <row r="21" spans="1:29" x14ac:dyDescent="0.25">
      <c r="Y21" t="s">
        <v>630</v>
      </c>
    </row>
    <row r="25" spans="1:29" x14ac:dyDescent="0.25">
      <c r="G25" t="s">
        <v>624</v>
      </c>
      <c r="K25" t="s">
        <v>631</v>
      </c>
      <c r="Q25" t="s">
        <v>624</v>
      </c>
      <c r="U25" t="s">
        <v>631</v>
      </c>
    </row>
    <row r="26" spans="1:29" x14ac:dyDescent="0.25">
      <c r="G26">
        <v>36160</v>
      </c>
      <c r="I26">
        <v>36525</v>
      </c>
      <c r="K26" t="s">
        <v>632</v>
      </c>
      <c r="Q26">
        <v>36525</v>
      </c>
      <c r="S26">
        <v>36891</v>
      </c>
      <c r="U26" t="s">
        <v>632</v>
      </c>
    </row>
    <row r="28" spans="1:29" x14ac:dyDescent="0.25">
      <c r="W28" t="s">
        <v>84</v>
      </c>
    </row>
    <row r="29" spans="1:29" x14ac:dyDescent="0.25">
      <c r="A29">
        <v>5</v>
      </c>
      <c r="C29" t="s">
        <v>496</v>
      </c>
      <c r="G29">
        <v>0</v>
      </c>
      <c r="I29">
        <v>0</v>
      </c>
      <c r="K29">
        <v>0</v>
      </c>
      <c r="M29" t="s">
        <v>496</v>
      </c>
      <c r="Q29">
        <f>+I29</f>
        <v>0</v>
      </c>
      <c r="S29">
        <v>0</v>
      </c>
      <c r="U29">
        <v>0</v>
      </c>
      <c r="W29">
        <f>A29</f>
        <v>5</v>
      </c>
    </row>
    <row r="30" spans="1:29" x14ac:dyDescent="0.25">
      <c r="A30">
        <v>6</v>
      </c>
      <c r="C30" t="s">
        <v>626</v>
      </c>
      <c r="K30">
        <f>SUM(G30:I30)/2</f>
        <v>0</v>
      </c>
      <c r="M30" t="s">
        <v>626</v>
      </c>
      <c r="Q30">
        <f>+I30</f>
        <v>0</v>
      </c>
      <c r="U30">
        <f>SUM(Q30:S30)/2</f>
        <v>0</v>
      </c>
      <c r="W30">
        <f>A30</f>
        <v>6</v>
      </c>
      <c r="Y30" t="s">
        <v>633</v>
      </c>
    </row>
    <row r="31" spans="1:29" x14ac:dyDescent="0.25">
      <c r="A31">
        <v>7</v>
      </c>
      <c r="C31" t="s">
        <v>627</v>
      </c>
      <c r="K31">
        <f>SUM(G31:I31)/2</f>
        <v>0</v>
      </c>
      <c r="M31" t="s">
        <v>627</v>
      </c>
      <c r="Q31">
        <f>+I31</f>
        <v>0</v>
      </c>
      <c r="U31">
        <f>SUM(Q31:S31)/2</f>
        <v>0</v>
      </c>
      <c r="W31">
        <f>A31</f>
        <v>7</v>
      </c>
      <c r="Y31">
        <v>36160</v>
      </c>
      <c r="AA31">
        <v>36525</v>
      </c>
      <c r="AC31">
        <v>36891</v>
      </c>
    </row>
    <row r="32" spans="1:29" x14ac:dyDescent="0.25">
      <c r="A32" t="s">
        <v>84</v>
      </c>
      <c r="C32" t="s">
        <v>84</v>
      </c>
      <c r="K32" t="s">
        <v>84</v>
      </c>
      <c r="M32" t="s">
        <v>84</v>
      </c>
      <c r="U32" t="s">
        <v>84</v>
      </c>
    </row>
    <row r="34" spans="3:27" x14ac:dyDescent="0.25">
      <c r="K34" t="s">
        <v>84</v>
      </c>
      <c r="Y34" t="s">
        <v>630</v>
      </c>
      <c r="AA34" t="s">
        <v>630</v>
      </c>
    </row>
    <row r="36" spans="3:27" x14ac:dyDescent="0.25">
      <c r="Y36" t="s">
        <v>84</v>
      </c>
      <c r="AA36" t="s">
        <v>84</v>
      </c>
    </row>
    <row r="37" spans="3:27" x14ac:dyDescent="0.25">
      <c r="C37" t="s">
        <v>634</v>
      </c>
    </row>
    <row r="38" spans="3:27" x14ac:dyDescent="0.25">
      <c r="C38" t="s">
        <v>635</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1B4E-85B5-454E-96C0-0F979ACA2D5D}">
  <dimension ref="A1:AD38"/>
  <sheetViews>
    <sheetView workbookViewId="0"/>
  </sheetViews>
  <sheetFormatPr defaultRowHeight="15" x14ac:dyDescent="0.25"/>
  <sheetData>
    <row r="1" spans="1:22" x14ac:dyDescent="0.25">
      <c r="A1" t="s">
        <v>483</v>
      </c>
    </row>
    <row r="2" spans="1:22" x14ac:dyDescent="0.25">
      <c r="A2" t="s">
        <v>636</v>
      </c>
    </row>
    <row r="3" spans="1:22" x14ac:dyDescent="0.25">
      <c r="A3" t="s">
        <v>637</v>
      </c>
    </row>
    <row r="4" spans="1:22" x14ac:dyDescent="0.25">
      <c r="A4">
        <v>36891</v>
      </c>
    </row>
    <row r="5" spans="1:22" x14ac:dyDescent="0.25">
      <c r="A5" t="s">
        <v>487</v>
      </c>
    </row>
    <row r="10" spans="1:22" x14ac:dyDescent="0.25">
      <c r="K10" t="s">
        <v>489</v>
      </c>
      <c r="U10" t="s">
        <v>480</v>
      </c>
    </row>
    <row r="11" spans="1:22" x14ac:dyDescent="0.25">
      <c r="A11" t="s">
        <v>490</v>
      </c>
      <c r="K11" t="s">
        <v>622</v>
      </c>
      <c r="U11" t="s">
        <v>622</v>
      </c>
      <c r="V11" t="s">
        <v>490</v>
      </c>
    </row>
    <row r="12" spans="1:22" x14ac:dyDescent="0.25">
      <c r="A12" t="s">
        <v>491</v>
      </c>
      <c r="C12" t="s">
        <v>623</v>
      </c>
      <c r="K12" t="s">
        <v>624</v>
      </c>
      <c r="M12" t="s">
        <v>623</v>
      </c>
      <c r="U12" t="s">
        <v>624</v>
      </c>
      <c r="V12" t="s">
        <v>491</v>
      </c>
    </row>
    <row r="15" spans="1:22" x14ac:dyDescent="0.25">
      <c r="A15">
        <v>1</v>
      </c>
      <c r="C15" t="s">
        <v>496</v>
      </c>
      <c r="K15">
        <v>0</v>
      </c>
      <c r="M15" t="s">
        <v>496</v>
      </c>
      <c r="U15">
        <v>0</v>
      </c>
      <c r="V15">
        <f>A15</f>
        <v>1</v>
      </c>
    </row>
    <row r="16" spans="1:22" x14ac:dyDescent="0.25">
      <c r="A16">
        <v>2</v>
      </c>
      <c r="C16" t="s">
        <v>626</v>
      </c>
      <c r="K16">
        <f>$K$30</f>
        <v>0</v>
      </c>
      <c r="M16" t="s">
        <v>626</v>
      </c>
      <c r="U16">
        <f>+U30</f>
        <v>0</v>
      </c>
      <c r="V16">
        <f>A16</f>
        <v>2</v>
      </c>
    </row>
    <row r="17" spans="1:30" x14ac:dyDescent="0.25">
      <c r="A17">
        <v>3</v>
      </c>
      <c r="C17" t="s">
        <v>627</v>
      </c>
      <c r="K17">
        <f>K31</f>
        <v>0</v>
      </c>
      <c r="M17" t="s">
        <v>627</v>
      </c>
      <c r="U17">
        <f>U31</f>
        <v>0</v>
      </c>
      <c r="V17">
        <f>A17</f>
        <v>3</v>
      </c>
    </row>
    <row r="18" spans="1:30" x14ac:dyDescent="0.25">
      <c r="X18" t="s">
        <v>629</v>
      </c>
    </row>
    <row r="19" spans="1:30" x14ac:dyDescent="0.25">
      <c r="A19" t="s">
        <v>84</v>
      </c>
      <c r="D19" t="s">
        <v>638</v>
      </c>
      <c r="K19">
        <f>SUM(K15:K17)</f>
        <v>0</v>
      </c>
      <c r="N19" t="s">
        <v>638</v>
      </c>
      <c r="U19">
        <f>SUM(U15:U17)</f>
        <v>0</v>
      </c>
      <c r="X19" t="s">
        <v>489</v>
      </c>
      <c r="Y19">
        <v>2000</v>
      </c>
    </row>
    <row r="20" spans="1:30" x14ac:dyDescent="0.25">
      <c r="X20">
        <f>SUM(K30:K31)-K19</f>
        <v>0</v>
      </c>
      <c r="Y20">
        <f>SUM(U30:U31)-U19</f>
        <v>0</v>
      </c>
    </row>
    <row r="25" spans="1:30" x14ac:dyDescent="0.25">
      <c r="G25" t="s">
        <v>624</v>
      </c>
      <c r="K25" t="s">
        <v>631</v>
      </c>
      <c r="Q25" t="s">
        <v>624</v>
      </c>
      <c r="U25" t="s">
        <v>631</v>
      </c>
    </row>
    <row r="26" spans="1:30" x14ac:dyDescent="0.25">
      <c r="G26">
        <v>36160</v>
      </c>
      <c r="I26">
        <v>36525</v>
      </c>
      <c r="K26" t="s">
        <v>632</v>
      </c>
      <c r="Q26">
        <v>36525</v>
      </c>
      <c r="S26">
        <v>36891</v>
      </c>
      <c r="U26" t="s">
        <v>632</v>
      </c>
    </row>
    <row r="29" spans="1:30" x14ac:dyDescent="0.25">
      <c r="A29">
        <v>4</v>
      </c>
      <c r="C29" t="s">
        <v>496</v>
      </c>
      <c r="G29">
        <v>0</v>
      </c>
      <c r="I29">
        <v>0</v>
      </c>
      <c r="K29">
        <v>0</v>
      </c>
      <c r="M29" t="s">
        <v>496</v>
      </c>
      <c r="Q29">
        <f>+I29</f>
        <v>0</v>
      </c>
      <c r="S29">
        <v>0</v>
      </c>
      <c r="U29">
        <v>0</v>
      </c>
      <c r="V29">
        <f>A29</f>
        <v>4</v>
      </c>
    </row>
    <row r="30" spans="1:30" x14ac:dyDescent="0.25">
      <c r="A30">
        <v>5</v>
      </c>
      <c r="C30" t="s">
        <v>626</v>
      </c>
      <c r="K30">
        <f>SUM(G30:I30)/2</f>
        <v>0</v>
      </c>
      <c r="M30" t="s">
        <v>626</v>
      </c>
      <c r="Q30">
        <f>+I30</f>
        <v>0</v>
      </c>
      <c r="U30">
        <f>SUM(Q30:S30)/2</f>
        <v>0</v>
      </c>
      <c r="V30">
        <f>A30</f>
        <v>5</v>
      </c>
      <c r="X30" t="s">
        <v>639</v>
      </c>
    </row>
    <row r="31" spans="1:30" x14ac:dyDescent="0.25">
      <c r="A31">
        <v>6</v>
      </c>
      <c r="C31" t="s">
        <v>627</v>
      </c>
      <c r="K31">
        <f>SUM(G31:I31)/2</f>
        <v>0</v>
      </c>
      <c r="M31" t="s">
        <v>627</v>
      </c>
      <c r="Q31">
        <f>+I31</f>
        <v>0</v>
      </c>
      <c r="U31">
        <f>SUM(Q31:S31)/2</f>
        <v>0</v>
      </c>
      <c r="V31">
        <f>A31</f>
        <v>6</v>
      </c>
      <c r="X31" t="s">
        <v>640</v>
      </c>
      <c r="Z31" t="s">
        <v>641</v>
      </c>
      <c r="AB31">
        <v>36525</v>
      </c>
      <c r="AD31">
        <v>36891</v>
      </c>
    </row>
    <row r="33" spans="3:30" x14ac:dyDescent="0.25">
      <c r="X33" t="s">
        <v>630</v>
      </c>
      <c r="Z33" t="s">
        <v>630</v>
      </c>
      <c r="AB33" t="s">
        <v>630</v>
      </c>
      <c r="AD33" t="s">
        <v>630</v>
      </c>
    </row>
    <row r="37" spans="3:30" x14ac:dyDescent="0.25">
      <c r="C37" t="s">
        <v>642</v>
      </c>
    </row>
    <row r="38" spans="3:30" x14ac:dyDescent="0.25">
      <c r="C38" t="s">
        <v>643</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EB17D-75B1-4AD6-84B7-4D6970D5E080}">
  <dimension ref="A1:P26"/>
  <sheetViews>
    <sheetView workbookViewId="0"/>
  </sheetViews>
  <sheetFormatPr defaultRowHeight="15" x14ac:dyDescent="0.25"/>
  <sheetData>
    <row r="1" spans="1:16" x14ac:dyDescent="0.25">
      <c r="A1" t="s">
        <v>483</v>
      </c>
    </row>
    <row r="2" spans="1:16" x14ac:dyDescent="0.25">
      <c r="A2" t="s">
        <v>644</v>
      </c>
    </row>
    <row r="3" spans="1:16" x14ac:dyDescent="0.25">
      <c r="A3" t="s">
        <v>645</v>
      </c>
    </row>
    <row r="4" spans="1:16" x14ac:dyDescent="0.25">
      <c r="A4">
        <v>36525</v>
      </c>
    </row>
    <row r="5" spans="1:16" x14ac:dyDescent="0.25">
      <c r="A5" t="s">
        <v>487</v>
      </c>
    </row>
    <row r="11" spans="1:16" x14ac:dyDescent="0.25">
      <c r="A11" t="s">
        <v>490</v>
      </c>
      <c r="J11" t="s">
        <v>624</v>
      </c>
      <c r="N11" t="s">
        <v>632</v>
      </c>
      <c r="P11" t="s">
        <v>490</v>
      </c>
    </row>
    <row r="12" spans="1:16" x14ac:dyDescent="0.25">
      <c r="A12" t="s">
        <v>491</v>
      </c>
      <c r="C12" t="s">
        <v>623</v>
      </c>
      <c r="J12">
        <v>36160</v>
      </c>
      <c r="L12">
        <v>36525</v>
      </c>
      <c r="N12" t="s">
        <v>624</v>
      </c>
      <c r="P12" t="s">
        <v>491</v>
      </c>
    </row>
    <row r="15" spans="1:16" x14ac:dyDescent="0.25">
      <c r="A15">
        <v>1</v>
      </c>
      <c r="C15" t="s">
        <v>646</v>
      </c>
      <c r="N15">
        <f>SUM(J15:L15)/2</f>
        <v>0</v>
      </c>
      <c r="P15">
        <v>1</v>
      </c>
    </row>
    <row r="16" spans="1:16" x14ac:dyDescent="0.25">
      <c r="N16" t="s">
        <v>84</v>
      </c>
    </row>
    <row r="19" spans="1:16" x14ac:dyDescent="0.25">
      <c r="A19">
        <v>2</v>
      </c>
      <c r="D19" t="s">
        <v>647</v>
      </c>
      <c r="J19">
        <f>J15</f>
        <v>0</v>
      </c>
      <c r="L19">
        <f>L15</f>
        <v>0</v>
      </c>
      <c r="N19">
        <f>N15</f>
        <v>0</v>
      </c>
      <c r="P19">
        <v>2</v>
      </c>
    </row>
    <row r="25" spans="1:16" x14ac:dyDescent="0.25">
      <c r="A25" t="s">
        <v>648</v>
      </c>
      <c r="C25" t="s">
        <v>649</v>
      </c>
    </row>
    <row r="26" spans="1:16" x14ac:dyDescent="0.25">
      <c r="C26" t="s">
        <v>650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7DA3A-DBED-4F4D-823E-6E321C081291}">
  <dimension ref="A1:B10"/>
  <sheetViews>
    <sheetView workbookViewId="0"/>
  </sheetViews>
  <sheetFormatPr defaultRowHeight="15" x14ac:dyDescent="0.25"/>
  <sheetData>
    <row r="1" spans="1:2" x14ac:dyDescent="0.25">
      <c r="A1" t="s">
        <v>84</v>
      </c>
    </row>
    <row r="4" spans="1:2" x14ac:dyDescent="0.25">
      <c r="A4" t="s">
        <v>644</v>
      </c>
    </row>
    <row r="6" spans="1:2" x14ac:dyDescent="0.25">
      <c r="A6" t="s">
        <v>645</v>
      </c>
    </row>
    <row r="10" spans="1:2" x14ac:dyDescent="0.25">
      <c r="B10" t="s">
        <v>651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F38F9-2966-412C-8E2A-558406BE8D2F}">
  <dimension ref="A1:K373"/>
  <sheetViews>
    <sheetView workbookViewId="0"/>
  </sheetViews>
  <sheetFormatPr defaultRowHeight="15" x14ac:dyDescent="0.25"/>
  <sheetData>
    <row r="1" spans="1:10" x14ac:dyDescent="0.25">
      <c r="A1">
        <v>1511</v>
      </c>
      <c r="C1">
        <v>5600010</v>
      </c>
      <c r="E1">
        <v>130</v>
      </c>
      <c r="G1">
        <v>423612</v>
      </c>
    </row>
    <row r="2" spans="1:10" x14ac:dyDescent="0.25">
      <c r="A2">
        <v>1521</v>
      </c>
      <c r="C2">
        <v>5600010</v>
      </c>
      <c r="E2">
        <v>130</v>
      </c>
      <c r="G2">
        <v>1002301</v>
      </c>
    </row>
    <row r="3" spans="1:10" x14ac:dyDescent="0.25">
      <c r="A3">
        <v>1511</v>
      </c>
      <c r="C3">
        <v>5600010</v>
      </c>
      <c r="E3">
        <v>430</v>
      </c>
      <c r="G3">
        <v>200000</v>
      </c>
    </row>
    <row r="4" spans="1:10" x14ac:dyDescent="0.25">
      <c r="A4">
        <v>1521</v>
      </c>
      <c r="C4">
        <v>5600010</v>
      </c>
      <c r="E4">
        <v>430</v>
      </c>
      <c r="G4">
        <v>100000</v>
      </c>
    </row>
    <row r="5" spans="1:10" x14ac:dyDescent="0.25">
      <c r="A5">
        <v>1511</v>
      </c>
      <c r="C5">
        <v>5600010</v>
      </c>
      <c r="E5">
        <v>510</v>
      </c>
      <c r="G5">
        <v>500</v>
      </c>
    </row>
    <row r="6" spans="1:10" x14ac:dyDescent="0.25">
      <c r="A6">
        <v>1521</v>
      </c>
      <c r="C6">
        <v>5600010</v>
      </c>
      <c r="E6">
        <v>510</v>
      </c>
      <c r="G6">
        <v>1225</v>
      </c>
    </row>
    <row r="7" spans="1:10" x14ac:dyDescent="0.25">
      <c r="A7">
        <v>1511</v>
      </c>
      <c r="C7">
        <v>5600010</v>
      </c>
      <c r="E7">
        <v>520</v>
      </c>
      <c r="G7">
        <v>15000</v>
      </c>
    </row>
    <row r="8" spans="1:10" x14ac:dyDescent="0.25">
      <c r="A8">
        <v>1521</v>
      </c>
      <c r="C8">
        <v>5600010</v>
      </c>
      <c r="E8">
        <v>520</v>
      </c>
      <c r="G8">
        <v>75400</v>
      </c>
    </row>
    <row r="9" spans="1:10" x14ac:dyDescent="0.25">
      <c r="A9">
        <v>1511</v>
      </c>
      <c r="C9">
        <v>5600010</v>
      </c>
      <c r="E9">
        <v>540</v>
      </c>
      <c r="G9">
        <v>15000</v>
      </c>
    </row>
    <row r="10" spans="1:10" x14ac:dyDescent="0.25">
      <c r="A10">
        <v>1521</v>
      </c>
      <c r="C10">
        <v>5600010</v>
      </c>
      <c r="E10">
        <v>540</v>
      </c>
      <c r="G10">
        <v>13850</v>
      </c>
    </row>
    <row r="11" spans="1:10" x14ac:dyDescent="0.25">
      <c r="A11">
        <v>1511</v>
      </c>
      <c r="C11">
        <v>5600010</v>
      </c>
      <c r="E11">
        <v>550</v>
      </c>
      <c r="G11">
        <v>50000</v>
      </c>
      <c r="J11">
        <f>SUM(G5:G11)*0.001</f>
        <v>170.97499999999999</v>
      </c>
    </row>
    <row r="12" spans="1:10" x14ac:dyDescent="0.25">
      <c r="A12">
        <v>1511</v>
      </c>
      <c r="C12">
        <v>5600010</v>
      </c>
      <c r="E12">
        <v>610</v>
      </c>
      <c r="G12">
        <v>20000</v>
      </c>
    </row>
    <row r="13" spans="1:10" x14ac:dyDescent="0.25">
      <c r="A13">
        <v>1521</v>
      </c>
      <c r="C13">
        <v>5600010</v>
      </c>
      <c r="E13">
        <v>610</v>
      </c>
      <c r="G13">
        <v>18000</v>
      </c>
    </row>
    <row r="14" spans="1:10" x14ac:dyDescent="0.25">
      <c r="A14">
        <v>1511</v>
      </c>
      <c r="C14">
        <v>5600010</v>
      </c>
      <c r="E14">
        <v>615</v>
      </c>
      <c r="G14">
        <v>10000</v>
      </c>
    </row>
    <row r="15" spans="1:10" x14ac:dyDescent="0.25">
      <c r="A15">
        <v>1511</v>
      </c>
      <c r="C15">
        <v>5600010</v>
      </c>
      <c r="E15">
        <v>620</v>
      </c>
      <c r="G15">
        <v>5000</v>
      </c>
    </row>
    <row r="16" spans="1:10" x14ac:dyDescent="0.25">
      <c r="A16">
        <v>1521</v>
      </c>
      <c r="C16">
        <v>5600010</v>
      </c>
      <c r="E16">
        <v>620</v>
      </c>
      <c r="G16">
        <v>1200</v>
      </c>
    </row>
    <row r="17" spans="1:10" x14ac:dyDescent="0.25">
      <c r="A17">
        <v>1511</v>
      </c>
      <c r="C17">
        <v>5600010</v>
      </c>
      <c r="E17">
        <v>670</v>
      </c>
      <c r="G17">
        <v>3000</v>
      </c>
    </row>
    <row r="18" spans="1:10" x14ac:dyDescent="0.25">
      <c r="A18">
        <v>1521</v>
      </c>
      <c r="C18">
        <v>5600010</v>
      </c>
      <c r="E18">
        <v>670</v>
      </c>
      <c r="G18">
        <v>2000</v>
      </c>
      <c r="J18">
        <f>SUM(G1:G18)</f>
        <v>1956088</v>
      </c>
    </row>
    <row r="19" spans="1:10" x14ac:dyDescent="0.25">
      <c r="A19">
        <v>1541</v>
      </c>
      <c r="C19">
        <v>5610010</v>
      </c>
      <c r="E19">
        <v>115</v>
      </c>
      <c r="G19">
        <v>3000</v>
      </c>
    </row>
    <row r="20" spans="1:10" x14ac:dyDescent="0.25">
      <c r="A20">
        <v>1542</v>
      </c>
      <c r="C20">
        <v>5610010</v>
      </c>
      <c r="E20">
        <v>115</v>
      </c>
      <c r="G20">
        <v>3000</v>
      </c>
    </row>
    <row r="21" spans="1:10" x14ac:dyDescent="0.25">
      <c r="A21">
        <v>1543</v>
      </c>
      <c r="C21">
        <v>5610010</v>
      </c>
      <c r="E21">
        <v>115</v>
      </c>
      <c r="G21">
        <v>2000</v>
      </c>
    </row>
    <row r="22" spans="1:10" x14ac:dyDescent="0.25">
      <c r="A22">
        <v>1544</v>
      </c>
      <c r="C22">
        <v>5610010</v>
      </c>
      <c r="E22">
        <v>115</v>
      </c>
      <c r="G22">
        <v>241901</v>
      </c>
    </row>
    <row r="23" spans="1:10" x14ac:dyDescent="0.25">
      <c r="A23">
        <v>1545</v>
      </c>
      <c r="C23">
        <v>5610010</v>
      </c>
      <c r="E23">
        <v>115</v>
      </c>
      <c r="G23">
        <v>433099</v>
      </c>
    </row>
    <row r="24" spans="1:10" x14ac:dyDescent="0.25">
      <c r="A24">
        <v>1546</v>
      </c>
      <c r="C24">
        <v>5610010</v>
      </c>
      <c r="E24">
        <v>115</v>
      </c>
      <c r="G24">
        <v>15000</v>
      </c>
    </row>
    <row r="25" spans="1:10" x14ac:dyDescent="0.25">
      <c r="A25">
        <v>1541</v>
      </c>
      <c r="C25">
        <v>5610010</v>
      </c>
      <c r="E25">
        <v>130</v>
      </c>
      <c r="G25">
        <v>767417</v>
      </c>
    </row>
    <row r="26" spans="1:10" x14ac:dyDescent="0.25">
      <c r="A26">
        <v>1542</v>
      </c>
      <c r="C26">
        <v>5610010</v>
      </c>
      <c r="E26">
        <v>130</v>
      </c>
      <c r="G26">
        <v>1075598</v>
      </c>
    </row>
    <row r="27" spans="1:10" x14ac:dyDescent="0.25">
      <c r="A27">
        <v>1543</v>
      </c>
      <c r="C27">
        <v>5610010</v>
      </c>
      <c r="E27">
        <v>130</v>
      </c>
      <c r="G27">
        <v>1632447</v>
      </c>
    </row>
    <row r="28" spans="1:10" x14ac:dyDescent="0.25">
      <c r="A28">
        <v>1544</v>
      </c>
      <c r="C28">
        <v>5610010</v>
      </c>
      <c r="E28">
        <v>130</v>
      </c>
      <c r="G28">
        <v>2980722</v>
      </c>
    </row>
    <row r="29" spans="1:10" x14ac:dyDescent="0.25">
      <c r="A29">
        <v>1545</v>
      </c>
      <c r="C29">
        <v>5610010</v>
      </c>
      <c r="E29">
        <v>130</v>
      </c>
      <c r="G29">
        <v>6475000</v>
      </c>
    </row>
    <row r="30" spans="1:10" x14ac:dyDescent="0.25">
      <c r="A30">
        <v>1546</v>
      </c>
      <c r="C30">
        <v>5610010</v>
      </c>
      <c r="E30">
        <v>130</v>
      </c>
      <c r="G30">
        <v>653648</v>
      </c>
    </row>
    <row r="31" spans="1:10" x14ac:dyDescent="0.25">
      <c r="A31">
        <v>1441</v>
      </c>
      <c r="C31">
        <v>5610010</v>
      </c>
      <c r="E31">
        <v>230</v>
      </c>
      <c r="G31">
        <v>1200000</v>
      </c>
    </row>
    <row r="32" spans="1:10" x14ac:dyDescent="0.25">
      <c r="A32">
        <v>1441</v>
      </c>
      <c r="C32">
        <v>5610010</v>
      </c>
      <c r="E32">
        <v>415</v>
      </c>
      <c r="G32">
        <v>31964000</v>
      </c>
    </row>
    <row r="33" spans="1:7" x14ac:dyDescent="0.25">
      <c r="A33">
        <v>1541</v>
      </c>
      <c r="C33">
        <v>5610010</v>
      </c>
      <c r="E33">
        <v>430</v>
      </c>
      <c r="G33">
        <v>1700000</v>
      </c>
    </row>
    <row r="34" spans="1:7" x14ac:dyDescent="0.25">
      <c r="A34">
        <v>1545</v>
      </c>
      <c r="C34">
        <v>5610010</v>
      </c>
      <c r="E34">
        <v>445</v>
      </c>
      <c r="G34">
        <v>20000</v>
      </c>
    </row>
    <row r="35" spans="1:7" x14ac:dyDescent="0.25">
      <c r="A35">
        <v>1541</v>
      </c>
      <c r="C35">
        <v>5610010</v>
      </c>
      <c r="E35">
        <v>470</v>
      </c>
      <c r="G35">
        <v>50000</v>
      </c>
    </row>
    <row r="36" spans="1:7" x14ac:dyDescent="0.25">
      <c r="A36">
        <v>1542</v>
      </c>
      <c r="C36">
        <v>5610010</v>
      </c>
      <c r="E36">
        <v>470</v>
      </c>
      <c r="G36">
        <v>1000</v>
      </c>
    </row>
    <row r="37" spans="1:7" x14ac:dyDescent="0.25">
      <c r="A37">
        <v>1543</v>
      </c>
      <c r="C37">
        <v>5610010</v>
      </c>
      <c r="E37">
        <v>470</v>
      </c>
      <c r="G37">
        <v>2500</v>
      </c>
    </row>
    <row r="38" spans="1:7" x14ac:dyDescent="0.25">
      <c r="A38">
        <v>1544</v>
      </c>
      <c r="C38">
        <v>5610010</v>
      </c>
      <c r="E38">
        <v>470</v>
      </c>
      <c r="G38">
        <v>5000</v>
      </c>
    </row>
    <row r="39" spans="1:7" x14ac:dyDescent="0.25">
      <c r="A39">
        <v>1545</v>
      </c>
      <c r="C39">
        <v>5610010</v>
      </c>
      <c r="E39">
        <v>470</v>
      </c>
      <c r="G39">
        <v>2000</v>
      </c>
    </row>
    <row r="40" spans="1:7" x14ac:dyDescent="0.25">
      <c r="A40">
        <v>1541</v>
      </c>
      <c r="C40">
        <v>5610010</v>
      </c>
      <c r="E40">
        <v>510</v>
      </c>
      <c r="G40">
        <v>552500</v>
      </c>
    </row>
    <row r="41" spans="1:7" x14ac:dyDescent="0.25">
      <c r="A41">
        <v>1542</v>
      </c>
      <c r="C41">
        <v>5610010</v>
      </c>
      <c r="E41">
        <v>510</v>
      </c>
      <c r="G41">
        <v>500</v>
      </c>
    </row>
    <row r="42" spans="1:7" x14ac:dyDescent="0.25">
      <c r="A42">
        <v>1543</v>
      </c>
      <c r="C42">
        <v>5610010</v>
      </c>
      <c r="E42">
        <v>510</v>
      </c>
      <c r="G42">
        <v>2500</v>
      </c>
    </row>
    <row r="43" spans="1:7" x14ac:dyDescent="0.25">
      <c r="A43">
        <v>1544</v>
      </c>
      <c r="C43">
        <v>5610010</v>
      </c>
      <c r="E43">
        <v>510</v>
      </c>
      <c r="G43">
        <v>400</v>
      </c>
    </row>
    <row r="44" spans="1:7" x14ac:dyDescent="0.25">
      <c r="A44">
        <v>1545</v>
      </c>
      <c r="C44">
        <v>5610010</v>
      </c>
      <c r="E44">
        <v>510</v>
      </c>
      <c r="G44">
        <v>6000</v>
      </c>
    </row>
    <row r="45" spans="1:7" x14ac:dyDescent="0.25">
      <c r="A45">
        <v>1546</v>
      </c>
      <c r="C45">
        <v>5610010</v>
      </c>
      <c r="E45">
        <v>510</v>
      </c>
      <c r="G45">
        <v>1500</v>
      </c>
    </row>
    <row r="46" spans="1:7" x14ac:dyDescent="0.25">
      <c r="A46">
        <v>1541</v>
      </c>
      <c r="C46">
        <v>5610010</v>
      </c>
      <c r="E46">
        <v>520</v>
      </c>
      <c r="G46">
        <v>120000</v>
      </c>
    </row>
    <row r="47" spans="1:7" x14ac:dyDescent="0.25">
      <c r="A47">
        <v>1542</v>
      </c>
      <c r="C47">
        <v>5610010</v>
      </c>
      <c r="E47">
        <v>520</v>
      </c>
      <c r="G47">
        <v>32000</v>
      </c>
    </row>
    <row r="48" spans="1:7" x14ac:dyDescent="0.25">
      <c r="A48">
        <v>1543</v>
      </c>
      <c r="C48">
        <v>5610010</v>
      </c>
      <c r="E48">
        <v>520</v>
      </c>
      <c r="G48">
        <v>125000</v>
      </c>
    </row>
    <row r="49" spans="1:7" x14ac:dyDescent="0.25">
      <c r="A49">
        <v>1544</v>
      </c>
      <c r="C49">
        <v>5610010</v>
      </c>
      <c r="E49">
        <v>520</v>
      </c>
      <c r="G49">
        <v>40000</v>
      </c>
    </row>
    <row r="50" spans="1:7" x14ac:dyDescent="0.25">
      <c r="A50">
        <v>1545</v>
      </c>
      <c r="C50">
        <v>5610010</v>
      </c>
      <c r="E50">
        <v>520</v>
      </c>
      <c r="G50">
        <v>125000</v>
      </c>
    </row>
    <row r="51" spans="1:7" x14ac:dyDescent="0.25">
      <c r="A51">
        <v>1546</v>
      </c>
      <c r="C51">
        <v>5610010</v>
      </c>
      <c r="E51">
        <v>520</v>
      </c>
      <c r="G51">
        <v>10000</v>
      </c>
    </row>
    <row r="52" spans="1:7" x14ac:dyDescent="0.25">
      <c r="A52">
        <v>1541</v>
      </c>
      <c r="C52">
        <v>5610010</v>
      </c>
      <c r="E52">
        <v>540</v>
      </c>
      <c r="G52">
        <v>12000</v>
      </c>
    </row>
    <row r="53" spans="1:7" x14ac:dyDescent="0.25">
      <c r="A53">
        <v>1542</v>
      </c>
      <c r="C53">
        <v>5610010</v>
      </c>
      <c r="E53">
        <v>540</v>
      </c>
      <c r="G53">
        <v>4500</v>
      </c>
    </row>
    <row r="54" spans="1:7" x14ac:dyDescent="0.25">
      <c r="A54">
        <v>1543</v>
      </c>
      <c r="C54">
        <v>5610010</v>
      </c>
      <c r="E54">
        <v>540</v>
      </c>
      <c r="G54">
        <v>19000</v>
      </c>
    </row>
    <row r="55" spans="1:7" x14ac:dyDescent="0.25">
      <c r="A55">
        <v>1544</v>
      </c>
      <c r="C55">
        <v>5610010</v>
      </c>
      <c r="E55">
        <v>540</v>
      </c>
      <c r="G55">
        <v>4500</v>
      </c>
    </row>
    <row r="56" spans="1:7" x14ac:dyDescent="0.25">
      <c r="A56">
        <v>1545</v>
      </c>
      <c r="C56">
        <v>5610010</v>
      </c>
      <c r="E56">
        <v>540</v>
      </c>
      <c r="G56">
        <v>5000</v>
      </c>
    </row>
    <row r="57" spans="1:7" x14ac:dyDescent="0.25">
      <c r="A57">
        <v>1541</v>
      </c>
      <c r="C57">
        <v>5610010</v>
      </c>
      <c r="E57">
        <v>560</v>
      </c>
      <c r="G57">
        <v>1000</v>
      </c>
    </row>
    <row r="58" spans="1:7" x14ac:dyDescent="0.25">
      <c r="A58">
        <v>1543</v>
      </c>
      <c r="C58">
        <v>5610010</v>
      </c>
      <c r="E58">
        <v>560</v>
      </c>
      <c r="G58">
        <v>1000</v>
      </c>
    </row>
    <row r="59" spans="1:7" x14ac:dyDescent="0.25">
      <c r="A59">
        <v>1545</v>
      </c>
      <c r="C59">
        <v>5610010</v>
      </c>
      <c r="E59">
        <v>560</v>
      </c>
      <c r="G59">
        <v>3000</v>
      </c>
    </row>
    <row r="60" spans="1:7" x14ac:dyDescent="0.25">
      <c r="A60">
        <v>1541</v>
      </c>
      <c r="C60">
        <v>5610010</v>
      </c>
      <c r="E60">
        <v>580</v>
      </c>
      <c r="G60">
        <v>4000</v>
      </c>
    </row>
    <row r="61" spans="1:7" x14ac:dyDescent="0.25">
      <c r="A61">
        <v>1543</v>
      </c>
      <c r="C61">
        <v>5610010</v>
      </c>
      <c r="E61">
        <v>580</v>
      </c>
      <c r="G61">
        <v>1000</v>
      </c>
    </row>
    <row r="62" spans="1:7" x14ac:dyDescent="0.25">
      <c r="A62">
        <v>1545</v>
      </c>
      <c r="C62">
        <v>5610010</v>
      </c>
      <c r="E62">
        <v>580</v>
      </c>
      <c r="G62">
        <v>5000</v>
      </c>
    </row>
    <row r="63" spans="1:7" x14ac:dyDescent="0.25">
      <c r="A63">
        <v>1541</v>
      </c>
      <c r="C63">
        <v>5610010</v>
      </c>
      <c r="E63">
        <v>610</v>
      </c>
      <c r="G63">
        <v>25000</v>
      </c>
    </row>
    <row r="64" spans="1:7" x14ac:dyDescent="0.25">
      <c r="A64">
        <v>1542</v>
      </c>
      <c r="C64">
        <v>5610010</v>
      </c>
      <c r="E64">
        <v>610</v>
      </c>
      <c r="G64">
        <v>14000</v>
      </c>
    </row>
    <row r="65" spans="1:7" x14ac:dyDescent="0.25">
      <c r="A65">
        <v>1543</v>
      </c>
      <c r="C65">
        <v>5610010</v>
      </c>
      <c r="E65">
        <v>610</v>
      </c>
      <c r="G65">
        <v>18000</v>
      </c>
    </row>
    <row r="66" spans="1:7" x14ac:dyDescent="0.25">
      <c r="A66">
        <v>1544</v>
      </c>
      <c r="C66">
        <v>5610010</v>
      </c>
      <c r="E66">
        <v>610</v>
      </c>
      <c r="G66">
        <v>8000</v>
      </c>
    </row>
    <row r="67" spans="1:7" x14ac:dyDescent="0.25">
      <c r="A67">
        <v>1545</v>
      </c>
      <c r="C67">
        <v>5610010</v>
      </c>
      <c r="E67">
        <v>610</v>
      </c>
      <c r="G67">
        <v>54000</v>
      </c>
    </row>
    <row r="68" spans="1:7" x14ac:dyDescent="0.25">
      <c r="A68">
        <v>1546</v>
      </c>
      <c r="C68">
        <v>5610010</v>
      </c>
      <c r="E68">
        <v>610</v>
      </c>
      <c r="G68">
        <v>6000</v>
      </c>
    </row>
    <row r="69" spans="1:7" x14ac:dyDescent="0.25">
      <c r="A69">
        <v>1541</v>
      </c>
      <c r="C69">
        <v>5610010</v>
      </c>
      <c r="E69">
        <v>615</v>
      </c>
      <c r="G69">
        <v>5000</v>
      </c>
    </row>
    <row r="70" spans="1:7" x14ac:dyDescent="0.25">
      <c r="A70">
        <v>1542</v>
      </c>
      <c r="C70">
        <v>5610010</v>
      </c>
      <c r="E70">
        <v>615</v>
      </c>
      <c r="G70">
        <v>500</v>
      </c>
    </row>
    <row r="71" spans="1:7" x14ac:dyDescent="0.25">
      <c r="A71">
        <v>1543</v>
      </c>
      <c r="C71">
        <v>5610010</v>
      </c>
      <c r="E71">
        <v>615</v>
      </c>
      <c r="G71">
        <v>500</v>
      </c>
    </row>
    <row r="72" spans="1:7" x14ac:dyDescent="0.25">
      <c r="A72">
        <v>1544</v>
      </c>
      <c r="C72">
        <v>5610010</v>
      </c>
      <c r="E72">
        <v>615</v>
      </c>
      <c r="G72">
        <v>250</v>
      </c>
    </row>
    <row r="73" spans="1:7" x14ac:dyDescent="0.25">
      <c r="A73">
        <v>1545</v>
      </c>
      <c r="C73">
        <v>5610010</v>
      </c>
      <c r="E73">
        <v>615</v>
      </c>
      <c r="G73">
        <v>3500</v>
      </c>
    </row>
    <row r="74" spans="1:7" x14ac:dyDescent="0.25">
      <c r="A74">
        <v>1546</v>
      </c>
      <c r="C74">
        <v>5610010</v>
      </c>
      <c r="E74">
        <v>615</v>
      </c>
      <c r="G74">
        <v>500</v>
      </c>
    </row>
    <row r="75" spans="1:7" x14ac:dyDescent="0.25">
      <c r="A75">
        <v>1541</v>
      </c>
      <c r="C75">
        <v>5610010</v>
      </c>
      <c r="E75">
        <v>620</v>
      </c>
      <c r="G75">
        <v>1000</v>
      </c>
    </row>
    <row r="76" spans="1:7" x14ac:dyDescent="0.25">
      <c r="A76">
        <v>1542</v>
      </c>
      <c r="C76">
        <v>5610010</v>
      </c>
      <c r="E76">
        <v>620</v>
      </c>
      <c r="G76">
        <v>100</v>
      </c>
    </row>
    <row r="77" spans="1:7" x14ac:dyDescent="0.25">
      <c r="A77">
        <v>1543</v>
      </c>
      <c r="C77">
        <v>5610010</v>
      </c>
      <c r="E77">
        <v>620</v>
      </c>
      <c r="G77">
        <v>250</v>
      </c>
    </row>
    <row r="78" spans="1:7" x14ac:dyDescent="0.25">
      <c r="A78">
        <v>1544</v>
      </c>
      <c r="C78">
        <v>5610010</v>
      </c>
      <c r="E78">
        <v>620</v>
      </c>
      <c r="G78">
        <v>50</v>
      </c>
    </row>
    <row r="79" spans="1:7" x14ac:dyDescent="0.25">
      <c r="A79">
        <v>1545</v>
      </c>
      <c r="C79">
        <v>5610010</v>
      </c>
      <c r="E79">
        <v>620</v>
      </c>
      <c r="G79">
        <v>150</v>
      </c>
    </row>
    <row r="80" spans="1:7" x14ac:dyDescent="0.25">
      <c r="A80">
        <v>1546</v>
      </c>
      <c r="C80">
        <v>5610010</v>
      </c>
      <c r="E80">
        <v>620</v>
      </c>
      <c r="G80">
        <v>100</v>
      </c>
    </row>
    <row r="81" spans="1:7" x14ac:dyDescent="0.25">
      <c r="A81">
        <v>1541</v>
      </c>
      <c r="C81">
        <v>5610010</v>
      </c>
      <c r="E81">
        <v>640</v>
      </c>
      <c r="G81">
        <v>89000</v>
      </c>
    </row>
    <row r="82" spans="1:7" x14ac:dyDescent="0.25">
      <c r="A82">
        <v>1542</v>
      </c>
      <c r="C82">
        <v>5610010</v>
      </c>
      <c r="E82">
        <v>640</v>
      </c>
      <c r="G82">
        <v>2500</v>
      </c>
    </row>
    <row r="83" spans="1:7" x14ac:dyDescent="0.25">
      <c r="A83">
        <v>1543</v>
      </c>
      <c r="C83">
        <v>5610010</v>
      </c>
      <c r="E83">
        <v>640</v>
      </c>
      <c r="G83">
        <v>100000</v>
      </c>
    </row>
    <row r="84" spans="1:7" x14ac:dyDescent="0.25">
      <c r="A84">
        <v>1544</v>
      </c>
      <c r="C84">
        <v>5610010</v>
      </c>
      <c r="E84">
        <v>640</v>
      </c>
      <c r="G84">
        <v>1000</v>
      </c>
    </row>
    <row r="85" spans="1:7" x14ac:dyDescent="0.25">
      <c r="A85">
        <v>1545</v>
      </c>
      <c r="C85">
        <v>5610010</v>
      </c>
      <c r="E85">
        <v>640</v>
      </c>
      <c r="G85">
        <v>25000</v>
      </c>
    </row>
    <row r="86" spans="1:7" x14ac:dyDescent="0.25">
      <c r="A86">
        <v>1541</v>
      </c>
      <c r="C86">
        <v>5610010</v>
      </c>
      <c r="E86">
        <v>655</v>
      </c>
      <c r="G86">
        <v>1000</v>
      </c>
    </row>
    <row r="87" spans="1:7" x14ac:dyDescent="0.25">
      <c r="A87">
        <v>1542</v>
      </c>
      <c r="C87">
        <v>5610010</v>
      </c>
      <c r="E87">
        <v>655</v>
      </c>
      <c r="G87">
        <v>400</v>
      </c>
    </row>
    <row r="88" spans="1:7" x14ac:dyDescent="0.25">
      <c r="A88">
        <v>1543</v>
      </c>
      <c r="C88">
        <v>5610010</v>
      </c>
      <c r="E88">
        <v>655</v>
      </c>
      <c r="G88">
        <v>500</v>
      </c>
    </row>
    <row r="89" spans="1:7" x14ac:dyDescent="0.25">
      <c r="A89">
        <v>1544</v>
      </c>
      <c r="C89">
        <v>5610010</v>
      </c>
      <c r="E89">
        <v>655</v>
      </c>
      <c r="G89">
        <v>100</v>
      </c>
    </row>
    <row r="90" spans="1:7" x14ac:dyDescent="0.25">
      <c r="A90">
        <v>1545</v>
      </c>
      <c r="C90">
        <v>5610010</v>
      </c>
      <c r="E90">
        <v>655</v>
      </c>
      <c r="G90">
        <v>10000</v>
      </c>
    </row>
    <row r="91" spans="1:7" x14ac:dyDescent="0.25">
      <c r="A91">
        <v>1546</v>
      </c>
      <c r="C91">
        <v>5610010</v>
      </c>
      <c r="E91">
        <v>655</v>
      </c>
      <c r="G91">
        <v>300</v>
      </c>
    </row>
    <row r="92" spans="1:7" x14ac:dyDescent="0.25">
      <c r="A92">
        <v>1541</v>
      </c>
      <c r="C92">
        <v>5610010</v>
      </c>
      <c r="E92">
        <v>670</v>
      </c>
      <c r="G92">
        <v>1500</v>
      </c>
    </row>
    <row r="93" spans="1:7" x14ac:dyDescent="0.25">
      <c r="A93">
        <v>1542</v>
      </c>
      <c r="C93">
        <v>5610010</v>
      </c>
      <c r="E93">
        <v>670</v>
      </c>
      <c r="G93">
        <v>1000</v>
      </c>
    </row>
    <row r="94" spans="1:7" x14ac:dyDescent="0.25">
      <c r="A94">
        <v>1543</v>
      </c>
      <c r="C94">
        <v>5610010</v>
      </c>
      <c r="E94">
        <v>670</v>
      </c>
      <c r="G94">
        <v>2000</v>
      </c>
    </row>
    <row r="95" spans="1:7" x14ac:dyDescent="0.25">
      <c r="A95">
        <v>1544</v>
      </c>
      <c r="C95">
        <v>5610010</v>
      </c>
      <c r="E95">
        <v>670</v>
      </c>
      <c r="G95">
        <v>3000</v>
      </c>
    </row>
    <row r="96" spans="1:7" x14ac:dyDescent="0.25">
      <c r="A96">
        <v>1545</v>
      </c>
      <c r="C96">
        <v>5610010</v>
      </c>
      <c r="E96">
        <v>670</v>
      </c>
      <c r="G96">
        <v>5000</v>
      </c>
    </row>
    <row r="97" spans="1:10" x14ac:dyDescent="0.25">
      <c r="A97">
        <v>1546</v>
      </c>
      <c r="C97">
        <v>5610010</v>
      </c>
      <c r="E97">
        <v>670</v>
      </c>
      <c r="G97">
        <v>1000</v>
      </c>
      <c r="J97">
        <f>SUM(G19:G97)</f>
        <v>50682932</v>
      </c>
    </row>
    <row r="98" spans="1:10" x14ac:dyDescent="0.25">
      <c r="A98">
        <v>1531</v>
      </c>
      <c r="C98">
        <v>5680010</v>
      </c>
      <c r="E98">
        <v>115</v>
      </c>
      <c r="G98">
        <v>170107</v>
      </c>
    </row>
    <row r="99" spans="1:10" x14ac:dyDescent="0.25">
      <c r="A99">
        <v>1531</v>
      </c>
      <c r="C99">
        <v>5680010</v>
      </c>
      <c r="E99">
        <v>130</v>
      </c>
      <c r="G99">
        <v>4420000</v>
      </c>
    </row>
    <row r="100" spans="1:10" x14ac:dyDescent="0.25">
      <c r="A100">
        <v>1531</v>
      </c>
      <c r="C100">
        <v>5680010</v>
      </c>
      <c r="E100">
        <v>430</v>
      </c>
      <c r="G100">
        <v>333500</v>
      </c>
    </row>
    <row r="101" spans="1:10" x14ac:dyDescent="0.25">
      <c r="A101">
        <v>1531</v>
      </c>
      <c r="C101">
        <v>5680010</v>
      </c>
      <c r="E101">
        <v>445</v>
      </c>
      <c r="G101">
        <v>1346136</v>
      </c>
    </row>
    <row r="102" spans="1:10" x14ac:dyDescent="0.25">
      <c r="A102">
        <v>1531</v>
      </c>
      <c r="C102">
        <v>5680010</v>
      </c>
      <c r="E102">
        <v>470</v>
      </c>
      <c r="G102">
        <v>21400</v>
      </c>
    </row>
    <row r="103" spans="1:10" x14ac:dyDescent="0.25">
      <c r="A103">
        <v>1531</v>
      </c>
      <c r="C103">
        <v>5680010</v>
      </c>
      <c r="E103">
        <v>510</v>
      </c>
      <c r="G103">
        <v>34681</v>
      </c>
    </row>
    <row r="104" spans="1:10" x14ac:dyDescent="0.25">
      <c r="A104">
        <v>1531</v>
      </c>
      <c r="C104">
        <v>5680010</v>
      </c>
      <c r="E104">
        <v>520</v>
      </c>
      <c r="G104">
        <v>138723</v>
      </c>
    </row>
    <row r="105" spans="1:10" x14ac:dyDescent="0.25">
      <c r="A105">
        <v>1531</v>
      </c>
      <c r="C105">
        <v>5680010</v>
      </c>
      <c r="E105">
        <v>540</v>
      </c>
      <c r="G105">
        <v>57801</v>
      </c>
    </row>
    <row r="106" spans="1:10" x14ac:dyDescent="0.25">
      <c r="A106">
        <v>1531</v>
      </c>
      <c r="C106">
        <v>5680010</v>
      </c>
      <c r="E106">
        <v>610</v>
      </c>
      <c r="G106">
        <v>27820</v>
      </c>
    </row>
    <row r="107" spans="1:10" x14ac:dyDescent="0.25">
      <c r="A107">
        <v>1531</v>
      </c>
      <c r="C107">
        <v>5680010</v>
      </c>
      <c r="E107">
        <v>640</v>
      </c>
      <c r="G107">
        <v>4601</v>
      </c>
    </row>
    <row r="108" spans="1:10" x14ac:dyDescent="0.25">
      <c r="A108">
        <v>1531</v>
      </c>
      <c r="C108">
        <v>5680010</v>
      </c>
      <c r="E108">
        <v>670</v>
      </c>
      <c r="G108">
        <v>8000</v>
      </c>
      <c r="J108">
        <f>SUM(G98:G108)</f>
        <v>6562769</v>
      </c>
    </row>
    <row r="109" spans="1:10" x14ac:dyDescent="0.25">
      <c r="A109">
        <v>1711</v>
      </c>
      <c r="C109">
        <v>9010010</v>
      </c>
      <c r="E109">
        <v>113</v>
      </c>
      <c r="G109">
        <v>1000</v>
      </c>
    </row>
    <row r="110" spans="1:10" x14ac:dyDescent="0.25">
      <c r="A110">
        <v>1711</v>
      </c>
      <c r="C110">
        <v>9010010</v>
      </c>
      <c r="E110">
        <v>130</v>
      </c>
      <c r="G110">
        <v>293060</v>
      </c>
    </row>
    <row r="111" spans="1:10" x14ac:dyDescent="0.25">
      <c r="A111">
        <v>1711</v>
      </c>
      <c r="C111">
        <v>9010010</v>
      </c>
      <c r="E111">
        <v>430</v>
      </c>
      <c r="G111">
        <v>10000</v>
      </c>
    </row>
    <row r="112" spans="1:10" x14ac:dyDescent="0.25">
      <c r="A112">
        <v>1711</v>
      </c>
      <c r="C112">
        <v>9010010</v>
      </c>
      <c r="E112">
        <v>470</v>
      </c>
      <c r="G112">
        <v>10000</v>
      </c>
    </row>
    <row r="113" spans="1:10" x14ac:dyDescent="0.25">
      <c r="A113">
        <v>1711</v>
      </c>
      <c r="C113">
        <v>9010010</v>
      </c>
      <c r="E113">
        <v>520</v>
      </c>
      <c r="G113">
        <v>13000</v>
      </c>
    </row>
    <row r="114" spans="1:10" x14ac:dyDescent="0.25">
      <c r="A114">
        <v>1711</v>
      </c>
      <c r="C114">
        <v>9010010</v>
      </c>
      <c r="E114">
        <v>620</v>
      </c>
      <c r="G114">
        <v>2000</v>
      </c>
    </row>
    <row r="115" spans="1:10" x14ac:dyDescent="0.25">
      <c r="A115">
        <v>1711</v>
      </c>
      <c r="C115">
        <v>9010010</v>
      </c>
      <c r="E115">
        <v>670</v>
      </c>
      <c r="G115">
        <v>1000</v>
      </c>
      <c r="J115">
        <f>SUM(G109:G115)</f>
        <v>330060</v>
      </c>
    </row>
    <row r="116" spans="1:10" x14ac:dyDescent="0.25">
      <c r="A116">
        <v>1723</v>
      </c>
      <c r="C116">
        <v>9020010</v>
      </c>
      <c r="E116">
        <v>130</v>
      </c>
      <c r="G116">
        <v>1259498</v>
      </c>
    </row>
    <row r="117" spans="1:10" x14ac:dyDescent="0.25">
      <c r="A117">
        <v>1723</v>
      </c>
      <c r="C117">
        <v>9020010</v>
      </c>
      <c r="E117">
        <v>445</v>
      </c>
      <c r="G117">
        <v>240000</v>
      </c>
    </row>
    <row r="118" spans="1:10" x14ac:dyDescent="0.25">
      <c r="A118">
        <v>1723</v>
      </c>
      <c r="C118">
        <v>9020010</v>
      </c>
      <c r="E118">
        <v>520</v>
      </c>
      <c r="G118">
        <v>124000</v>
      </c>
    </row>
    <row r="119" spans="1:10" x14ac:dyDescent="0.25">
      <c r="A119">
        <v>1723</v>
      </c>
      <c r="C119">
        <v>9020010</v>
      </c>
      <c r="E119">
        <v>530</v>
      </c>
      <c r="G119">
        <v>18000</v>
      </c>
    </row>
    <row r="120" spans="1:10" x14ac:dyDescent="0.25">
      <c r="A120">
        <v>1723</v>
      </c>
      <c r="C120">
        <v>9020010</v>
      </c>
      <c r="E120">
        <v>540</v>
      </c>
      <c r="G120">
        <v>52000</v>
      </c>
    </row>
    <row r="121" spans="1:10" x14ac:dyDescent="0.25">
      <c r="A121">
        <v>1723</v>
      </c>
      <c r="C121">
        <v>9020010</v>
      </c>
      <c r="E121">
        <v>580</v>
      </c>
      <c r="G121">
        <v>5000</v>
      </c>
    </row>
    <row r="122" spans="1:10" x14ac:dyDescent="0.25">
      <c r="A122">
        <v>1723</v>
      </c>
      <c r="C122">
        <v>9020010</v>
      </c>
      <c r="E122">
        <v>610</v>
      </c>
      <c r="G122">
        <v>14000</v>
      </c>
    </row>
    <row r="123" spans="1:10" x14ac:dyDescent="0.25">
      <c r="A123">
        <v>1723</v>
      </c>
      <c r="C123">
        <v>9020010</v>
      </c>
      <c r="E123">
        <v>615</v>
      </c>
      <c r="G123">
        <v>12000</v>
      </c>
    </row>
    <row r="124" spans="1:10" x14ac:dyDescent="0.25">
      <c r="A124">
        <v>1723</v>
      </c>
      <c r="C124">
        <v>9020010</v>
      </c>
      <c r="E124">
        <v>640</v>
      </c>
      <c r="G124">
        <v>95000</v>
      </c>
    </row>
    <row r="125" spans="1:10" x14ac:dyDescent="0.25">
      <c r="A125">
        <v>1723</v>
      </c>
      <c r="C125">
        <v>9020010</v>
      </c>
      <c r="E125">
        <v>670</v>
      </c>
      <c r="G125">
        <v>3000</v>
      </c>
      <c r="J125">
        <f>SUM(G116:G125)</f>
        <v>1822498</v>
      </c>
    </row>
    <row r="126" spans="1:10" x14ac:dyDescent="0.25">
      <c r="A126">
        <v>1721</v>
      </c>
      <c r="C126">
        <v>9030010</v>
      </c>
      <c r="E126">
        <v>113</v>
      </c>
      <c r="G126">
        <v>10000</v>
      </c>
    </row>
    <row r="127" spans="1:10" x14ac:dyDescent="0.25">
      <c r="A127">
        <v>1724</v>
      </c>
      <c r="C127">
        <v>9030010</v>
      </c>
      <c r="E127">
        <v>113</v>
      </c>
      <c r="G127">
        <v>45000</v>
      </c>
    </row>
    <row r="128" spans="1:10" x14ac:dyDescent="0.25">
      <c r="A128">
        <v>1725</v>
      </c>
      <c r="C128">
        <f t="shared" ref="C128:C166" si="0">C127</f>
        <v>9030010</v>
      </c>
      <c r="E128">
        <v>113</v>
      </c>
      <c r="G128">
        <v>45000</v>
      </c>
    </row>
    <row r="129" spans="1:7" x14ac:dyDescent="0.25">
      <c r="A129">
        <v>1721</v>
      </c>
      <c r="C129">
        <v>9030010</v>
      </c>
      <c r="E129">
        <v>115</v>
      </c>
      <c r="G129">
        <v>25000</v>
      </c>
    </row>
    <row r="130" spans="1:7" x14ac:dyDescent="0.25">
      <c r="A130">
        <v>1721</v>
      </c>
      <c r="C130">
        <v>9030010</v>
      </c>
      <c r="E130">
        <v>130</v>
      </c>
      <c r="G130">
        <v>417411</v>
      </c>
    </row>
    <row r="131" spans="1:7" x14ac:dyDescent="0.25">
      <c r="A131">
        <v>1724</v>
      </c>
      <c r="C131">
        <f t="shared" si="0"/>
        <v>9030010</v>
      </c>
      <c r="E131">
        <v>130</v>
      </c>
      <c r="G131">
        <v>661675</v>
      </c>
    </row>
    <row r="132" spans="1:7" x14ac:dyDescent="0.25">
      <c r="A132">
        <v>1725</v>
      </c>
      <c r="C132">
        <f t="shared" si="0"/>
        <v>9030010</v>
      </c>
      <c r="E132">
        <v>130</v>
      </c>
      <c r="G132">
        <v>659156</v>
      </c>
    </row>
    <row r="133" spans="1:7" x14ac:dyDescent="0.25">
      <c r="A133">
        <v>1731</v>
      </c>
      <c r="C133">
        <f t="shared" si="0"/>
        <v>9030010</v>
      </c>
      <c r="E133">
        <v>130</v>
      </c>
      <c r="G133">
        <v>722552</v>
      </c>
    </row>
    <row r="134" spans="1:7" x14ac:dyDescent="0.25">
      <c r="A134">
        <v>1721</v>
      </c>
      <c r="C134">
        <v>9030010</v>
      </c>
      <c r="E134">
        <v>430</v>
      </c>
      <c r="G134">
        <v>500000</v>
      </c>
    </row>
    <row r="135" spans="1:7" x14ac:dyDescent="0.25">
      <c r="A135">
        <v>1731</v>
      </c>
      <c r="C135">
        <f t="shared" si="0"/>
        <v>9030010</v>
      </c>
      <c r="E135">
        <v>470</v>
      </c>
      <c r="G135">
        <v>250000</v>
      </c>
    </row>
    <row r="136" spans="1:7" x14ac:dyDescent="0.25">
      <c r="A136">
        <v>1721</v>
      </c>
      <c r="C136">
        <v>9030010</v>
      </c>
      <c r="E136">
        <v>520</v>
      </c>
      <c r="G136">
        <v>10000</v>
      </c>
    </row>
    <row r="137" spans="1:7" x14ac:dyDescent="0.25">
      <c r="A137">
        <v>1724</v>
      </c>
      <c r="C137">
        <f t="shared" si="0"/>
        <v>9030010</v>
      </c>
      <c r="E137">
        <v>520</v>
      </c>
      <c r="G137">
        <v>25000</v>
      </c>
    </row>
    <row r="138" spans="1:7" x14ac:dyDescent="0.25">
      <c r="A138">
        <v>1725</v>
      </c>
      <c r="C138">
        <f t="shared" si="0"/>
        <v>9030010</v>
      </c>
      <c r="E138">
        <v>520</v>
      </c>
      <c r="G138">
        <v>25000</v>
      </c>
    </row>
    <row r="139" spans="1:7" x14ac:dyDescent="0.25">
      <c r="A139">
        <v>1731</v>
      </c>
      <c r="C139">
        <f t="shared" si="0"/>
        <v>9030010</v>
      </c>
      <c r="E139">
        <v>520</v>
      </c>
      <c r="G139">
        <v>38000</v>
      </c>
    </row>
    <row r="140" spans="1:7" x14ac:dyDescent="0.25">
      <c r="A140">
        <v>1721</v>
      </c>
      <c r="C140">
        <v>9030010</v>
      </c>
      <c r="E140">
        <v>540</v>
      </c>
      <c r="G140">
        <v>10000</v>
      </c>
    </row>
    <row r="141" spans="1:7" x14ac:dyDescent="0.25">
      <c r="A141">
        <v>1724</v>
      </c>
      <c r="C141">
        <f t="shared" si="0"/>
        <v>9030010</v>
      </c>
      <c r="E141">
        <v>540</v>
      </c>
      <c r="G141">
        <v>55000</v>
      </c>
    </row>
    <row r="142" spans="1:7" x14ac:dyDescent="0.25">
      <c r="A142">
        <v>1725</v>
      </c>
      <c r="C142">
        <f t="shared" si="0"/>
        <v>9030010</v>
      </c>
      <c r="E142">
        <v>540</v>
      </c>
      <c r="G142">
        <v>55000</v>
      </c>
    </row>
    <row r="143" spans="1:7" x14ac:dyDescent="0.25">
      <c r="A143">
        <v>1731</v>
      </c>
      <c r="C143">
        <f t="shared" si="0"/>
        <v>9030010</v>
      </c>
      <c r="E143">
        <v>540</v>
      </c>
      <c r="G143">
        <v>17000</v>
      </c>
    </row>
    <row r="144" spans="1:7" x14ac:dyDescent="0.25">
      <c r="A144">
        <v>1731</v>
      </c>
      <c r="C144">
        <f t="shared" si="0"/>
        <v>9030010</v>
      </c>
      <c r="E144">
        <v>550</v>
      </c>
      <c r="G144">
        <v>9000</v>
      </c>
    </row>
    <row r="145" spans="1:7" x14ac:dyDescent="0.25">
      <c r="A145">
        <v>1721</v>
      </c>
      <c r="C145">
        <v>9030010</v>
      </c>
      <c r="E145">
        <v>560</v>
      </c>
      <c r="G145">
        <v>7000</v>
      </c>
    </row>
    <row r="146" spans="1:7" x14ac:dyDescent="0.25">
      <c r="A146">
        <v>1731</v>
      </c>
      <c r="C146">
        <f t="shared" si="0"/>
        <v>9030010</v>
      </c>
      <c r="E146">
        <v>570</v>
      </c>
      <c r="G146">
        <v>62000</v>
      </c>
    </row>
    <row r="147" spans="1:7" x14ac:dyDescent="0.25">
      <c r="A147">
        <v>1721</v>
      </c>
      <c r="C147">
        <v>9030010</v>
      </c>
      <c r="E147">
        <v>580</v>
      </c>
      <c r="G147">
        <v>3000</v>
      </c>
    </row>
    <row r="148" spans="1:7" x14ac:dyDescent="0.25">
      <c r="A148">
        <v>1731</v>
      </c>
      <c r="C148">
        <f t="shared" si="0"/>
        <v>9030010</v>
      </c>
      <c r="E148">
        <v>580</v>
      </c>
      <c r="G148">
        <v>5000</v>
      </c>
    </row>
    <row r="149" spans="1:7" x14ac:dyDescent="0.25">
      <c r="A149">
        <v>1721</v>
      </c>
      <c r="C149">
        <v>9030010</v>
      </c>
      <c r="E149">
        <v>610</v>
      </c>
      <c r="G149">
        <v>4000</v>
      </c>
    </row>
    <row r="150" spans="1:7" x14ac:dyDescent="0.25">
      <c r="A150">
        <v>1724</v>
      </c>
      <c r="C150">
        <f t="shared" si="0"/>
        <v>9030010</v>
      </c>
      <c r="E150">
        <v>610</v>
      </c>
      <c r="G150">
        <v>9000</v>
      </c>
    </row>
    <row r="151" spans="1:7" x14ac:dyDescent="0.25">
      <c r="A151">
        <v>1725</v>
      </c>
      <c r="C151">
        <f t="shared" si="0"/>
        <v>9030010</v>
      </c>
      <c r="E151">
        <v>610</v>
      </c>
      <c r="G151">
        <v>9000</v>
      </c>
    </row>
    <row r="152" spans="1:7" x14ac:dyDescent="0.25">
      <c r="A152">
        <v>1731</v>
      </c>
      <c r="C152">
        <f t="shared" si="0"/>
        <v>9030010</v>
      </c>
      <c r="E152">
        <v>610</v>
      </c>
      <c r="G152">
        <v>6000</v>
      </c>
    </row>
    <row r="153" spans="1:7" x14ac:dyDescent="0.25">
      <c r="A153">
        <v>1721</v>
      </c>
      <c r="C153">
        <v>9030010</v>
      </c>
      <c r="E153">
        <v>615</v>
      </c>
      <c r="G153">
        <v>2000</v>
      </c>
    </row>
    <row r="154" spans="1:7" x14ac:dyDescent="0.25">
      <c r="A154">
        <v>1724</v>
      </c>
      <c r="C154">
        <f t="shared" si="0"/>
        <v>9030010</v>
      </c>
      <c r="E154">
        <v>615</v>
      </c>
      <c r="G154">
        <v>10000</v>
      </c>
    </row>
    <row r="155" spans="1:7" x14ac:dyDescent="0.25">
      <c r="A155">
        <v>1725</v>
      </c>
      <c r="C155">
        <f t="shared" si="0"/>
        <v>9030010</v>
      </c>
      <c r="E155">
        <v>615</v>
      </c>
      <c r="G155">
        <v>10000</v>
      </c>
    </row>
    <row r="156" spans="1:7" x14ac:dyDescent="0.25">
      <c r="A156">
        <v>1731</v>
      </c>
      <c r="C156">
        <f t="shared" si="0"/>
        <v>9030010</v>
      </c>
      <c r="E156">
        <v>615</v>
      </c>
      <c r="G156">
        <v>12000</v>
      </c>
    </row>
    <row r="157" spans="1:7" x14ac:dyDescent="0.25">
      <c r="A157">
        <v>1721</v>
      </c>
      <c r="C157">
        <v>9030010</v>
      </c>
      <c r="E157">
        <v>620</v>
      </c>
      <c r="G157">
        <v>500</v>
      </c>
    </row>
    <row r="158" spans="1:7" x14ac:dyDescent="0.25">
      <c r="A158">
        <v>1731</v>
      </c>
      <c r="C158">
        <f t="shared" si="0"/>
        <v>9030010</v>
      </c>
      <c r="E158">
        <v>620</v>
      </c>
      <c r="G158">
        <v>2000</v>
      </c>
    </row>
    <row r="159" spans="1:7" x14ac:dyDescent="0.25">
      <c r="A159">
        <v>1724</v>
      </c>
      <c r="C159">
        <f t="shared" si="0"/>
        <v>9030010</v>
      </c>
      <c r="E159">
        <v>640</v>
      </c>
      <c r="G159">
        <v>606000</v>
      </c>
    </row>
    <row r="160" spans="1:7" x14ac:dyDescent="0.25">
      <c r="A160">
        <v>1725</v>
      </c>
      <c r="C160">
        <f t="shared" si="0"/>
        <v>9030010</v>
      </c>
      <c r="E160">
        <v>640</v>
      </c>
      <c r="G160">
        <v>606000</v>
      </c>
    </row>
    <row r="161" spans="1:10" x14ac:dyDescent="0.25">
      <c r="A161">
        <v>1731</v>
      </c>
      <c r="C161">
        <f t="shared" si="0"/>
        <v>9030010</v>
      </c>
      <c r="E161">
        <v>640</v>
      </c>
      <c r="G161">
        <v>100000</v>
      </c>
    </row>
    <row r="162" spans="1:10" x14ac:dyDescent="0.25">
      <c r="A162">
        <v>1731</v>
      </c>
      <c r="C162">
        <f t="shared" si="0"/>
        <v>9030010</v>
      </c>
      <c r="E162">
        <v>655</v>
      </c>
      <c r="G162">
        <v>10000</v>
      </c>
    </row>
    <row r="163" spans="1:10" x14ac:dyDescent="0.25">
      <c r="A163">
        <v>1721</v>
      </c>
      <c r="C163">
        <v>9030010</v>
      </c>
      <c r="E163">
        <v>670</v>
      </c>
      <c r="G163">
        <v>1000</v>
      </c>
    </row>
    <row r="164" spans="1:10" x14ac:dyDescent="0.25">
      <c r="A164">
        <v>1724</v>
      </c>
      <c r="C164">
        <f t="shared" si="0"/>
        <v>9030010</v>
      </c>
      <c r="E164">
        <v>670</v>
      </c>
      <c r="G164">
        <v>2500</v>
      </c>
    </row>
    <row r="165" spans="1:10" x14ac:dyDescent="0.25">
      <c r="A165">
        <v>1725</v>
      </c>
      <c r="C165">
        <f t="shared" si="0"/>
        <v>9030010</v>
      </c>
      <c r="E165">
        <v>670</v>
      </c>
      <c r="G165">
        <v>2500</v>
      </c>
    </row>
    <row r="166" spans="1:10" x14ac:dyDescent="0.25">
      <c r="A166">
        <v>1731</v>
      </c>
      <c r="C166">
        <f t="shared" si="0"/>
        <v>9030010</v>
      </c>
      <c r="E166">
        <v>670</v>
      </c>
      <c r="G166">
        <v>4000</v>
      </c>
      <c r="J166">
        <f>SUM(G126:G166)</f>
        <v>5053294</v>
      </c>
    </row>
    <row r="167" spans="1:10" x14ac:dyDescent="0.25">
      <c r="A167">
        <v>1722</v>
      </c>
      <c r="C167">
        <v>9050010</v>
      </c>
      <c r="E167">
        <v>113</v>
      </c>
      <c r="G167">
        <v>20000</v>
      </c>
    </row>
    <row r="168" spans="1:10" x14ac:dyDescent="0.25">
      <c r="A168">
        <v>1722</v>
      </c>
      <c r="C168">
        <v>9050010</v>
      </c>
      <c r="E168">
        <v>130</v>
      </c>
      <c r="G168">
        <v>580027</v>
      </c>
    </row>
    <row r="169" spans="1:10" x14ac:dyDescent="0.25">
      <c r="A169">
        <v>1722</v>
      </c>
      <c r="C169">
        <v>9050010</v>
      </c>
      <c r="E169">
        <v>445</v>
      </c>
      <c r="G169">
        <v>333635</v>
      </c>
    </row>
    <row r="170" spans="1:10" x14ac:dyDescent="0.25">
      <c r="A170">
        <v>1722</v>
      </c>
      <c r="C170">
        <v>9050010</v>
      </c>
      <c r="E170">
        <v>470</v>
      </c>
      <c r="G170">
        <v>9500</v>
      </c>
    </row>
    <row r="171" spans="1:10" x14ac:dyDescent="0.25">
      <c r="A171">
        <v>1722</v>
      </c>
      <c r="C171">
        <v>9050010</v>
      </c>
      <c r="E171">
        <v>520</v>
      </c>
      <c r="G171">
        <v>34000</v>
      </c>
    </row>
    <row r="172" spans="1:10" x14ac:dyDescent="0.25">
      <c r="A172">
        <v>1722</v>
      </c>
      <c r="C172">
        <v>9050010</v>
      </c>
      <c r="E172">
        <v>540</v>
      </c>
      <c r="G172">
        <v>16000</v>
      </c>
    </row>
    <row r="173" spans="1:10" x14ac:dyDescent="0.25">
      <c r="A173">
        <v>1722</v>
      </c>
      <c r="C173">
        <v>9050010</v>
      </c>
      <c r="E173">
        <v>610</v>
      </c>
      <c r="G173">
        <v>5000</v>
      </c>
    </row>
    <row r="174" spans="1:10" x14ac:dyDescent="0.25">
      <c r="A174">
        <v>1722</v>
      </c>
      <c r="C174">
        <v>9050010</v>
      </c>
      <c r="E174">
        <v>615</v>
      </c>
      <c r="G174">
        <v>10000</v>
      </c>
    </row>
    <row r="175" spans="1:10" x14ac:dyDescent="0.25">
      <c r="A175">
        <v>1722</v>
      </c>
      <c r="C175">
        <v>9050010</v>
      </c>
      <c r="E175">
        <v>670</v>
      </c>
      <c r="G175">
        <v>1000</v>
      </c>
      <c r="J175">
        <f>SUM(G167:G175)</f>
        <v>1009162</v>
      </c>
    </row>
    <row r="176" spans="1:10" x14ac:dyDescent="0.25">
      <c r="A176">
        <v>1741</v>
      </c>
      <c r="C176">
        <v>9080010</v>
      </c>
      <c r="E176">
        <v>130</v>
      </c>
      <c r="G176">
        <v>1748000</v>
      </c>
    </row>
    <row r="177" spans="1:10" x14ac:dyDescent="0.25">
      <c r="A177">
        <v>1741</v>
      </c>
      <c r="C177">
        <v>9080010</v>
      </c>
      <c r="E177">
        <v>430</v>
      </c>
      <c r="G177">
        <v>315000</v>
      </c>
    </row>
    <row r="178" spans="1:10" x14ac:dyDescent="0.25">
      <c r="A178">
        <v>1741</v>
      </c>
      <c r="C178">
        <v>9080010</v>
      </c>
      <c r="E178">
        <v>520</v>
      </c>
      <c r="G178">
        <v>112000</v>
      </c>
    </row>
    <row r="179" spans="1:10" x14ac:dyDescent="0.25">
      <c r="A179">
        <v>1741</v>
      </c>
      <c r="C179">
        <v>9080010</v>
      </c>
      <c r="E179">
        <v>540</v>
      </c>
      <c r="G179">
        <v>65000</v>
      </c>
    </row>
    <row r="180" spans="1:10" x14ac:dyDescent="0.25">
      <c r="A180">
        <v>1741</v>
      </c>
      <c r="C180">
        <v>9080010</v>
      </c>
      <c r="E180">
        <v>550</v>
      </c>
      <c r="G180">
        <v>9000</v>
      </c>
    </row>
    <row r="181" spans="1:10" x14ac:dyDescent="0.25">
      <c r="A181">
        <v>1741</v>
      </c>
      <c r="C181">
        <v>9080010</v>
      </c>
      <c r="E181">
        <v>560</v>
      </c>
      <c r="G181">
        <v>50000</v>
      </c>
    </row>
    <row r="182" spans="1:10" x14ac:dyDescent="0.25">
      <c r="A182">
        <v>1741</v>
      </c>
      <c r="C182">
        <v>9080010</v>
      </c>
      <c r="E182">
        <v>570</v>
      </c>
      <c r="G182">
        <v>90000</v>
      </c>
    </row>
    <row r="183" spans="1:10" x14ac:dyDescent="0.25">
      <c r="A183">
        <v>1741</v>
      </c>
      <c r="C183">
        <v>9080010</v>
      </c>
      <c r="E183">
        <v>580</v>
      </c>
      <c r="G183">
        <v>10000</v>
      </c>
    </row>
    <row r="184" spans="1:10" x14ac:dyDescent="0.25">
      <c r="A184">
        <v>1741</v>
      </c>
      <c r="C184">
        <v>9080010</v>
      </c>
      <c r="E184">
        <v>610</v>
      </c>
      <c r="G184">
        <v>20000</v>
      </c>
    </row>
    <row r="185" spans="1:10" x14ac:dyDescent="0.25">
      <c r="A185">
        <v>1741</v>
      </c>
      <c r="C185">
        <v>9080010</v>
      </c>
      <c r="E185">
        <v>620</v>
      </c>
      <c r="G185">
        <v>2000</v>
      </c>
    </row>
    <row r="186" spans="1:10" x14ac:dyDescent="0.25">
      <c r="A186">
        <v>1741</v>
      </c>
      <c r="C186">
        <v>9080010</v>
      </c>
      <c r="E186">
        <v>640</v>
      </c>
      <c r="G186">
        <v>385000</v>
      </c>
    </row>
    <row r="187" spans="1:10" x14ac:dyDescent="0.25">
      <c r="A187">
        <v>1741</v>
      </c>
      <c r="C187">
        <v>9080010</v>
      </c>
      <c r="E187">
        <v>655</v>
      </c>
      <c r="G187">
        <v>30000</v>
      </c>
    </row>
    <row r="188" spans="1:10" x14ac:dyDescent="0.25">
      <c r="A188">
        <v>1741</v>
      </c>
      <c r="C188">
        <v>9080010</v>
      </c>
      <c r="E188">
        <v>670</v>
      </c>
      <c r="G188">
        <v>5000</v>
      </c>
      <c r="J188">
        <f>SUM(G176:G188)</f>
        <v>2841000</v>
      </c>
    </row>
    <row r="189" spans="1:10" x14ac:dyDescent="0.25">
      <c r="A189">
        <v>1211</v>
      </c>
      <c r="C189">
        <v>9200010</v>
      </c>
      <c r="E189">
        <v>116</v>
      </c>
      <c r="G189">
        <v>712000</v>
      </c>
    </row>
    <row r="190" spans="1:10" x14ac:dyDescent="0.25">
      <c r="A190">
        <v>1111</v>
      </c>
      <c r="C190">
        <v>9200010</v>
      </c>
      <c r="E190">
        <v>130</v>
      </c>
      <c r="G190">
        <v>765410</v>
      </c>
    </row>
    <row r="191" spans="1:10" x14ac:dyDescent="0.25">
      <c r="A191">
        <v>1211</v>
      </c>
      <c r="C191">
        <v>9200010</v>
      </c>
      <c r="E191">
        <v>130</v>
      </c>
      <c r="G191">
        <v>517986</v>
      </c>
    </row>
    <row r="192" spans="1:10" x14ac:dyDescent="0.25">
      <c r="A192">
        <v>1221</v>
      </c>
      <c r="C192">
        <v>9200010</v>
      </c>
      <c r="E192">
        <v>130</v>
      </c>
      <c r="G192">
        <v>264750</v>
      </c>
    </row>
    <row r="193" spans="1:10" x14ac:dyDescent="0.25">
      <c r="A193">
        <v>1231</v>
      </c>
      <c r="C193">
        <v>9200010</v>
      </c>
      <c r="E193">
        <v>130</v>
      </c>
      <c r="G193">
        <v>229848</v>
      </c>
    </row>
    <row r="194" spans="1:10" x14ac:dyDescent="0.25">
      <c r="A194">
        <v>1311</v>
      </c>
      <c r="C194">
        <v>9200010</v>
      </c>
      <c r="E194">
        <v>130</v>
      </c>
      <c r="G194">
        <v>309824</v>
      </c>
    </row>
    <row r="195" spans="1:10" x14ac:dyDescent="0.25">
      <c r="A195">
        <v>1321</v>
      </c>
      <c r="C195">
        <v>9200010</v>
      </c>
      <c r="E195">
        <v>130</v>
      </c>
      <c r="G195">
        <v>731716</v>
      </c>
    </row>
    <row r="196" spans="1:10" x14ac:dyDescent="0.25">
      <c r="A196">
        <v>1331</v>
      </c>
      <c r="C196">
        <v>9200010</v>
      </c>
      <c r="E196">
        <v>130</v>
      </c>
      <c r="G196">
        <v>252870</v>
      </c>
    </row>
    <row r="197" spans="1:10" x14ac:dyDescent="0.25">
      <c r="A197">
        <v>1411</v>
      </c>
      <c r="C197">
        <v>9200010</v>
      </c>
      <c r="E197">
        <v>130</v>
      </c>
      <c r="G197">
        <v>339615</v>
      </c>
    </row>
    <row r="198" spans="1:10" x14ac:dyDescent="0.25">
      <c r="A198">
        <v>1421</v>
      </c>
      <c r="C198">
        <v>9200010</v>
      </c>
      <c r="E198">
        <v>130</v>
      </c>
      <c r="G198">
        <v>1528000</v>
      </c>
    </row>
    <row r="199" spans="1:10" x14ac:dyDescent="0.25">
      <c r="A199">
        <v>1431</v>
      </c>
      <c r="C199">
        <v>9200010</v>
      </c>
      <c r="E199">
        <v>130</v>
      </c>
      <c r="G199">
        <v>991000</v>
      </c>
    </row>
    <row r="200" spans="1:10" x14ac:dyDescent="0.25">
      <c r="A200">
        <v>1441</v>
      </c>
      <c r="C200">
        <v>9200010</v>
      </c>
      <c r="E200">
        <v>130</v>
      </c>
      <c r="G200">
        <v>1245823</v>
      </c>
    </row>
    <row r="201" spans="1:10" x14ac:dyDescent="0.25">
      <c r="A201">
        <v>1451</v>
      </c>
      <c r="C201">
        <v>9200010</v>
      </c>
      <c r="E201">
        <v>130</v>
      </c>
      <c r="G201">
        <v>740257</v>
      </c>
    </row>
    <row r="202" spans="1:10" x14ac:dyDescent="0.25">
      <c r="A202">
        <v>1611</v>
      </c>
      <c r="C202">
        <v>9200010</v>
      </c>
      <c r="E202">
        <v>130</v>
      </c>
      <c r="G202">
        <v>411000</v>
      </c>
    </row>
    <row r="203" spans="1:10" x14ac:dyDescent="0.25">
      <c r="A203">
        <v>1621</v>
      </c>
      <c r="C203">
        <v>9200010</v>
      </c>
      <c r="E203">
        <v>130</v>
      </c>
      <c r="G203">
        <v>336939</v>
      </c>
    </row>
    <row r="204" spans="1:10" x14ac:dyDescent="0.25">
      <c r="A204">
        <v>1641</v>
      </c>
      <c r="C204">
        <v>9200010</v>
      </c>
      <c r="E204">
        <v>130</v>
      </c>
      <c r="G204">
        <v>975400</v>
      </c>
    </row>
    <row r="205" spans="1:10" x14ac:dyDescent="0.25">
      <c r="A205">
        <v>1651</v>
      </c>
      <c r="C205">
        <v>9200010</v>
      </c>
      <c r="E205">
        <v>130</v>
      </c>
      <c r="G205">
        <v>111000</v>
      </c>
      <c r="J205">
        <f>SUM(G189:G205)</f>
        <v>10463438</v>
      </c>
    </row>
    <row r="206" spans="1:10" x14ac:dyDescent="0.25">
      <c r="A206">
        <v>1631</v>
      </c>
      <c r="C206">
        <v>9210010</v>
      </c>
      <c r="E206">
        <v>130</v>
      </c>
      <c r="G206">
        <v>1163000</v>
      </c>
    </row>
    <row r="207" spans="1:10" x14ac:dyDescent="0.25">
      <c r="A207">
        <v>1211</v>
      </c>
      <c r="C207">
        <v>9210010</v>
      </c>
      <c r="E207">
        <v>510</v>
      </c>
      <c r="G207">
        <v>2750</v>
      </c>
    </row>
    <row r="208" spans="1:10" x14ac:dyDescent="0.25">
      <c r="A208">
        <v>1221</v>
      </c>
      <c r="C208">
        <v>9210010</v>
      </c>
      <c r="E208">
        <v>510</v>
      </c>
      <c r="G208">
        <v>1000</v>
      </c>
    </row>
    <row r="209" spans="1:7" x14ac:dyDescent="0.25">
      <c r="A209">
        <v>1231</v>
      </c>
      <c r="C209">
        <v>9210010</v>
      </c>
      <c r="E209">
        <v>510</v>
      </c>
      <c r="G209">
        <v>1500</v>
      </c>
    </row>
    <row r="210" spans="1:7" x14ac:dyDescent="0.25">
      <c r="A210">
        <v>1311</v>
      </c>
      <c r="C210">
        <v>9210010</v>
      </c>
      <c r="E210">
        <v>510</v>
      </c>
      <c r="G210">
        <v>1500</v>
      </c>
    </row>
    <row r="211" spans="1:7" x14ac:dyDescent="0.25">
      <c r="A211">
        <v>1321</v>
      </c>
      <c r="C211">
        <v>9210010</v>
      </c>
      <c r="E211">
        <v>510</v>
      </c>
      <c r="G211">
        <v>8000</v>
      </c>
    </row>
    <row r="212" spans="1:7" x14ac:dyDescent="0.25">
      <c r="A212">
        <f>A211</f>
        <v>1321</v>
      </c>
      <c r="C212">
        <v>9210010</v>
      </c>
      <c r="E212">
        <v>510</v>
      </c>
      <c r="G212">
        <v>2000</v>
      </c>
    </row>
    <row r="213" spans="1:7" x14ac:dyDescent="0.25">
      <c r="A213">
        <v>1411</v>
      </c>
      <c r="C213">
        <v>9210010</v>
      </c>
      <c r="E213">
        <v>510</v>
      </c>
      <c r="G213">
        <v>1000</v>
      </c>
    </row>
    <row r="214" spans="1:7" x14ac:dyDescent="0.25">
      <c r="A214">
        <v>1421</v>
      </c>
      <c r="C214">
        <v>9210010</v>
      </c>
      <c r="E214">
        <v>510</v>
      </c>
      <c r="G214">
        <v>1000</v>
      </c>
    </row>
    <row r="215" spans="1:7" x14ac:dyDescent="0.25">
      <c r="A215">
        <v>1431</v>
      </c>
      <c r="C215">
        <v>9210010</v>
      </c>
      <c r="E215">
        <v>510</v>
      </c>
      <c r="G215">
        <v>600</v>
      </c>
    </row>
    <row r="216" spans="1:7" x14ac:dyDescent="0.25">
      <c r="A216">
        <v>1451</v>
      </c>
      <c r="C216">
        <v>9210010</v>
      </c>
      <c r="E216">
        <v>510</v>
      </c>
      <c r="G216">
        <v>500</v>
      </c>
    </row>
    <row r="217" spans="1:7" x14ac:dyDescent="0.25">
      <c r="A217">
        <v>1611</v>
      </c>
      <c r="C217">
        <v>9210010</v>
      </c>
      <c r="E217">
        <v>510</v>
      </c>
      <c r="G217">
        <v>500</v>
      </c>
    </row>
    <row r="218" spans="1:7" x14ac:dyDescent="0.25">
      <c r="A218">
        <v>1631</v>
      </c>
      <c r="C218">
        <v>9210010</v>
      </c>
      <c r="E218">
        <v>510</v>
      </c>
      <c r="G218">
        <v>1500</v>
      </c>
    </row>
    <row r="219" spans="1:7" x14ac:dyDescent="0.25">
      <c r="A219">
        <v>1641</v>
      </c>
      <c r="C219">
        <v>9210010</v>
      </c>
      <c r="E219">
        <v>510</v>
      </c>
      <c r="G219">
        <v>300</v>
      </c>
    </row>
    <row r="220" spans="1:7" x14ac:dyDescent="0.25">
      <c r="A220">
        <v>1111</v>
      </c>
      <c r="C220">
        <v>9210010</v>
      </c>
      <c r="E220">
        <v>520</v>
      </c>
      <c r="G220">
        <v>80000</v>
      </c>
    </row>
    <row r="221" spans="1:7" x14ac:dyDescent="0.25">
      <c r="A221">
        <v>1211</v>
      </c>
      <c r="C221">
        <v>9210010</v>
      </c>
      <c r="E221">
        <v>520</v>
      </c>
      <c r="G221">
        <v>45000</v>
      </c>
    </row>
    <row r="222" spans="1:7" x14ac:dyDescent="0.25">
      <c r="A222">
        <v>1221</v>
      </c>
      <c r="C222">
        <v>9210010</v>
      </c>
      <c r="E222">
        <v>520</v>
      </c>
      <c r="G222">
        <v>6000</v>
      </c>
    </row>
    <row r="223" spans="1:7" x14ac:dyDescent="0.25">
      <c r="A223">
        <v>1231</v>
      </c>
      <c r="C223">
        <v>9210010</v>
      </c>
      <c r="E223">
        <v>520</v>
      </c>
      <c r="G223">
        <v>14000</v>
      </c>
    </row>
    <row r="224" spans="1:7" x14ac:dyDescent="0.25">
      <c r="A224">
        <v>1311</v>
      </c>
      <c r="C224">
        <v>9210010</v>
      </c>
      <c r="E224">
        <v>520</v>
      </c>
      <c r="G224">
        <v>4500</v>
      </c>
    </row>
    <row r="225" spans="1:7" x14ac:dyDescent="0.25">
      <c r="A225">
        <v>1321</v>
      </c>
      <c r="C225">
        <v>9210010</v>
      </c>
      <c r="E225">
        <v>520</v>
      </c>
      <c r="G225">
        <v>24000</v>
      </c>
    </row>
    <row r="226" spans="1:7" x14ac:dyDescent="0.25">
      <c r="A226">
        <f>A225</f>
        <v>1321</v>
      </c>
      <c r="C226">
        <v>9210010</v>
      </c>
      <c r="E226">
        <v>520</v>
      </c>
      <c r="G226">
        <v>6000</v>
      </c>
    </row>
    <row r="227" spans="1:7" x14ac:dyDescent="0.25">
      <c r="A227">
        <v>1411</v>
      </c>
      <c r="C227">
        <v>9210010</v>
      </c>
      <c r="E227">
        <v>520</v>
      </c>
      <c r="G227">
        <v>20000</v>
      </c>
    </row>
    <row r="228" spans="1:7" x14ac:dyDescent="0.25">
      <c r="A228">
        <v>1421</v>
      </c>
      <c r="C228">
        <v>9210010</v>
      </c>
      <c r="E228">
        <v>520</v>
      </c>
      <c r="G228">
        <v>30000</v>
      </c>
    </row>
    <row r="229" spans="1:7" x14ac:dyDescent="0.25">
      <c r="A229">
        <v>1431</v>
      </c>
      <c r="C229">
        <v>9210010</v>
      </c>
      <c r="E229">
        <v>520</v>
      </c>
      <c r="G229">
        <v>23000</v>
      </c>
    </row>
    <row r="230" spans="1:7" x14ac:dyDescent="0.25">
      <c r="A230">
        <v>1441</v>
      </c>
      <c r="C230">
        <v>9210010</v>
      </c>
      <c r="E230">
        <v>520</v>
      </c>
      <c r="G230">
        <v>30000</v>
      </c>
    </row>
    <row r="231" spans="1:7" x14ac:dyDescent="0.25">
      <c r="A231">
        <v>1451</v>
      </c>
      <c r="C231">
        <v>9210010</v>
      </c>
      <c r="E231">
        <v>520</v>
      </c>
      <c r="G231">
        <v>21500</v>
      </c>
    </row>
    <row r="232" spans="1:7" x14ac:dyDescent="0.25">
      <c r="A232">
        <v>1611</v>
      </c>
      <c r="C232">
        <v>9210010</v>
      </c>
      <c r="E232">
        <v>520</v>
      </c>
      <c r="G232">
        <v>25000</v>
      </c>
    </row>
    <row r="233" spans="1:7" x14ac:dyDescent="0.25">
      <c r="A233">
        <v>1621</v>
      </c>
      <c r="C233">
        <v>9210010</v>
      </c>
      <c r="E233">
        <v>520</v>
      </c>
      <c r="G233">
        <v>10000</v>
      </c>
    </row>
    <row r="234" spans="1:7" x14ac:dyDescent="0.25">
      <c r="A234">
        <v>1631</v>
      </c>
      <c r="C234">
        <v>9210010</v>
      </c>
      <c r="E234">
        <v>520</v>
      </c>
      <c r="G234">
        <v>100000</v>
      </c>
    </row>
    <row r="235" spans="1:7" x14ac:dyDescent="0.25">
      <c r="A235">
        <v>1641</v>
      </c>
      <c r="C235">
        <v>9210010</v>
      </c>
      <c r="E235">
        <v>520</v>
      </c>
      <c r="G235">
        <v>30000</v>
      </c>
    </row>
    <row r="236" spans="1:7" x14ac:dyDescent="0.25">
      <c r="A236">
        <v>1651</v>
      </c>
      <c r="C236">
        <v>9210010</v>
      </c>
      <c r="E236">
        <v>520</v>
      </c>
      <c r="G236">
        <v>21000</v>
      </c>
    </row>
    <row r="237" spans="1:7" x14ac:dyDescent="0.25">
      <c r="A237">
        <v>1211</v>
      </c>
      <c r="C237">
        <v>9210010</v>
      </c>
      <c r="E237">
        <v>540</v>
      </c>
      <c r="G237">
        <v>16500</v>
      </c>
    </row>
    <row r="238" spans="1:7" x14ac:dyDescent="0.25">
      <c r="A238">
        <v>1221</v>
      </c>
      <c r="C238">
        <v>9210010</v>
      </c>
      <c r="E238">
        <v>540</v>
      </c>
      <c r="G238">
        <v>20000</v>
      </c>
    </row>
    <row r="239" spans="1:7" x14ac:dyDescent="0.25">
      <c r="A239">
        <v>1231</v>
      </c>
      <c r="C239">
        <v>9210010</v>
      </c>
      <c r="E239">
        <v>540</v>
      </c>
      <c r="G239">
        <v>12000</v>
      </c>
    </row>
    <row r="240" spans="1:7" x14ac:dyDescent="0.25">
      <c r="A240">
        <v>1311</v>
      </c>
      <c r="C240">
        <v>9210010</v>
      </c>
      <c r="E240">
        <v>540</v>
      </c>
      <c r="G240">
        <v>7500</v>
      </c>
    </row>
    <row r="241" spans="1:7" x14ac:dyDescent="0.25">
      <c r="A241">
        <v>1321</v>
      </c>
      <c r="C241">
        <v>9210010</v>
      </c>
      <c r="E241">
        <v>540</v>
      </c>
      <c r="G241">
        <v>40000</v>
      </c>
    </row>
    <row r="242" spans="1:7" x14ac:dyDescent="0.25">
      <c r="A242">
        <f>A241</f>
        <v>1321</v>
      </c>
      <c r="C242">
        <v>9210010</v>
      </c>
      <c r="E242">
        <v>540</v>
      </c>
      <c r="G242">
        <v>10000</v>
      </c>
    </row>
    <row r="243" spans="1:7" x14ac:dyDescent="0.25">
      <c r="A243">
        <v>1411</v>
      </c>
      <c r="C243">
        <v>9210010</v>
      </c>
      <c r="E243">
        <v>540</v>
      </c>
      <c r="G243">
        <v>4000</v>
      </c>
    </row>
    <row r="244" spans="1:7" x14ac:dyDescent="0.25">
      <c r="A244">
        <v>1421</v>
      </c>
      <c r="C244">
        <v>9210010</v>
      </c>
      <c r="E244">
        <v>540</v>
      </c>
      <c r="G244">
        <v>21000</v>
      </c>
    </row>
    <row r="245" spans="1:7" x14ac:dyDescent="0.25">
      <c r="A245">
        <v>1431</v>
      </c>
      <c r="C245">
        <v>9210010</v>
      </c>
      <c r="E245">
        <v>540</v>
      </c>
      <c r="G245">
        <v>19000</v>
      </c>
    </row>
    <row r="246" spans="1:7" x14ac:dyDescent="0.25">
      <c r="A246">
        <v>1441</v>
      </c>
      <c r="C246">
        <v>9210010</v>
      </c>
      <c r="E246">
        <v>540</v>
      </c>
      <c r="G246">
        <v>22000</v>
      </c>
    </row>
    <row r="247" spans="1:7" x14ac:dyDescent="0.25">
      <c r="A247">
        <v>1451</v>
      </c>
      <c r="C247">
        <v>9210010</v>
      </c>
      <c r="E247">
        <v>540</v>
      </c>
      <c r="G247">
        <v>15000</v>
      </c>
    </row>
    <row r="248" spans="1:7" x14ac:dyDescent="0.25">
      <c r="A248">
        <v>1611</v>
      </c>
      <c r="C248">
        <v>9210010</v>
      </c>
      <c r="E248">
        <v>540</v>
      </c>
      <c r="G248">
        <v>4500</v>
      </c>
    </row>
    <row r="249" spans="1:7" x14ac:dyDescent="0.25">
      <c r="A249">
        <v>1621</v>
      </c>
      <c r="C249">
        <v>9210010</v>
      </c>
      <c r="E249">
        <v>540</v>
      </c>
      <c r="G249">
        <v>27000</v>
      </c>
    </row>
    <row r="250" spans="1:7" x14ac:dyDescent="0.25">
      <c r="A250">
        <v>1631</v>
      </c>
      <c r="C250">
        <v>9210010</v>
      </c>
      <c r="E250">
        <v>540</v>
      </c>
      <c r="G250">
        <v>24000</v>
      </c>
    </row>
    <row r="251" spans="1:7" x14ac:dyDescent="0.25">
      <c r="A251">
        <v>1641</v>
      </c>
      <c r="C251">
        <v>9210010</v>
      </c>
      <c r="E251">
        <v>540</v>
      </c>
      <c r="G251">
        <v>30000</v>
      </c>
    </row>
    <row r="252" spans="1:7" x14ac:dyDescent="0.25">
      <c r="A252">
        <v>1411</v>
      </c>
      <c r="C252">
        <v>9210010</v>
      </c>
      <c r="E252">
        <v>550</v>
      </c>
      <c r="G252">
        <v>30000</v>
      </c>
    </row>
    <row r="253" spans="1:7" x14ac:dyDescent="0.25">
      <c r="A253">
        <v>1421</v>
      </c>
      <c r="C253">
        <v>9210010</v>
      </c>
      <c r="E253">
        <v>550</v>
      </c>
      <c r="G253">
        <v>6000</v>
      </c>
    </row>
    <row r="254" spans="1:7" x14ac:dyDescent="0.25">
      <c r="A254">
        <v>1431</v>
      </c>
      <c r="C254">
        <v>9210010</v>
      </c>
      <c r="E254">
        <v>550</v>
      </c>
      <c r="G254">
        <v>4000</v>
      </c>
    </row>
    <row r="255" spans="1:7" x14ac:dyDescent="0.25">
      <c r="A255">
        <v>1441</v>
      </c>
      <c r="C255">
        <v>9210010</v>
      </c>
      <c r="E255">
        <v>550</v>
      </c>
      <c r="G255">
        <v>15000</v>
      </c>
    </row>
    <row r="256" spans="1:7" x14ac:dyDescent="0.25">
      <c r="A256">
        <v>1451</v>
      </c>
      <c r="C256">
        <v>9210010</v>
      </c>
      <c r="E256">
        <v>550</v>
      </c>
      <c r="G256">
        <v>7000</v>
      </c>
    </row>
    <row r="257" spans="1:10" x14ac:dyDescent="0.25">
      <c r="A257">
        <v>1631</v>
      </c>
      <c r="C257">
        <v>9210010</v>
      </c>
      <c r="E257">
        <v>550</v>
      </c>
      <c r="G257">
        <v>4000</v>
      </c>
    </row>
    <row r="258" spans="1:10" x14ac:dyDescent="0.25">
      <c r="A258">
        <v>1641</v>
      </c>
      <c r="C258">
        <v>9210010</v>
      </c>
      <c r="E258">
        <v>550</v>
      </c>
      <c r="G258">
        <v>30000</v>
      </c>
    </row>
    <row r="259" spans="1:10" x14ac:dyDescent="0.25">
      <c r="A259">
        <v>1411</v>
      </c>
      <c r="C259">
        <v>9210010</v>
      </c>
      <c r="E259">
        <v>560</v>
      </c>
      <c r="G259">
        <v>3000</v>
      </c>
    </row>
    <row r="260" spans="1:10" x14ac:dyDescent="0.25">
      <c r="A260">
        <v>1451</v>
      </c>
      <c r="C260">
        <v>9210010</v>
      </c>
      <c r="E260">
        <v>560</v>
      </c>
      <c r="G260">
        <v>37000</v>
      </c>
    </row>
    <row r="261" spans="1:10" x14ac:dyDescent="0.25">
      <c r="A261">
        <v>1631</v>
      </c>
      <c r="C261">
        <v>9210010</v>
      </c>
      <c r="E261">
        <v>560</v>
      </c>
      <c r="G261">
        <v>2500</v>
      </c>
    </row>
    <row r="262" spans="1:10" x14ac:dyDescent="0.25">
      <c r="A262">
        <v>1211</v>
      </c>
      <c r="C262">
        <v>9210010</v>
      </c>
      <c r="E262">
        <v>580</v>
      </c>
      <c r="G262">
        <v>1200</v>
      </c>
    </row>
    <row r="263" spans="1:10" x14ac:dyDescent="0.25">
      <c r="A263">
        <v>1411</v>
      </c>
      <c r="C263">
        <v>9210010</v>
      </c>
      <c r="E263">
        <v>580</v>
      </c>
      <c r="G263">
        <v>2000</v>
      </c>
    </row>
    <row r="264" spans="1:10" x14ac:dyDescent="0.25">
      <c r="A264">
        <v>1421</v>
      </c>
      <c r="C264">
        <v>9210010</v>
      </c>
      <c r="E264">
        <v>580</v>
      </c>
      <c r="G264">
        <v>1200</v>
      </c>
    </row>
    <row r="265" spans="1:10" x14ac:dyDescent="0.25">
      <c r="A265">
        <v>1431</v>
      </c>
      <c r="C265">
        <v>9210010</v>
      </c>
      <c r="E265">
        <v>580</v>
      </c>
      <c r="G265">
        <v>500</v>
      </c>
    </row>
    <row r="266" spans="1:10" x14ac:dyDescent="0.25">
      <c r="A266">
        <v>1611</v>
      </c>
      <c r="C266">
        <v>9210010</v>
      </c>
      <c r="E266">
        <v>580</v>
      </c>
      <c r="G266">
        <v>1000</v>
      </c>
    </row>
    <row r="267" spans="1:10" x14ac:dyDescent="0.25">
      <c r="A267">
        <v>1621</v>
      </c>
      <c r="C267">
        <v>9210010</v>
      </c>
      <c r="E267">
        <v>580</v>
      </c>
      <c r="G267">
        <v>1500</v>
      </c>
    </row>
    <row r="268" spans="1:10" x14ac:dyDescent="0.25">
      <c r="A268">
        <v>1631</v>
      </c>
      <c r="C268">
        <v>9210010</v>
      </c>
      <c r="E268">
        <v>580</v>
      </c>
      <c r="G268">
        <v>2500</v>
      </c>
      <c r="J268">
        <f>SUM(G207:G268)</f>
        <v>933050</v>
      </c>
    </row>
    <row r="269" spans="1:10" x14ac:dyDescent="0.25">
      <c r="A269">
        <v>1111</v>
      </c>
      <c r="C269">
        <v>9210010</v>
      </c>
      <c r="E269">
        <v>610</v>
      </c>
      <c r="G269">
        <v>5000</v>
      </c>
    </row>
    <row r="270" spans="1:10" x14ac:dyDescent="0.25">
      <c r="A270">
        <v>1211</v>
      </c>
      <c r="C270">
        <v>9210010</v>
      </c>
      <c r="E270">
        <v>610</v>
      </c>
      <c r="G270">
        <v>25000</v>
      </c>
    </row>
    <row r="271" spans="1:10" x14ac:dyDescent="0.25">
      <c r="A271">
        <v>1221</v>
      </c>
      <c r="C271">
        <v>9210010</v>
      </c>
      <c r="E271">
        <v>610</v>
      </c>
      <c r="G271">
        <v>25000</v>
      </c>
    </row>
    <row r="272" spans="1:10" x14ac:dyDescent="0.25">
      <c r="A272">
        <v>1231</v>
      </c>
      <c r="C272">
        <v>9210010</v>
      </c>
      <c r="E272">
        <v>610</v>
      </c>
      <c r="G272">
        <v>25000</v>
      </c>
    </row>
    <row r="273" spans="1:7" x14ac:dyDescent="0.25">
      <c r="A273">
        <v>1311</v>
      </c>
      <c r="C273">
        <v>9210010</v>
      </c>
      <c r="E273">
        <v>610</v>
      </c>
      <c r="G273">
        <v>67500</v>
      </c>
    </row>
    <row r="274" spans="1:7" x14ac:dyDescent="0.25">
      <c r="A274">
        <v>1411</v>
      </c>
      <c r="C274">
        <v>9210010</v>
      </c>
      <c r="E274">
        <v>610</v>
      </c>
      <c r="G274">
        <v>12000</v>
      </c>
    </row>
    <row r="275" spans="1:7" x14ac:dyDescent="0.25">
      <c r="A275">
        <v>1421</v>
      </c>
      <c r="C275">
        <v>9210010</v>
      </c>
      <c r="E275">
        <v>610</v>
      </c>
      <c r="G275">
        <v>4000</v>
      </c>
    </row>
    <row r="276" spans="1:7" x14ac:dyDescent="0.25">
      <c r="A276">
        <v>1431</v>
      </c>
      <c r="C276">
        <v>9210010</v>
      </c>
      <c r="E276">
        <v>610</v>
      </c>
      <c r="G276">
        <v>8000</v>
      </c>
    </row>
    <row r="277" spans="1:7" x14ac:dyDescent="0.25">
      <c r="A277">
        <v>1441</v>
      </c>
      <c r="C277">
        <v>9210010</v>
      </c>
      <c r="E277">
        <v>610</v>
      </c>
      <c r="G277">
        <v>17000</v>
      </c>
    </row>
    <row r="278" spans="1:7" x14ac:dyDescent="0.25">
      <c r="A278">
        <v>1451</v>
      </c>
      <c r="C278">
        <v>9210010</v>
      </c>
      <c r="E278">
        <v>610</v>
      </c>
      <c r="G278">
        <v>21000</v>
      </c>
    </row>
    <row r="279" spans="1:7" x14ac:dyDescent="0.25">
      <c r="A279">
        <v>1611</v>
      </c>
      <c r="C279">
        <v>9210010</v>
      </c>
      <c r="E279">
        <v>610</v>
      </c>
      <c r="G279">
        <v>3000</v>
      </c>
    </row>
    <row r="280" spans="1:7" x14ac:dyDescent="0.25">
      <c r="A280">
        <v>1621</v>
      </c>
      <c r="C280">
        <v>9210010</v>
      </c>
      <c r="E280">
        <v>610</v>
      </c>
      <c r="G280">
        <v>3000</v>
      </c>
    </row>
    <row r="281" spans="1:7" x14ac:dyDescent="0.25">
      <c r="A281">
        <v>1631</v>
      </c>
      <c r="C281">
        <v>9210010</v>
      </c>
      <c r="E281">
        <v>610</v>
      </c>
      <c r="G281">
        <v>8000</v>
      </c>
    </row>
    <row r="282" spans="1:7" x14ac:dyDescent="0.25">
      <c r="A282">
        <v>1641</v>
      </c>
      <c r="C282">
        <v>9210010</v>
      </c>
      <c r="E282">
        <v>610</v>
      </c>
      <c r="G282">
        <v>7000</v>
      </c>
    </row>
    <row r="283" spans="1:7" x14ac:dyDescent="0.25">
      <c r="A283">
        <v>1651</v>
      </c>
      <c r="C283">
        <v>9210010</v>
      </c>
      <c r="E283">
        <v>610</v>
      </c>
      <c r="G283">
        <v>12000</v>
      </c>
    </row>
    <row r="284" spans="1:7" x14ac:dyDescent="0.25">
      <c r="A284">
        <v>1211</v>
      </c>
      <c r="C284">
        <v>9210010</v>
      </c>
      <c r="E284">
        <v>615</v>
      </c>
      <c r="G284">
        <v>10000</v>
      </c>
    </row>
    <row r="285" spans="1:7" x14ac:dyDescent="0.25">
      <c r="A285">
        <v>1311</v>
      </c>
      <c r="C285">
        <v>9210010</v>
      </c>
      <c r="E285">
        <v>615</v>
      </c>
      <c r="G285">
        <v>25000</v>
      </c>
    </row>
    <row r="286" spans="1:7" x14ac:dyDescent="0.25">
      <c r="A286">
        <v>1411</v>
      </c>
      <c r="C286">
        <v>9210010</v>
      </c>
      <c r="E286">
        <v>615</v>
      </c>
      <c r="G286">
        <v>3000</v>
      </c>
    </row>
    <row r="287" spans="1:7" x14ac:dyDescent="0.25">
      <c r="A287">
        <v>1421</v>
      </c>
      <c r="C287">
        <v>9210010</v>
      </c>
      <c r="E287">
        <v>615</v>
      </c>
      <c r="G287">
        <v>30000</v>
      </c>
    </row>
    <row r="288" spans="1:7" x14ac:dyDescent="0.25">
      <c r="A288">
        <v>1431</v>
      </c>
      <c r="C288">
        <v>9210010</v>
      </c>
      <c r="E288">
        <v>615</v>
      </c>
      <c r="G288">
        <v>40000</v>
      </c>
    </row>
    <row r="289" spans="1:7" x14ac:dyDescent="0.25">
      <c r="A289">
        <v>1441</v>
      </c>
      <c r="C289">
        <v>9210010</v>
      </c>
      <c r="E289">
        <v>615</v>
      </c>
      <c r="G289">
        <v>1000</v>
      </c>
    </row>
    <row r="290" spans="1:7" x14ac:dyDescent="0.25">
      <c r="A290">
        <v>1451</v>
      </c>
      <c r="C290">
        <v>9210010</v>
      </c>
      <c r="E290">
        <v>615</v>
      </c>
      <c r="G290">
        <v>1000</v>
      </c>
    </row>
    <row r="291" spans="1:7" x14ac:dyDescent="0.25">
      <c r="A291">
        <v>1621</v>
      </c>
      <c r="C291">
        <v>9210010</v>
      </c>
      <c r="E291">
        <v>615</v>
      </c>
      <c r="G291">
        <v>3000</v>
      </c>
    </row>
    <row r="292" spans="1:7" x14ac:dyDescent="0.25">
      <c r="A292">
        <v>1631</v>
      </c>
      <c r="C292">
        <v>9210010</v>
      </c>
      <c r="E292">
        <v>615</v>
      </c>
      <c r="G292">
        <v>10000</v>
      </c>
    </row>
    <row r="293" spans="1:7" x14ac:dyDescent="0.25">
      <c r="A293">
        <v>1641</v>
      </c>
      <c r="C293">
        <v>9210010</v>
      </c>
      <c r="E293">
        <v>615</v>
      </c>
      <c r="G293">
        <v>3000</v>
      </c>
    </row>
    <row r="294" spans="1:7" x14ac:dyDescent="0.25">
      <c r="A294">
        <v>1651</v>
      </c>
      <c r="C294">
        <v>9210010</v>
      </c>
      <c r="E294">
        <v>615</v>
      </c>
      <c r="G294">
        <v>24000</v>
      </c>
    </row>
    <row r="295" spans="1:7" x14ac:dyDescent="0.25">
      <c r="A295">
        <v>1211</v>
      </c>
      <c r="C295">
        <v>9210010</v>
      </c>
      <c r="E295">
        <v>620</v>
      </c>
      <c r="G295">
        <v>4500</v>
      </c>
    </row>
    <row r="296" spans="1:7" x14ac:dyDescent="0.25">
      <c r="A296">
        <v>1221</v>
      </c>
      <c r="C296">
        <v>9210010</v>
      </c>
      <c r="E296">
        <v>620</v>
      </c>
      <c r="G296">
        <v>1000</v>
      </c>
    </row>
    <row r="297" spans="1:7" x14ac:dyDescent="0.25">
      <c r="A297">
        <v>1231</v>
      </c>
      <c r="C297">
        <v>9210010</v>
      </c>
      <c r="E297">
        <v>620</v>
      </c>
      <c r="G297">
        <v>1000</v>
      </c>
    </row>
    <row r="298" spans="1:7" x14ac:dyDescent="0.25">
      <c r="A298">
        <v>1311</v>
      </c>
      <c r="C298">
        <v>9210010</v>
      </c>
      <c r="E298">
        <v>620</v>
      </c>
      <c r="G298">
        <v>13000</v>
      </c>
    </row>
    <row r="299" spans="1:7" x14ac:dyDescent="0.25">
      <c r="A299">
        <v>1421</v>
      </c>
      <c r="C299">
        <v>9210010</v>
      </c>
      <c r="E299">
        <v>620</v>
      </c>
      <c r="G299">
        <v>4000</v>
      </c>
    </row>
    <row r="300" spans="1:7" x14ac:dyDescent="0.25">
      <c r="A300">
        <v>1431</v>
      </c>
      <c r="C300">
        <v>9210010</v>
      </c>
      <c r="E300">
        <v>620</v>
      </c>
      <c r="G300">
        <v>5000</v>
      </c>
    </row>
    <row r="301" spans="1:7" x14ac:dyDescent="0.25">
      <c r="A301">
        <v>1451</v>
      </c>
      <c r="C301">
        <v>9210010</v>
      </c>
      <c r="E301">
        <v>620</v>
      </c>
      <c r="G301">
        <v>1000</v>
      </c>
    </row>
    <row r="302" spans="1:7" x14ac:dyDescent="0.25">
      <c r="A302">
        <v>1611</v>
      </c>
      <c r="C302">
        <v>9210010</v>
      </c>
      <c r="E302">
        <v>620</v>
      </c>
      <c r="G302">
        <v>5000</v>
      </c>
    </row>
    <row r="303" spans="1:7" x14ac:dyDescent="0.25">
      <c r="A303">
        <v>1621</v>
      </c>
      <c r="C303">
        <v>9210010</v>
      </c>
      <c r="E303">
        <v>620</v>
      </c>
      <c r="G303">
        <v>5000</v>
      </c>
    </row>
    <row r="304" spans="1:7" x14ac:dyDescent="0.25">
      <c r="A304">
        <v>1631</v>
      </c>
      <c r="C304">
        <v>9210010</v>
      </c>
      <c r="E304">
        <v>620</v>
      </c>
      <c r="G304">
        <v>25000</v>
      </c>
    </row>
    <row r="305" spans="1:7" x14ac:dyDescent="0.25">
      <c r="A305">
        <v>1641</v>
      </c>
      <c r="C305">
        <v>9210010</v>
      </c>
      <c r="E305">
        <v>620</v>
      </c>
      <c r="G305">
        <v>6000</v>
      </c>
    </row>
    <row r="306" spans="1:7" x14ac:dyDescent="0.25">
      <c r="A306">
        <v>1651</v>
      </c>
      <c r="C306">
        <v>9210010</v>
      </c>
      <c r="E306">
        <v>620</v>
      </c>
      <c r="G306">
        <v>1000</v>
      </c>
    </row>
    <row r="307" spans="1:7" x14ac:dyDescent="0.25">
      <c r="A307">
        <v>1211</v>
      </c>
      <c r="C307">
        <v>9210010</v>
      </c>
      <c r="E307">
        <v>655</v>
      </c>
      <c r="G307">
        <v>2000</v>
      </c>
    </row>
    <row r="308" spans="1:7" x14ac:dyDescent="0.25">
      <c r="A308">
        <v>1221</v>
      </c>
      <c r="C308">
        <v>9210010</v>
      </c>
      <c r="E308">
        <v>655</v>
      </c>
      <c r="G308">
        <v>2500</v>
      </c>
    </row>
    <row r="309" spans="1:7" x14ac:dyDescent="0.25">
      <c r="A309">
        <v>1231</v>
      </c>
      <c r="C309">
        <v>9210010</v>
      </c>
      <c r="E309">
        <v>655</v>
      </c>
      <c r="G309">
        <v>2500</v>
      </c>
    </row>
    <row r="310" spans="1:7" x14ac:dyDescent="0.25">
      <c r="A310">
        <v>1411</v>
      </c>
      <c r="C310">
        <v>9210010</v>
      </c>
      <c r="E310">
        <v>655</v>
      </c>
      <c r="G310">
        <v>1000</v>
      </c>
    </row>
    <row r="311" spans="1:7" x14ac:dyDescent="0.25">
      <c r="A311">
        <v>1431</v>
      </c>
      <c r="C311">
        <v>9210010</v>
      </c>
      <c r="E311">
        <v>655</v>
      </c>
      <c r="G311">
        <v>500</v>
      </c>
    </row>
    <row r="312" spans="1:7" x14ac:dyDescent="0.25">
      <c r="A312">
        <v>1441</v>
      </c>
      <c r="C312">
        <v>9210010</v>
      </c>
      <c r="E312">
        <v>655</v>
      </c>
      <c r="G312">
        <v>2000</v>
      </c>
    </row>
    <row r="313" spans="1:7" x14ac:dyDescent="0.25">
      <c r="A313">
        <v>1451</v>
      </c>
      <c r="C313">
        <v>9210010</v>
      </c>
      <c r="E313">
        <v>655</v>
      </c>
      <c r="G313">
        <v>2000</v>
      </c>
    </row>
    <row r="314" spans="1:7" x14ac:dyDescent="0.25">
      <c r="A314">
        <v>1611</v>
      </c>
      <c r="C314">
        <v>9210010</v>
      </c>
      <c r="E314">
        <v>655</v>
      </c>
      <c r="G314">
        <v>3000</v>
      </c>
    </row>
    <row r="315" spans="1:7" x14ac:dyDescent="0.25">
      <c r="A315">
        <v>1621</v>
      </c>
      <c r="C315">
        <v>9210010</v>
      </c>
      <c r="E315">
        <v>655</v>
      </c>
      <c r="G315">
        <v>100000</v>
      </c>
    </row>
    <row r="316" spans="1:7" x14ac:dyDescent="0.25">
      <c r="A316">
        <v>1631</v>
      </c>
      <c r="C316">
        <v>9210010</v>
      </c>
      <c r="E316">
        <v>655</v>
      </c>
      <c r="G316">
        <v>10000</v>
      </c>
    </row>
    <row r="317" spans="1:7" x14ac:dyDescent="0.25">
      <c r="A317">
        <v>1641</v>
      </c>
      <c r="C317">
        <v>9210010</v>
      </c>
      <c r="E317">
        <v>655</v>
      </c>
      <c r="G317">
        <v>5000</v>
      </c>
    </row>
    <row r="318" spans="1:7" x14ac:dyDescent="0.25">
      <c r="A318">
        <v>1651</v>
      </c>
      <c r="C318">
        <v>9210010</v>
      </c>
      <c r="E318">
        <v>655</v>
      </c>
      <c r="G318">
        <v>15000</v>
      </c>
    </row>
    <row r="319" spans="1:7" x14ac:dyDescent="0.25">
      <c r="A319">
        <v>1311</v>
      </c>
      <c r="C319">
        <v>9210010</v>
      </c>
      <c r="E319">
        <v>660</v>
      </c>
      <c r="G319">
        <v>122000</v>
      </c>
    </row>
    <row r="320" spans="1:7" x14ac:dyDescent="0.25">
      <c r="A320">
        <v>1441</v>
      </c>
      <c r="C320">
        <v>9210010</v>
      </c>
      <c r="E320">
        <v>665</v>
      </c>
      <c r="G320">
        <v>588000</v>
      </c>
    </row>
    <row r="321" spans="1:11" x14ac:dyDescent="0.25">
      <c r="A321">
        <v>1411</v>
      </c>
      <c r="C321">
        <v>9210010</v>
      </c>
      <c r="E321">
        <v>670</v>
      </c>
      <c r="G321">
        <v>2000</v>
      </c>
    </row>
    <row r="322" spans="1:11" x14ac:dyDescent="0.25">
      <c r="A322">
        <v>1421</v>
      </c>
      <c r="C322">
        <v>9210010</v>
      </c>
      <c r="E322">
        <v>670</v>
      </c>
      <c r="G322">
        <v>1000</v>
      </c>
    </row>
    <row r="323" spans="1:11" x14ac:dyDescent="0.25">
      <c r="A323">
        <v>1431</v>
      </c>
      <c r="C323">
        <v>9210010</v>
      </c>
      <c r="E323">
        <v>670</v>
      </c>
      <c r="G323">
        <v>500</v>
      </c>
    </row>
    <row r="324" spans="1:11" x14ac:dyDescent="0.25">
      <c r="A324">
        <v>1441</v>
      </c>
      <c r="C324">
        <v>9210010</v>
      </c>
      <c r="E324">
        <v>670</v>
      </c>
      <c r="G324">
        <v>3000</v>
      </c>
    </row>
    <row r="325" spans="1:11" x14ac:dyDescent="0.25">
      <c r="A325">
        <v>1451</v>
      </c>
      <c r="C325">
        <v>9210010</v>
      </c>
      <c r="E325">
        <v>670</v>
      </c>
      <c r="G325">
        <v>1000</v>
      </c>
    </row>
    <row r="326" spans="1:11" x14ac:dyDescent="0.25">
      <c r="A326">
        <v>1611</v>
      </c>
      <c r="C326">
        <v>9210010</v>
      </c>
      <c r="E326">
        <v>670</v>
      </c>
      <c r="G326">
        <v>3000</v>
      </c>
    </row>
    <row r="327" spans="1:11" x14ac:dyDescent="0.25">
      <c r="A327">
        <v>1621</v>
      </c>
      <c r="C327">
        <v>9210010</v>
      </c>
      <c r="E327">
        <v>670</v>
      </c>
      <c r="G327">
        <v>2500</v>
      </c>
    </row>
    <row r="328" spans="1:11" x14ac:dyDescent="0.25">
      <c r="A328">
        <v>1631</v>
      </c>
      <c r="C328">
        <v>9210010</v>
      </c>
      <c r="E328">
        <v>670</v>
      </c>
      <c r="G328">
        <v>5000</v>
      </c>
    </row>
    <row r="329" spans="1:11" x14ac:dyDescent="0.25">
      <c r="A329">
        <v>1641</v>
      </c>
      <c r="C329">
        <v>9210010</v>
      </c>
      <c r="E329">
        <v>670</v>
      </c>
      <c r="G329">
        <v>1000</v>
      </c>
    </row>
    <row r="330" spans="1:11" x14ac:dyDescent="0.25">
      <c r="A330">
        <v>1651</v>
      </c>
      <c r="C330">
        <v>9210010</v>
      </c>
      <c r="E330">
        <v>670</v>
      </c>
      <c r="G330">
        <v>6000</v>
      </c>
      <c r="J330">
        <f>SUM(G206:G330)</f>
        <v>3440550</v>
      </c>
      <c r="K330">
        <f>SUM(G269:G330)</f>
        <v>1344500</v>
      </c>
    </row>
    <row r="331" spans="1:11" x14ac:dyDescent="0.25">
      <c r="A331">
        <v>1111</v>
      </c>
      <c r="C331">
        <v>9230010</v>
      </c>
      <c r="E331">
        <v>430</v>
      </c>
      <c r="G331">
        <v>100000</v>
      </c>
    </row>
    <row r="332" spans="1:11" x14ac:dyDescent="0.25">
      <c r="A332">
        <v>1211</v>
      </c>
      <c r="C332">
        <v>9230010</v>
      </c>
      <c r="E332">
        <v>430</v>
      </c>
      <c r="G332">
        <v>223000</v>
      </c>
    </row>
    <row r="333" spans="1:11" x14ac:dyDescent="0.25">
      <c r="A333">
        <v>1221</v>
      </c>
      <c r="C333">
        <v>9230010</v>
      </c>
      <c r="E333">
        <v>430</v>
      </c>
      <c r="G333">
        <v>114000</v>
      </c>
    </row>
    <row r="334" spans="1:11" x14ac:dyDescent="0.25">
      <c r="A334">
        <v>1231</v>
      </c>
      <c r="C334">
        <v>9230010</v>
      </c>
      <c r="E334">
        <v>430</v>
      </c>
      <c r="G334">
        <v>10000</v>
      </c>
    </row>
    <row r="335" spans="1:11" x14ac:dyDescent="0.25">
      <c r="A335">
        <v>1311</v>
      </c>
      <c r="C335">
        <v>9230010</v>
      </c>
      <c r="E335">
        <v>430</v>
      </c>
      <c r="G335">
        <v>325000</v>
      </c>
    </row>
    <row r="336" spans="1:11" x14ac:dyDescent="0.25">
      <c r="A336">
        <v>1411</v>
      </c>
      <c r="C336">
        <v>9230010</v>
      </c>
      <c r="E336">
        <v>430</v>
      </c>
      <c r="G336">
        <v>300000</v>
      </c>
    </row>
    <row r="337" spans="1:10" x14ac:dyDescent="0.25">
      <c r="A337">
        <v>1421</v>
      </c>
      <c r="C337">
        <v>9230010</v>
      </c>
      <c r="E337">
        <v>430</v>
      </c>
      <c r="G337">
        <v>625000</v>
      </c>
    </row>
    <row r="338" spans="1:10" x14ac:dyDescent="0.25">
      <c r="A338">
        <v>1451</v>
      </c>
      <c r="C338">
        <v>9230010</v>
      </c>
      <c r="E338">
        <v>430</v>
      </c>
      <c r="G338">
        <v>100000</v>
      </c>
    </row>
    <row r="339" spans="1:10" x14ac:dyDescent="0.25">
      <c r="A339">
        <v>1611</v>
      </c>
      <c r="C339">
        <v>9230010</v>
      </c>
      <c r="E339">
        <v>430</v>
      </c>
      <c r="G339">
        <v>25000</v>
      </c>
    </row>
    <row r="340" spans="1:10" x14ac:dyDescent="0.25">
      <c r="A340">
        <v>1621</v>
      </c>
      <c r="C340">
        <v>9230010</v>
      </c>
      <c r="E340">
        <v>430</v>
      </c>
      <c r="G340">
        <v>50000</v>
      </c>
    </row>
    <row r="341" spans="1:10" x14ac:dyDescent="0.25">
      <c r="A341">
        <v>1641</v>
      </c>
      <c r="C341">
        <v>9230010</v>
      </c>
      <c r="E341">
        <v>430</v>
      </c>
      <c r="G341">
        <v>420000</v>
      </c>
    </row>
    <row r="342" spans="1:10" x14ac:dyDescent="0.25">
      <c r="A342">
        <v>1311</v>
      </c>
      <c r="C342">
        <v>9230010</v>
      </c>
      <c r="E342">
        <v>450</v>
      </c>
      <c r="G342">
        <v>1030000</v>
      </c>
    </row>
    <row r="343" spans="1:10" x14ac:dyDescent="0.25">
      <c r="A343">
        <v>1631</v>
      </c>
      <c r="C343">
        <v>9230010</v>
      </c>
      <c r="E343">
        <v>450</v>
      </c>
      <c r="G343">
        <v>1000000</v>
      </c>
    </row>
    <row r="344" spans="1:10" x14ac:dyDescent="0.25">
      <c r="A344">
        <v>1211</v>
      </c>
      <c r="C344">
        <v>9230010</v>
      </c>
      <c r="E344">
        <v>470</v>
      </c>
      <c r="G344">
        <v>100000</v>
      </c>
    </row>
    <row r="345" spans="1:10" x14ac:dyDescent="0.25">
      <c r="A345">
        <v>1421</v>
      </c>
      <c r="C345">
        <v>9230010</v>
      </c>
      <c r="E345">
        <v>470</v>
      </c>
      <c r="G345">
        <v>1701000</v>
      </c>
    </row>
    <row r="346" spans="1:10" x14ac:dyDescent="0.25">
      <c r="A346">
        <v>1431</v>
      </c>
      <c r="C346">
        <v>9230010</v>
      </c>
      <c r="E346">
        <v>470</v>
      </c>
      <c r="G346">
        <v>1575000</v>
      </c>
    </row>
    <row r="347" spans="1:10" x14ac:dyDescent="0.25">
      <c r="A347">
        <v>1641</v>
      </c>
      <c r="C347">
        <v>9230010</v>
      </c>
      <c r="E347">
        <v>470</v>
      </c>
      <c r="G347">
        <v>280000</v>
      </c>
    </row>
    <row r="348" spans="1:10" x14ac:dyDescent="0.25">
      <c r="A348">
        <v>1651</v>
      </c>
      <c r="C348">
        <v>9230010</v>
      </c>
      <c r="E348">
        <v>470</v>
      </c>
      <c r="G348">
        <v>25000</v>
      </c>
    </row>
    <row r="349" spans="1:10" x14ac:dyDescent="0.25">
      <c r="A349">
        <v>1421</v>
      </c>
      <c r="C349">
        <v>9230010</v>
      </c>
      <c r="E349">
        <v>640</v>
      </c>
      <c r="G349">
        <v>120000</v>
      </c>
    </row>
    <row r="350" spans="1:10" x14ac:dyDescent="0.25">
      <c r="A350">
        <v>1431</v>
      </c>
      <c r="C350">
        <v>9230010</v>
      </c>
      <c r="E350">
        <v>640</v>
      </c>
      <c r="G350">
        <v>132000</v>
      </c>
    </row>
    <row r="351" spans="1:10" x14ac:dyDescent="0.25">
      <c r="A351">
        <v>1441</v>
      </c>
      <c r="C351">
        <v>9230010</v>
      </c>
      <c r="E351">
        <v>640</v>
      </c>
      <c r="G351">
        <v>24000</v>
      </c>
    </row>
    <row r="352" spans="1:10" x14ac:dyDescent="0.25">
      <c r="A352">
        <v>1621</v>
      </c>
      <c r="C352">
        <v>9230010</v>
      </c>
      <c r="E352">
        <v>710</v>
      </c>
      <c r="F352">
        <v>470</v>
      </c>
      <c r="G352">
        <v>50000</v>
      </c>
      <c r="J352">
        <f>SUM(G331:G352)</f>
        <v>8329000</v>
      </c>
    </row>
    <row r="353" spans="1:10" x14ac:dyDescent="0.25">
      <c r="A353">
        <v>1311</v>
      </c>
      <c r="C353">
        <v>9240010</v>
      </c>
      <c r="E353">
        <v>310</v>
      </c>
      <c r="G353">
        <f>50000+6000</f>
        <v>56000</v>
      </c>
      <c r="J353">
        <f t="shared" ref="J353:J359" si="1">SUM(G353:I353)</f>
        <v>56000</v>
      </c>
    </row>
    <row r="354" spans="1:10" x14ac:dyDescent="0.25">
      <c r="A354">
        <v>1311</v>
      </c>
      <c r="C354">
        <v>9250010</v>
      </c>
      <c r="E354">
        <v>310</v>
      </c>
      <c r="G354">
        <f>768000-56000</f>
        <v>712000</v>
      </c>
      <c r="J354">
        <f t="shared" si="1"/>
        <v>712000</v>
      </c>
    </row>
    <row r="355" spans="1:10" x14ac:dyDescent="0.25">
      <c r="A355">
        <v>1631</v>
      </c>
      <c r="C355">
        <v>9280010</v>
      </c>
      <c r="E355">
        <v>450</v>
      </c>
      <c r="G355">
        <f>4000000-1000000</f>
        <v>3000000</v>
      </c>
      <c r="J355">
        <f t="shared" si="1"/>
        <v>3000000</v>
      </c>
    </row>
    <row r="356" spans="1:10" x14ac:dyDescent="0.25">
      <c r="A356">
        <v>1211</v>
      </c>
      <c r="C356">
        <v>9300110</v>
      </c>
      <c r="E356">
        <v>650</v>
      </c>
      <c r="G356">
        <v>50000</v>
      </c>
      <c r="J356">
        <f t="shared" si="1"/>
        <v>50000</v>
      </c>
    </row>
    <row r="357" spans="1:10" x14ac:dyDescent="0.25">
      <c r="A357">
        <v>1631</v>
      </c>
      <c r="C357">
        <v>9300240</v>
      </c>
      <c r="E357">
        <v>695</v>
      </c>
      <c r="G357">
        <v>1500000</v>
      </c>
      <c r="J357">
        <f>SUM(G357)</f>
        <v>1500000</v>
      </c>
    </row>
    <row r="358" spans="1:10" x14ac:dyDescent="0.25">
      <c r="A358">
        <v>1651</v>
      </c>
      <c r="C358">
        <v>9300251</v>
      </c>
      <c r="E358">
        <v>550</v>
      </c>
      <c r="G358">
        <v>124500</v>
      </c>
      <c r="J358">
        <f t="shared" si="1"/>
        <v>124500</v>
      </c>
    </row>
    <row r="359" spans="1:10" x14ac:dyDescent="0.25">
      <c r="A359">
        <v>1651</v>
      </c>
      <c r="C359">
        <v>9300252</v>
      </c>
      <c r="E359">
        <v>680</v>
      </c>
      <c r="G359">
        <v>483300</v>
      </c>
      <c r="J359">
        <f t="shared" si="1"/>
        <v>483300</v>
      </c>
    </row>
    <row r="360" spans="1:10" x14ac:dyDescent="0.25">
      <c r="A360">
        <v>1231</v>
      </c>
      <c r="C360">
        <v>9310010</v>
      </c>
      <c r="E360">
        <v>220</v>
      </c>
      <c r="G360">
        <v>1641000</v>
      </c>
    </row>
    <row r="361" spans="1:10" x14ac:dyDescent="0.25">
      <c r="A361">
        <v>1431</v>
      </c>
      <c r="C361">
        <v>9310010</v>
      </c>
      <c r="E361">
        <v>220</v>
      </c>
      <c r="G361">
        <v>120000</v>
      </c>
    </row>
    <row r="362" spans="1:10" x14ac:dyDescent="0.25">
      <c r="A362">
        <v>1221</v>
      </c>
      <c r="C362">
        <v>9310010</v>
      </c>
      <c r="E362">
        <v>230</v>
      </c>
      <c r="G362">
        <v>250000</v>
      </c>
    </row>
    <row r="363" spans="1:10" x14ac:dyDescent="0.25">
      <c r="A363">
        <v>1431</v>
      </c>
      <c r="C363">
        <v>9310010</v>
      </c>
      <c r="E363">
        <v>230</v>
      </c>
      <c r="G363">
        <v>652000</v>
      </c>
    </row>
    <row r="364" spans="1:10" x14ac:dyDescent="0.25">
      <c r="A364">
        <v>1431</v>
      </c>
      <c r="C364">
        <v>9310010</v>
      </c>
      <c r="E364">
        <v>510</v>
      </c>
      <c r="G364">
        <v>8400000</v>
      </c>
      <c r="J364">
        <f>SUM(G360:G364)</f>
        <v>11063000</v>
      </c>
    </row>
    <row r="365" spans="1:10" x14ac:dyDescent="0.25">
      <c r="A365">
        <v>1221</v>
      </c>
      <c r="C365">
        <v>9350010</v>
      </c>
      <c r="E365">
        <v>240</v>
      </c>
      <c r="G365">
        <v>874000</v>
      </c>
    </row>
    <row r="366" spans="1:10" x14ac:dyDescent="0.25">
      <c r="A366">
        <v>1231</v>
      </c>
      <c r="C366">
        <v>9350010</v>
      </c>
      <c r="E366">
        <v>240</v>
      </c>
      <c r="G366">
        <v>1428000</v>
      </c>
    </row>
    <row r="367" spans="1:10" x14ac:dyDescent="0.25">
      <c r="A367">
        <v>1431</v>
      </c>
      <c r="C367">
        <v>9350010</v>
      </c>
      <c r="E367">
        <v>440</v>
      </c>
      <c r="G367">
        <v>300000</v>
      </c>
    </row>
    <row r="368" spans="1:10" x14ac:dyDescent="0.25">
      <c r="A368">
        <v>1421</v>
      </c>
      <c r="C368">
        <v>9350010</v>
      </c>
      <c r="E368">
        <v>445</v>
      </c>
      <c r="G368">
        <v>353000</v>
      </c>
    </row>
    <row r="369" spans="1:10" x14ac:dyDescent="0.25">
      <c r="A369">
        <v>1431</v>
      </c>
      <c r="C369">
        <v>9350010</v>
      </c>
      <c r="E369">
        <v>445</v>
      </c>
      <c r="G369">
        <v>347000</v>
      </c>
    </row>
    <row r="370" spans="1:10" x14ac:dyDescent="0.25">
      <c r="A370">
        <v>1451</v>
      </c>
      <c r="C370">
        <v>9350010</v>
      </c>
      <c r="E370">
        <v>445</v>
      </c>
      <c r="G370">
        <v>278000</v>
      </c>
      <c r="J370">
        <f>SUM(G365:G370)</f>
        <v>3580000</v>
      </c>
    </row>
    <row r="373" spans="1:10" x14ac:dyDescent="0.25">
      <c r="G373">
        <f>SUM(G1:G372)</f>
        <v>113059591</v>
      </c>
      <c r="J373">
        <f>SUM(J1:J371)</f>
        <v>113992811.97499999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C6C93-D89E-447A-AA2F-74EA78474DCB}">
  <dimension ref="A1:X24"/>
  <sheetViews>
    <sheetView workbookViewId="0"/>
  </sheetViews>
  <sheetFormatPr defaultRowHeight="15" x14ac:dyDescent="0.25"/>
  <sheetData>
    <row r="1" spans="1:24" x14ac:dyDescent="0.25">
      <c r="A1" t="s">
        <v>483</v>
      </c>
    </row>
    <row r="2" spans="1:24" x14ac:dyDescent="0.25">
      <c r="A2" t="s">
        <v>652</v>
      </c>
    </row>
    <row r="3" spans="1:24" x14ac:dyDescent="0.25">
      <c r="A3" t="s">
        <v>653</v>
      </c>
    </row>
    <row r="4" spans="1:24" x14ac:dyDescent="0.25">
      <c r="A4">
        <v>36525</v>
      </c>
    </row>
    <row r="5" spans="1:24" x14ac:dyDescent="0.25">
      <c r="A5" t="s">
        <v>487</v>
      </c>
    </row>
    <row r="11" spans="1:24" x14ac:dyDescent="0.25">
      <c r="A11" t="s">
        <v>490</v>
      </c>
      <c r="J11" t="s">
        <v>624</v>
      </c>
      <c r="N11" t="s">
        <v>632</v>
      </c>
      <c r="P11" t="s">
        <v>490</v>
      </c>
      <c r="R11" t="s">
        <v>624</v>
      </c>
      <c r="V11" t="s">
        <v>632</v>
      </c>
      <c r="X11" t="s">
        <v>490</v>
      </c>
    </row>
    <row r="12" spans="1:24" x14ac:dyDescent="0.25">
      <c r="A12" t="s">
        <v>491</v>
      </c>
      <c r="C12" t="s">
        <v>623</v>
      </c>
      <c r="J12">
        <v>36160</v>
      </c>
      <c r="L12">
        <v>36525</v>
      </c>
      <c r="N12" t="s">
        <v>624</v>
      </c>
      <c r="P12" t="s">
        <v>491</v>
      </c>
      <c r="R12">
        <v>36525</v>
      </c>
      <c r="T12">
        <v>36891</v>
      </c>
      <c r="V12" t="s">
        <v>624</v>
      </c>
      <c r="X12" t="s">
        <v>491</v>
      </c>
    </row>
    <row r="15" spans="1:24" x14ac:dyDescent="0.25">
      <c r="C15" t="s">
        <v>654</v>
      </c>
    </row>
    <row r="16" spans="1:24" x14ac:dyDescent="0.25">
      <c r="A16">
        <v>1</v>
      </c>
      <c r="D16" t="s">
        <v>627</v>
      </c>
      <c r="N16">
        <f>SUM(J16:L16)/2</f>
        <v>0</v>
      </c>
      <c r="P16">
        <f>A16</f>
        <v>1</v>
      </c>
      <c r="V16">
        <f>SUM(R16:T16)/2</f>
        <v>0</v>
      </c>
      <c r="X16">
        <v>1</v>
      </c>
    </row>
    <row r="18" spans="1:24" x14ac:dyDescent="0.25">
      <c r="A18">
        <v>2</v>
      </c>
      <c r="E18" t="s">
        <v>655</v>
      </c>
      <c r="J18">
        <f>SUM(J16)</f>
        <v>0</v>
      </c>
      <c r="L18">
        <f>SUM(L16)</f>
        <v>0</v>
      </c>
      <c r="N18">
        <f>SUM(N16)</f>
        <v>0</v>
      </c>
      <c r="P18">
        <f>A18</f>
        <v>2</v>
      </c>
      <c r="R18">
        <f>SUM(R16)</f>
        <v>0</v>
      </c>
      <c r="T18">
        <f>SUM(T16)</f>
        <v>0</v>
      </c>
      <c r="V18">
        <f>SUM(V16)</f>
        <v>0</v>
      </c>
      <c r="X18">
        <v>2</v>
      </c>
    </row>
    <row r="23" spans="1:24" x14ac:dyDescent="0.25">
      <c r="A23" t="s">
        <v>648</v>
      </c>
      <c r="C23" t="s">
        <v>656</v>
      </c>
    </row>
    <row r="24" spans="1:24" x14ac:dyDescent="0.25">
      <c r="C24" t="s">
        <v>650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09EE-7335-425C-A679-0A1092E615D2}">
  <dimension ref="A1:R21"/>
  <sheetViews>
    <sheetView workbookViewId="0"/>
  </sheetViews>
  <sheetFormatPr defaultRowHeight="15" x14ac:dyDescent="0.25"/>
  <sheetData>
    <row r="1" spans="1:18" x14ac:dyDescent="0.25">
      <c r="A1" t="s">
        <v>483</v>
      </c>
    </row>
    <row r="2" spans="1:18" x14ac:dyDescent="0.25">
      <c r="A2" t="s">
        <v>657</v>
      </c>
    </row>
    <row r="3" spans="1:18" x14ac:dyDescent="0.25">
      <c r="A3" t="s">
        <v>658</v>
      </c>
    </row>
    <row r="4" spans="1:18" x14ac:dyDescent="0.25">
      <c r="A4">
        <v>36891</v>
      </c>
    </row>
    <row r="5" spans="1:18" x14ac:dyDescent="0.25">
      <c r="A5" t="s">
        <v>487</v>
      </c>
    </row>
    <row r="7" spans="1:18" x14ac:dyDescent="0.25">
      <c r="G7" t="s">
        <v>84</v>
      </c>
    </row>
    <row r="10" spans="1:18" x14ac:dyDescent="0.25">
      <c r="L10" t="s">
        <v>489</v>
      </c>
      <c r="Q10" t="s">
        <v>480</v>
      </c>
    </row>
    <row r="11" spans="1:18" x14ac:dyDescent="0.25">
      <c r="A11" t="s">
        <v>490</v>
      </c>
      <c r="M11" t="s">
        <v>490</v>
      </c>
      <c r="R11" t="s">
        <v>490</v>
      </c>
    </row>
    <row r="12" spans="1:18" x14ac:dyDescent="0.25">
      <c r="A12" t="s">
        <v>491</v>
      </c>
      <c r="C12" t="s">
        <v>492</v>
      </c>
      <c r="K12" t="s">
        <v>493</v>
      </c>
      <c r="M12" t="s">
        <v>491</v>
      </c>
      <c r="P12" t="s">
        <v>493</v>
      </c>
      <c r="R12" t="s">
        <v>491</v>
      </c>
    </row>
    <row r="15" spans="1:18" x14ac:dyDescent="0.25">
      <c r="A15">
        <v>1</v>
      </c>
      <c r="C15" t="s">
        <v>496</v>
      </c>
      <c r="M15">
        <f>A15</f>
        <v>1</v>
      </c>
      <c r="R15">
        <v>1</v>
      </c>
    </row>
    <row r="16" spans="1:18" x14ac:dyDescent="0.25">
      <c r="A16">
        <v>2</v>
      </c>
      <c r="C16" t="s">
        <v>497</v>
      </c>
      <c r="M16">
        <f>A16</f>
        <v>2</v>
      </c>
      <c r="R16">
        <v>2</v>
      </c>
    </row>
    <row r="17" spans="1:18" x14ac:dyDescent="0.25">
      <c r="A17">
        <v>3</v>
      </c>
      <c r="C17" t="s">
        <v>659</v>
      </c>
      <c r="M17">
        <f>A17</f>
        <v>3</v>
      </c>
      <c r="R17">
        <v>3</v>
      </c>
    </row>
    <row r="18" spans="1:18" x14ac:dyDescent="0.25">
      <c r="A18">
        <v>4</v>
      </c>
      <c r="C18" t="s">
        <v>499</v>
      </c>
      <c r="M18">
        <f>A18</f>
        <v>4</v>
      </c>
      <c r="R18">
        <v>4</v>
      </c>
    </row>
    <row r="19" spans="1:18" x14ac:dyDescent="0.25">
      <c r="A19">
        <v>5</v>
      </c>
      <c r="D19" t="s">
        <v>500</v>
      </c>
      <c r="K19">
        <f>SUM(K13:K18)</f>
        <v>0</v>
      </c>
      <c r="M19">
        <f>A19</f>
        <v>5</v>
      </c>
      <c r="P19">
        <f>SUM(P13:P18)</f>
        <v>0</v>
      </c>
      <c r="R19">
        <v>5</v>
      </c>
    </row>
    <row r="21" spans="1:18" x14ac:dyDescent="0.25">
      <c r="N21">
        <f>N19-K19</f>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F7F29-A9E4-4B4F-B19C-060A36C97773}">
  <dimension ref="A1:U118"/>
  <sheetViews>
    <sheetView workbookViewId="0"/>
  </sheetViews>
  <sheetFormatPr defaultRowHeight="15" x14ac:dyDescent="0.25"/>
  <sheetData>
    <row r="1" spans="1:20" x14ac:dyDescent="0.25">
      <c r="A1" t="s">
        <v>483</v>
      </c>
    </row>
    <row r="2" spans="1:20" x14ac:dyDescent="0.25">
      <c r="A2" t="s">
        <v>657</v>
      </c>
    </row>
    <row r="3" spans="1:20" x14ac:dyDescent="0.25">
      <c r="A3" t="s">
        <v>658</v>
      </c>
    </row>
    <row r="4" spans="1:20" x14ac:dyDescent="0.25">
      <c r="A4">
        <v>36891</v>
      </c>
    </row>
    <row r="5" spans="1:20" x14ac:dyDescent="0.25">
      <c r="A5" t="s">
        <v>487</v>
      </c>
    </row>
    <row r="11" spans="1:20" x14ac:dyDescent="0.25">
      <c r="A11" t="s">
        <v>490</v>
      </c>
      <c r="C11" t="s">
        <v>2</v>
      </c>
      <c r="N11" t="s">
        <v>489</v>
      </c>
      <c r="P11" t="s">
        <v>490</v>
      </c>
      <c r="R11" t="s">
        <v>480</v>
      </c>
      <c r="T11" t="s">
        <v>490</v>
      </c>
    </row>
    <row r="12" spans="1:20" x14ac:dyDescent="0.25">
      <c r="A12" t="s">
        <v>491</v>
      </c>
      <c r="C12" t="s">
        <v>660</v>
      </c>
      <c r="E12" t="s">
        <v>492</v>
      </c>
      <c r="N12" t="s">
        <v>493</v>
      </c>
      <c r="P12" t="s">
        <v>491</v>
      </c>
      <c r="R12" t="s">
        <v>493</v>
      </c>
      <c r="T12" t="s">
        <v>491</v>
      </c>
    </row>
    <row r="15" spans="1:20" x14ac:dyDescent="0.25">
      <c r="E15" t="s">
        <v>661</v>
      </c>
    </row>
    <row r="17" spans="1:21" x14ac:dyDescent="0.25">
      <c r="A17">
        <v>1</v>
      </c>
      <c r="C17">
        <v>560</v>
      </c>
      <c r="E17" t="s">
        <v>662</v>
      </c>
      <c r="P17">
        <f>A17</f>
        <v>1</v>
      </c>
      <c r="T17">
        <f>+P17</f>
        <v>1</v>
      </c>
    </row>
    <row r="18" spans="1:21" x14ac:dyDescent="0.25">
      <c r="A18">
        <v>2</v>
      </c>
      <c r="C18">
        <v>561</v>
      </c>
      <c r="E18" t="s">
        <v>663</v>
      </c>
      <c r="P18">
        <f>A18</f>
        <v>2</v>
      </c>
      <c r="T18">
        <f>+P18</f>
        <v>2</v>
      </c>
    </row>
    <row r="19" spans="1:21" x14ac:dyDescent="0.25">
      <c r="A19">
        <v>3</v>
      </c>
      <c r="C19">
        <v>566</v>
      </c>
      <c r="E19" t="s">
        <v>664</v>
      </c>
      <c r="P19">
        <f>A19</f>
        <v>3</v>
      </c>
      <c r="T19">
        <f>+P19</f>
        <v>3</v>
      </c>
    </row>
    <row r="20" spans="1:21" x14ac:dyDescent="0.25">
      <c r="A20">
        <v>4</v>
      </c>
      <c r="F20" t="s">
        <v>665</v>
      </c>
      <c r="N20">
        <f>SUM(N17:N19)</f>
        <v>0</v>
      </c>
      <c r="O20" t="s">
        <v>84</v>
      </c>
      <c r="P20">
        <f>A20</f>
        <v>4</v>
      </c>
      <c r="R20">
        <f>SUM(R17:R19)</f>
        <v>0</v>
      </c>
      <c r="S20" t="s">
        <v>84</v>
      </c>
      <c r="T20">
        <f>+P20</f>
        <v>4</v>
      </c>
      <c r="U20" t="s">
        <v>666</v>
      </c>
    </row>
    <row r="24" spans="1:21" x14ac:dyDescent="0.25">
      <c r="E24" t="s">
        <v>667</v>
      </c>
    </row>
    <row r="26" spans="1:21" x14ac:dyDescent="0.25">
      <c r="A26">
        <v>5</v>
      </c>
      <c r="C26">
        <v>568</v>
      </c>
      <c r="E26" t="s">
        <v>668</v>
      </c>
      <c r="P26">
        <f>A26</f>
        <v>5</v>
      </c>
      <c r="T26">
        <f>+P26</f>
        <v>5</v>
      </c>
    </row>
    <row r="27" spans="1:21" x14ac:dyDescent="0.25">
      <c r="A27">
        <v>6</v>
      </c>
      <c r="F27" t="s">
        <v>669</v>
      </c>
      <c r="N27">
        <f>N26</f>
        <v>0</v>
      </c>
      <c r="P27">
        <f>A27</f>
        <v>6</v>
      </c>
      <c r="R27">
        <f>R26</f>
        <v>0</v>
      </c>
      <c r="T27">
        <f>+P27</f>
        <v>6</v>
      </c>
    </row>
    <row r="29" spans="1:21" x14ac:dyDescent="0.25">
      <c r="A29">
        <v>7</v>
      </c>
      <c r="G29" t="s">
        <v>670</v>
      </c>
      <c r="N29">
        <f>N20+N27</f>
        <v>0</v>
      </c>
      <c r="P29">
        <f>A29</f>
        <v>7</v>
      </c>
      <c r="R29">
        <f>R20+R27</f>
        <v>0</v>
      </c>
      <c r="T29">
        <f>+P29</f>
        <v>7</v>
      </c>
      <c r="U29" t="s">
        <v>666</v>
      </c>
    </row>
    <row r="35" spans="1:20" x14ac:dyDescent="0.25">
      <c r="A35" t="s">
        <v>84</v>
      </c>
    </row>
    <row r="36" spans="1:20" x14ac:dyDescent="0.25">
      <c r="A36" t="s">
        <v>483</v>
      </c>
    </row>
    <row r="37" spans="1:20" x14ac:dyDescent="0.25">
      <c r="A37" t="s">
        <v>657</v>
      </c>
    </row>
    <row r="38" spans="1:20" x14ac:dyDescent="0.25">
      <c r="A38" t="s">
        <v>671</v>
      </c>
    </row>
    <row r="39" spans="1:20" x14ac:dyDescent="0.25">
      <c r="A39">
        <f>+A4</f>
        <v>36891</v>
      </c>
    </row>
    <row r="40" spans="1:20" x14ac:dyDescent="0.25">
      <c r="A40" t="s">
        <v>487</v>
      </c>
    </row>
    <row r="46" spans="1:20" x14ac:dyDescent="0.25">
      <c r="A46" t="s">
        <v>490</v>
      </c>
      <c r="C46" t="s">
        <v>2</v>
      </c>
      <c r="N46" t="s">
        <v>489</v>
      </c>
      <c r="R46" t="s">
        <v>480</v>
      </c>
      <c r="T46" t="s">
        <v>490</v>
      </c>
    </row>
    <row r="47" spans="1:20" x14ac:dyDescent="0.25">
      <c r="A47" t="s">
        <v>491</v>
      </c>
      <c r="C47" t="s">
        <v>660</v>
      </c>
      <c r="E47" t="s">
        <v>492</v>
      </c>
      <c r="N47" t="s">
        <v>493</v>
      </c>
      <c r="R47" t="s">
        <v>493</v>
      </c>
      <c r="T47" t="s">
        <v>491</v>
      </c>
    </row>
    <row r="50" spans="1:21" x14ac:dyDescent="0.25">
      <c r="E50" t="s">
        <v>672</v>
      </c>
    </row>
    <row r="52" spans="1:21" x14ac:dyDescent="0.25">
      <c r="A52">
        <v>8</v>
      </c>
      <c r="C52">
        <v>901</v>
      </c>
      <c r="E52" t="s">
        <v>272</v>
      </c>
      <c r="P52">
        <f>A52</f>
        <v>8</v>
      </c>
      <c r="T52">
        <f>+P52</f>
        <v>8</v>
      </c>
    </row>
    <row r="53" spans="1:21" x14ac:dyDescent="0.25">
      <c r="A53">
        <f>A52+1</f>
        <v>9</v>
      </c>
      <c r="C53">
        <v>902</v>
      </c>
      <c r="E53" t="s">
        <v>673</v>
      </c>
      <c r="P53">
        <f>A53</f>
        <v>9</v>
      </c>
      <c r="T53">
        <f>+P53</f>
        <v>9</v>
      </c>
    </row>
    <row r="54" spans="1:21" x14ac:dyDescent="0.25">
      <c r="A54">
        <v>10</v>
      </c>
      <c r="C54">
        <v>903</v>
      </c>
      <c r="E54" t="s">
        <v>674</v>
      </c>
      <c r="P54">
        <v>10</v>
      </c>
      <c r="T54">
        <f>+P54</f>
        <v>10</v>
      </c>
    </row>
    <row r="55" spans="1:21" x14ac:dyDescent="0.25">
      <c r="A55">
        <v>11</v>
      </c>
      <c r="C55">
        <v>905</v>
      </c>
      <c r="E55" t="s">
        <v>675</v>
      </c>
      <c r="P55">
        <f>A55</f>
        <v>11</v>
      </c>
      <c r="T55">
        <f>+P55</f>
        <v>11</v>
      </c>
    </row>
    <row r="56" spans="1:21" x14ac:dyDescent="0.25">
      <c r="A56">
        <v>12</v>
      </c>
      <c r="F56" t="s">
        <v>676</v>
      </c>
      <c r="N56">
        <f>SUM(N52:N55)</f>
        <v>0</v>
      </c>
      <c r="P56">
        <f>A56</f>
        <v>12</v>
      </c>
      <c r="R56">
        <f>SUM(R52:R55)</f>
        <v>0</v>
      </c>
      <c r="T56">
        <f>+P56</f>
        <v>12</v>
      </c>
      <c r="U56" t="s">
        <v>666</v>
      </c>
    </row>
    <row r="60" spans="1:21" x14ac:dyDescent="0.25">
      <c r="E60" t="s">
        <v>677</v>
      </c>
    </row>
    <row r="62" spans="1:21" x14ac:dyDescent="0.25">
      <c r="A62">
        <v>13</v>
      </c>
      <c r="C62">
        <v>907</v>
      </c>
      <c r="E62" t="s">
        <v>272</v>
      </c>
      <c r="P62">
        <f>A62</f>
        <v>13</v>
      </c>
      <c r="T62">
        <f>+P62</f>
        <v>13</v>
      </c>
    </row>
    <row r="63" spans="1:21" x14ac:dyDescent="0.25">
      <c r="A63">
        <v>14</v>
      </c>
      <c r="C63">
        <v>908</v>
      </c>
      <c r="E63" t="s">
        <v>678</v>
      </c>
      <c r="P63">
        <f>A63</f>
        <v>14</v>
      </c>
      <c r="T63">
        <f>+P63</f>
        <v>14</v>
      </c>
    </row>
    <row r="64" spans="1:21" x14ac:dyDescent="0.25">
      <c r="A64">
        <v>15</v>
      </c>
      <c r="C64">
        <v>909</v>
      </c>
      <c r="E64" t="s">
        <v>679</v>
      </c>
      <c r="P64">
        <f>A64</f>
        <v>15</v>
      </c>
      <c r="T64">
        <f>+P64</f>
        <v>15</v>
      </c>
    </row>
    <row r="65" spans="1:21" x14ac:dyDescent="0.25">
      <c r="A65">
        <v>16</v>
      </c>
      <c r="F65" t="s">
        <v>680</v>
      </c>
      <c r="N65">
        <f>SUM(N62:N64)</f>
        <v>0</v>
      </c>
      <c r="P65">
        <f>A65</f>
        <v>16</v>
      </c>
      <c r="R65">
        <f>SUM(R62:R64)</f>
        <v>0</v>
      </c>
      <c r="T65">
        <f>+P65</f>
        <v>16</v>
      </c>
      <c r="U65" t="s">
        <v>666</v>
      </c>
    </row>
    <row r="74" spans="1:21" x14ac:dyDescent="0.25">
      <c r="A74" t="s">
        <v>84</v>
      </c>
    </row>
    <row r="75" spans="1:21" x14ac:dyDescent="0.25">
      <c r="A75" t="s">
        <v>483</v>
      </c>
    </row>
    <row r="76" spans="1:21" x14ac:dyDescent="0.25">
      <c r="A76" t="s">
        <v>657</v>
      </c>
    </row>
    <row r="77" spans="1:21" x14ac:dyDescent="0.25">
      <c r="A77" t="s">
        <v>671</v>
      </c>
    </row>
    <row r="78" spans="1:21" x14ac:dyDescent="0.25">
      <c r="A78">
        <f>+A39</f>
        <v>36891</v>
      </c>
    </row>
    <row r="79" spans="1:21" x14ac:dyDescent="0.25">
      <c r="A79" t="s">
        <v>487</v>
      </c>
    </row>
    <row r="85" spans="1:21" x14ac:dyDescent="0.25">
      <c r="A85" t="s">
        <v>490</v>
      </c>
      <c r="C85" t="s">
        <v>2</v>
      </c>
      <c r="N85" t="s">
        <v>489</v>
      </c>
      <c r="R85" t="s">
        <v>480</v>
      </c>
    </row>
    <row r="86" spans="1:21" x14ac:dyDescent="0.25">
      <c r="A86" t="s">
        <v>491</v>
      </c>
      <c r="C86" t="s">
        <v>660</v>
      </c>
      <c r="E86" t="s">
        <v>492</v>
      </c>
      <c r="N86" t="s">
        <v>493</v>
      </c>
      <c r="R86" t="s">
        <v>493</v>
      </c>
    </row>
    <row r="89" spans="1:21" x14ac:dyDescent="0.25">
      <c r="E89" t="s">
        <v>681</v>
      </c>
    </row>
    <row r="90" spans="1:21" x14ac:dyDescent="0.25">
      <c r="E90" t="s">
        <v>84</v>
      </c>
    </row>
    <row r="91" spans="1:21" x14ac:dyDescent="0.25">
      <c r="A91">
        <v>17</v>
      </c>
      <c r="C91">
        <v>920</v>
      </c>
      <c r="E91" t="s">
        <v>682</v>
      </c>
      <c r="P91">
        <f t="shared" ref="P91:P99" si="0">A91</f>
        <v>17</v>
      </c>
      <c r="T91">
        <f>+A91</f>
        <v>17</v>
      </c>
    </row>
    <row r="92" spans="1:21" x14ac:dyDescent="0.25">
      <c r="A92">
        <v>18</v>
      </c>
      <c r="C92">
        <v>921</v>
      </c>
      <c r="E92" t="s">
        <v>683</v>
      </c>
      <c r="P92">
        <f t="shared" si="0"/>
        <v>18</v>
      </c>
      <c r="T92">
        <f t="shared" ref="T92:T99" si="1">+A92</f>
        <v>18</v>
      </c>
      <c r="U92" t="s">
        <v>666</v>
      </c>
    </row>
    <row r="93" spans="1:21" x14ac:dyDescent="0.25">
      <c r="A93">
        <v>19</v>
      </c>
      <c r="C93">
        <v>923</v>
      </c>
      <c r="E93" t="s">
        <v>684</v>
      </c>
      <c r="P93">
        <f t="shared" si="0"/>
        <v>19</v>
      </c>
      <c r="T93">
        <f t="shared" si="1"/>
        <v>19</v>
      </c>
      <c r="U93" t="s">
        <v>666</v>
      </c>
    </row>
    <row r="94" spans="1:21" x14ac:dyDescent="0.25">
      <c r="A94">
        <v>20</v>
      </c>
      <c r="C94">
        <v>924</v>
      </c>
      <c r="E94" t="s">
        <v>685</v>
      </c>
      <c r="P94">
        <f t="shared" si="0"/>
        <v>20</v>
      </c>
      <c r="T94">
        <f t="shared" si="1"/>
        <v>20</v>
      </c>
      <c r="U94" t="s">
        <v>666</v>
      </c>
    </row>
    <row r="95" spans="1:21" x14ac:dyDescent="0.25">
      <c r="A95">
        <f>A94+1</f>
        <v>21</v>
      </c>
      <c r="C95">
        <v>925</v>
      </c>
      <c r="E95" t="s">
        <v>686</v>
      </c>
      <c r="P95">
        <f t="shared" si="0"/>
        <v>21</v>
      </c>
      <c r="T95">
        <f t="shared" si="1"/>
        <v>21</v>
      </c>
      <c r="U95" t="s">
        <v>666</v>
      </c>
    </row>
    <row r="96" spans="1:21" x14ac:dyDescent="0.25">
      <c r="A96">
        <f>A95+1</f>
        <v>22</v>
      </c>
      <c r="C96">
        <v>928</v>
      </c>
      <c r="E96" t="s">
        <v>687</v>
      </c>
      <c r="P96">
        <f t="shared" si="0"/>
        <v>22</v>
      </c>
      <c r="R96">
        <v>0</v>
      </c>
      <c r="T96">
        <f t="shared" si="1"/>
        <v>22</v>
      </c>
      <c r="U96" t="s">
        <v>666</v>
      </c>
    </row>
    <row r="97" spans="1:21" x14ac:dyDescent="0.25">
      <c r="A97">
        <f>A96+1</f>
        <v>23</v>
      </c>
      <c r="C97">
        <v>930</v>
      </c>
      <c r="E97" t="s">
        <v>688</v>
      </c>
      <c r="P97">
        <f t="shared" si="0"/>
        <v>23</v>
      </c>
      <c r="T97">
        <f t="shared" si="1"/>
        <v>23</v>
      </c>
      <c r="U97" t="s">
        <v>666</v>
      </c>
    </row>
    <row r="98" spans="1:21" x14ac:dyDescent="0.25">
      <c r="A98">
        <f>A97+1</f>
        <v>24</v>
      </c>
      <c r="C98">
        <v>931</v>
      </c>
      <c r="E98" t="s">
        <v>336</v>
      </c>
      <c r="P98">
        <f t="shared" si="0"/>
        <v>24</v>
      </c>
      <c r="T98">
        <f t="shared" si="1"/>
        <v>24</v>
      </c>
      <c r="U98" t="s">
        <v>666</v>
      </c>
    </row>
    <row r="99" spans="1:21" x14ac:dyDescent="0.25">
      <c r="A99">
        <f>A98+1</f>
        <v>25</v>
      </c>
      <c r="F99" t="s">
        <v>665</v>
      </c>
      <c r="N99">
        <f>SUM(N91:N98)</f>
        <v>0</v>
      </c>
      <c r="P99">
        <f t="shared" si="0"/>
        <v>25</v>
      </c>
      <c r="R99">
        <f>SUM(R91:R98)</f>
        <v>0</v>
      </c>
      <c r="T99">
        <f t="shared" si="1"/>
        <v>25</v>
      </c>
    </row>
    <row r="103" spans="1:21" x14ac:dyDescent="0.25">
      <c r="E103" t="s">
        <v>689</v>
      </c>
    </row>
    <row r="105" spans="1:21" x14ac:dyDescent="0.25">
      <c r="A105">
        <v>26</v>
      </c>
      <c r="C105">
        <v>935</v>
      </c>
      <c r="E105" t="s">
        <v>690</v>
      </c>
      <c r="P105">
        <f>A105</f>
        <v>26</v>
      </c>
      <c r="T105">
        <f>+A105</f>
        <v>26</v>
      </c>
      <c r="U105" t="s">
        <v>666</v>
      </c>
    </row>
    <row r="106" spans="1:21" x14ac:dyDescent="0.25">
      <c r="A106">
        <v>27</v>
      </c>
      <c r="F106" t="s">
        <v>669</v>
      </c>
      <c r="N106">
        <f>N105</f>
        <v>0</v>
      </c>
      <c r="P106">
        <f>A106</f>
        <v>27</v>
      </c>
      <c r="R106">
        <f>R105</f>
        <v>0</v>
      </c>
      <c r="T106">
        <f>+A106</f>
        <v>27</v>
      </c>
    </row>
    <row r="108" spans="1:21" x14ac:dyDescent="0.25">
      <c r="A108">
        <v>28</v>
      </c>
      <c r="G108" t="s">
        <v>691</v>
      </c>
      <c r="N108">
        <f>N99+N106</f>
        <v>0</v>
      </c>
      <c r="P108">
        <f>A108</f>
        <v>28</v>
      </c>
      <c r="R108">
        <f>R99+R106</f>
        <v>0</v>
      </c>
      <c r="T108">
        <f>+A108</f>
        <v>28</v>
      </c>
    </row>
    <row r="112" spans="1:21" x14ac:dyDescent="0.25">
      <c r="A112">
        <v>29</v>
      </c>
      <c r="G112" t="s">
        <v>692</v>
      </c>
      <c r="N112">
        <f>N29+N56+N65+N108</f>
        <v>0</v>
      </c>
      <c r="P112">
        <f>A112</f>
        <v>29</v>
      </c>
      <c r="R112">
        <f>R29+R56+R65+R108</f>
        <v>0</v>
      </c>
      <c r="T112">
        <f>+A112</f>
        <v>29</v>
      </c>
    </row>
    <row r="117" spans="1:17" x14ac:dyDescent="0.25">
      <c r="N117" t="s">
        <v>693</v>
      </c>
    </row>
    <row r="118" spans="1:17" x14ac:dyDescent="0.25">
      <c r="A118" t="s">
        <v>84</v>
      </c>
      <c r="Q118" t="s">
        <v>694</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868CC-EE0C-4AF2-9EA1-1D9062FFAF40}">
  <dimension ref="A1:N47"/>
  <sheetViews>
    <sheetView workbookViewId="0"/>
  </sheetViews>
  <sheetFormatPr defaultRowHeight="15" x14ac:dyDescent="0.25"/>
  <sheetData>
    <row r="1" spans="1:14" x14ac:dyDescent="0.25">
      <c r="A1" t="s">
        <v>84</v>
      </c>
    </row>
    <row r="2" spans="1:14" x14ac:dyDescent="0.25">
      <c r="A2" t="s">
        <v>657</v>
      </c>
    </row>
    <row r="3" spans="1:14" x14ac:dyDescent="0.25">
      <c r="A3" t="s">
        <v>658</v>
      </c>
    </row>
    <row r="4" spans="1:14" x14ac:dyDescent="0.25">
      <c r="A4" t="s">
        <v>695</v>
      </c>
    </row>
    <row r="5" spans="1:14" x14ac:dyDescent="0.25">
      <c r="A5">
        <v>36891</v>
      </c>
    </row>
    <row r="6" spans="1:14" x14ac:dyDescent="0.25">
      <c r="A6" t="s">
        <v>487</v>
      </c>
    </row>
    <row r="9" spans="1:14" x14ac:dyDescent="0.25">
      <c r="F9" t="s">
        <v>84</v>
      </c>
    </row>
    <row r="11" spans="1:14" x14ac:dyDescent="0.25">
      <c r="H11">
        <v>1999</v>
      </c>
      <c r="L11">
        <v>2000</v>
      </c>
    </row>
    <row r="12" spans="1:14" x14ac:dyDescent="0.25">
      <c r="A12" t="s">
        <v>490</v>
      </c>
      <c r="J12" t="s">
        <v>490</v>
      </c>
      <c r="N12" t="s">
        <v>490</v>
      </c>
    </row>
    <row r="13" spans="1:14" x14ac:dyDescent="0.25">
      <c r="A13" t="s">
        <v>491</v>
      </c>
      <c r="C13" t="s">
        <v>492</v>
      </c>
      <c r="H13" t="s">
        <v>500</v>
      </c>
      <c r="J13" t="s">
        <v>491</v>
      </c>
      <c r="L13" t="s">
        <v>500</v>
      </c>
      <c r="N13" t="s">
        <v>491</v>
      </c>
    </row>
    <row r="16" spans="1:14" x14ac:dyDescent="0.25">
      <c r="A16">
        <v>1</v>
      </c>
      <c r="C16" t="s">
        <v>696</v>
      </c>
      <c r="G16" t="s">
        <v>84</v>
      </c>
      <c r="J16">
        <v>1</v>
      </c>
      <c r="N16">
        <v>1</v>
      </c>
    </row>
    <row r="18" spans="1:14" x14ac:dyDescent="0.25">
      <c r="A18">
        <v>2</v>
      </c>
      <c r="D18" t="s">
        <v>500</v>
      </c>
      <c r="H18">
        <f>H16</f>
        <v>0</v>
      </c>
      <c r="J18">
        <v>2</v>
      </c>
      <c r="L18">
        <f>L16</f>
        <v>0</v>
      </c>
      <c r="N18">
        <v>2</v>
      </c>
    </row>
    <row r="24" spans="1:14" x14ac:dyDescent="0.25">
      <c r="A24" t="s">
        <v>84</v>
      </c>
    </row>
    <row r="25" spans="1:14" x14ac:dyDescent="0.25">
      <c r="A25" t="s">
        <v>84</v>
      </c>
    </row>
    <row r="26" spans="1:14" x14ac:dyDescent="0.25">
      <c r="A26" t="s">
        <v>657</v>
      </c>
    </row>
    <row r="27" spans="1:14" x14ac:dyDescent="0.25">
      <c r="A27" t="s">
        <v>658</v>
      </c>
    </row>
    <row r="28" spans="1:14" x14ac:dyDescent="0.25">
      <c r="A28" t="s">
        <v>697</v>
      </c>
    </row>
    <row r="29" spans="1:14" x14ac:dyDescent="0.25">
      <c r="A29">
        <v>36525</v>
      </c>
    </row>
    <row r="30" spans="1:14" x14ac:dyDescent="0.25">
      <c r="A30" t="s">
        <v>487</v>
      </c>
    </row>
    <row r="35" spans="1:14" x14ac:dyDescent="0.25">
      <c r="A35" t="s">
        <v>490</v>
      </c>
      <c r="J35" t="s">
        <v>490</v>
      </c>
      <c r="N35" t="s">
        <v>490</v>
      </c>
    </row>
    <row r="36" spans="1:14" x14ac:dyDescent="0.25">
      <c r="A36" t="s">
        <v>491</v>
      </c>
      <c r="C36" t="s">
        <v>492</v>
      </c>
      <c r="H36" t="s">
        <v>500</v>
      </c>
      <c r="J36" t="s">
        <v>491</v>
      </c>
      <c r="L36" t="s">
        <v>500</v>
      </c>
      <c r="N36" t="s">
        <v>491</v>
      </c>
    </row>
    <row r="39" spans="1:14" x14ac:dyDescent="0.25">
      <c r="A39">
        <v>1</v>
      </c>
      <c r="C39" t="s">
        <v>698</v>
      </c>
      <c r="J39">
        <v>1</v>
      </c>
      <c r="N39">
        <v>1</v>
      </c>
    </row>
    <row r="41" spans="1:14" x14ac:dyDescent="0.25">
      <c r="A41">
        <v>2</v>
      </c>
      <c r="D41" t="s">
        <v>500</v>
      </c>
      <c r="H41">
        <f>H39</f>
        <v>0</v>
      </c>
      <c r="J41">
        <v>2</v>
      </c>
      <c r="L41">
        <f>L39</f>
        <v>0</v>
      </c>
      <c r="N41">
        <v>2</v>
      </c>
    </row>
    <row r="43" spans="1:14" x14ac:dyDescent="0.25">
      <c r="L43" t="s">
        <v>699</v>
      </c>
    </row>
    <row r="47" spans="1:14" x14ac:dyDescent="0.25">
      <c r="A47" t="s">
        <v>84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FDE9A-5B65-4A64-A653-FCFA0C0B2438}">
  <dimension ref="A1:Q21"/>
  <sheetViews>
    <sheetView workbookViewId="0"/>
  </sheetViews>
  <sheetFormatPr defaultRowHeight="15" x14ac:dyDescent="0.25"/>
  <sheetData>
    <row r="1" spans="1:17" x14ac:dyDescent="0.25">
      <c r="A1" t="s">
        <v>483</v>
      </c>
    </row>
    <row r="2" spans="1:17" x14ac:dyDescent="0.25">
      <c r="A2" t="s">
        <v>700</v>
      </c>
    </row>
    <row r="3" spans="1:17" x14ac:dyDescent="0.25">
      <c r="A3" t="s">
        <v>701</v>
      </c>
    </row>
    <row r="4" spans="1:17" x14ac:dyDescent="0.25">
      <c r="A4">
        <v>36891</v>
      </c>
    </row>
    <row r="5" spans="1:17" x14ac:dyDescent="0.25">
      <c r="A5" t="s">
        <v>487</v>
      </c>
    </row>
    <row r="10" spans="1:17" x14ac:dyDescent="0.25">
      <c r="K10" t="s">
        <v>489</v>
      </c>
      <c r="O10">
        <v>2000</v>
      </c>
    </row>
    <row r="11" spans="1:17" x14ac:dyDescent="0.25">
      <c r="A11" t="s">
        <v>490</v>
      </c>
      <c r="M11" t="s">
        <v>490</v>
      </c>
      <c r="Q11" t="s">
        <v>490</v>
      </c>
    </row>
    <row r="12" spans="1:17" x14ac:dyDescent="0.25">
      <c r="A12" t="s">
        <v>491</v>
      </c>
      <c r="C12" t="s">
        <v>492</v>
      </c>
      <c r="K12" t="s">
        <v>493</v>
      </c>
      <c r="M12" t="s">
        <v>491</v>
      </c>
      <c r="O12" t="s">
        <v>493</v>
      </c>
      <c r="Q12" t="s">
        <v>491</v>
      </c>
    </row>
    <row r="15" spans="1:17" x14ac:dyDescent="0.25">
      <c r="A15">
        <v>1</v>
      </c>
      <c r="C15" t="s">
        <v>496</v>
      </c>
      <c r="M15">
        <f>A15</f>
        <v>1</v>
      </c>
      <c r="Q15">
        <f>+A15</f>
        <v>1</v>
      </c>
    </row>
    <row r="16" spans="1:17" x14ac:dyDescent="0.25">
      <c r="A16">
        <v>2</v>
      </c>
      <c r="C16" t="s">
        <v>497</v>
      </c>
      <c r="M16">
        <f>A16</f>
        <v>2</v>
      </c>
      <c r="Q16">
        <f>+A16</f>
        <v>2</v>
      </c>
    </row>
    <row r="17" spans="1:17" x14ac:dyDescent="0.25">
      <c r="A17">
        <v>3</v>
      </c>
      <c r="C17" t="s">
        <v>659</v>
      </c>
      <c r="M17">
        <f>A17</f>
        <v>3</v>
      </c>
      <c r="Q17">
        <f>+A17</f>
        <v>3</v>
      </c>
    </row>
    <row r="18" spans="1:17" x14ac:dyDescent="0.25">
      <c r="A18">
        <v>4</v>
      </c>
      <c r="C18" t="s">
        <v>499</v>
      </c>
      <c r="M18">
        <f>A18</f>
        <v>4</v>
      </c>
      <c r="Q18">
        <f>+A18</f>
        <v>4</v>
      </c>
    </row>
    <row r="19" spans="1:17" x14ac:dyDescent="0.25">
      <c r="A19">
        <v>5</v>
      </c>
      <c r="D19" t="s">
        <v>500</v>
      </c>
      <c r="K19">
        <f>SUM(K13:K18)</f>
        <v>0</v>
      </c>
      <c r="M19">
        <f>A19</f>
        <v>5</v>
      </c>
      <c r="O19">
        <f>SUM(O13:O18)</f>
        <v>0</v>
      </c>
      <c r="Q19">
        <f>+A19</f>
        <v>5</v>
      </c>
    </row>
    <row r="21" spans="1:17" x14ac:dyDescent="0.25">
      <c r="O21" t="s">
        <v>699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17DA-66E5-49B9-A679-817B425B7FBE}">
  <dimension ref="A1:U107"/>
  <sheetViews>
    <sheetView workbookViewId="0"/>
  </sheetViews>
  <sheetFormatPr defaultRowHeight="15" x14ac:dyDescent="0.25"/>
  <sheetData>
    <row r="1" spans="1:21" x14ac:dyDescent="0.25">
      <c r="A1" t="s">
        <v>483</v>
      </c>
    </row>
    <row r="2" spans="1:21" x14ac:dyDescent="0.25">
      <c r="A2" t="s">
        <v>700</v>
      </c>
    </row>
    <row r="3" spans="1:21" x14ac:dyDescent="0.25">
      <c r="A3" t="s">
        <v>701</v>
      </c>
    </row>
    <row r="4" spans="1:21" x14ac:dyDescent="0.25">
      <c r="A4">
        <v>36891</v>
      </c>
    </row>
    <row r="5" spans="1:21" x14ac:dyDescent="0.25">
      <c r="A5" t="s">
        <v>487</v>
      </c>
    </row>
    <row r="10" spans="1:21" x14ac:dyDescent="0.25">
      <c r="N10" t="s">
        <v>489</v>
      </c>
      <c r="S10" t="s">
        <v>480</v>
      </c>
    </row>
    <row r="11" spans="1:21" x14ac:dyDescent="0.25">
      <c r="A11" t="s">
        <v>490</v>
      </c>
      <c r="C11" t="s">
        <v>2</v>
      </c>
      <c r="P11" t="s">
        <v>490</v>
      </c>
      <c r="U11" t="s">
        <v>490</v>
      </c>
    </row>
    <row r="12" spans="1:21" x14ac:dyDescent="0.25">
      <c r="A12" t="s">
        <v>491</v>
      </c>
      <c r="C12" t="s">
        <v>660</v>
      </c>
      <c r="E12" t="s">
        <v>492</v>
      </c>
      <c r="N12" t="s">
        <v>493</v>
      </c>
      <c r="P12" t="s">
        <v>491</v>
      </c>
      <c r="S12" t="s">
        <v>493</v>
      </c>
      <c r="U12" t="s">
        <v>491</v>
      </c>
    </row>
    <row r="15" spans="1:21" x14ac:dyDescent="0.25">
      <c r="E15" t="s">
        <v>661</v>
      </c>
    </row>
    <row r="17" spans="1:21" x14ac:dyDescent="0.25">
      <c r="A17">
        <v>1</v>
      </c>
      <c r="C17">
        <v>560</v>
      </c>
      <c r="E17" t="s">
        <v>662</v>
      </c>
      <c r="P17">
        <f>A17</f>
        <v>1</v>
      </c>
      <c r="U17">
        <f>+A17</f>
        <v>1</v>
      </c>
    </row>
    <row r="18" spans="1:21" x14ac:dyDescent="0.25">
      <c r="A18">
        <v>2</v>
      </c>
      <c r="C18">
        <v>561</v>
      </c>
      <c r="E18" t="s">
        <v>663</v>
      </c>
      <c r="P18">
        <f>A18</f>
        <v>2</v>
      </c>
      <c r="U18">
        <f>+A18</f>
        <v>2</v>
      </c>
    </row>
    <row r="19" spans="1:21" x14ac:dyDescent="0.25">
      <c r="A19">
        <v>3</v>
      </c>
      <c r="C19">
        <v>566</v>
      </c>
      <c r="E19" t="s">
        <v>664</v>
      </c>
      <c r="N19">
        <v>0</v>
      </c>
      <c r="P19">
        <f>A19</f>
        <v>3</v>
      </c>
      <c r="U19">
        <f>+A19</f>
        <v>3</v>
      </c>
    </row>
    <row r="20" spans="1:21" x14ac:dyDescent="0.25">
      <c r="A20">
        <v>4</v>
      </c>
      <c r="F20" t="s">
        <v>665</v>
      </c>
      <c r="N20">
        <f>SUM(N17:N19)</f>
        <v>0</v>
      </c>
      <c r="O20" t="s">
        <v>84</v>
      </c>
      <c r="P20">
        <f>A20</f>
        <v>4</v>
      </c>
      <c r="S20">
        <f>SUM(S17:S19)</f>
        <v>0</v>
      </c>
      <c r="T20" t="s">
        <v>84</v>
      </c>
      <c r="U20">
        <f>+A20</f>
        <v>4</v>
      </c>
    </row>
    <row r="24" spans="1:21" x14ac:dyDescent="0.25">
      <c r="E24" t="s">
        <v>667</v>
      </c>
    </row>
    <row r="26" spans="1:21" x14ac:dyDescent="0.25">
      <c r="A26">
        <v>5</v>
      </c>
      <c r="C26">
        <v>568</v>
      </c>
      <c r="E26" t="s">
        <v>668</v>
      </c>
      <c r="P26">
        <f>A26</f>
        <v>5</v>
      </c>
      <c r="U26">
        <f>+A26</f>
        <v>5</v>
      </c>
    </row>
    <row r="27" spans="1:21" x14ac:dyDescent="0.25">
      <c r="A27">
        <v>6</v>
      </c>
      <c r="F27" t="s">
        <v>669</v>
      </c>
      <c r="N27">
        <f>N26</f>
        <v>0</v>
      </c>
      <c r="P27">
        <f>A27</f>
        <v>6</v>
      </c>
      <c r="S27">
        <f>S26</f>
        <v>0</v>
      </c>
      <c r="U27">
        <f>+A27</f>
        <v>6</v>
      </c>
    </row>
    <row r="29" spans="1:21" x14ac:dyDescent="0.25">
      <c r="A29">
        <v>7</v>
      </c>
      <c r="G29" t="s">
        <v>702</v>
      </c>
      <c r="N29">
        <f>N20+N27</f>
        <v>0</v>
      </c>
      <c r="P29">
        <f>A29</f>
        <v>7</v>
      </c>
      <c r="S29">
        <f>S20+S27</f>
        <v>0</v>
      </c>
      <c r="U29">
        <f>+A29</f>
        <v>7</v>
      </c>
    </row>
    <row r="34" spans="1:21" x14ac:dyDescent="0.25">
      <c r="A34" t="s">
        <v>84</v>
      </c>
    </row>
    <row r="35" spans="1:21" x14ac:dyDescent="0.25">
      <c r="A35" t="s">
        <v>483</v>
      </c>
    </row>
    <row r="36" spans="1:21" x14ac:dyDescent="0.25">
      <c r="A36" t="s">
        <v>700</v>
      </c>
    </row>
    <row r="37" spans="1:21" x14ac:dyDescent="0.25">
      <c r="A37" t="s">
        <v>703</v>
      </c>
    </row>
    <row r="38" spans="1:21" x14ac:dyDescent="0.25">
      <c r="A38">
        <f>+A4</f>
        <v>36891</v>
      </c>
    </row>
    <row r="39" spans="1:21" x14ac:dyDescent="0.25">
      <c r="A39" t="s">
        <v>487</v>
      </c>
    </row>
    <row r="44" spans="1:21" x14ac:dyDescent="0.25">
      <c r="A44" t="s">
        <v>490</v>
      </c>
      <c r="C44" t="s">
        <v>2</v>
      </c>
      <c r="P44" t="s">
        <v>490</v>
      </c>
      <c r="U44" t="s">
        <v>490</v>
      </c>
    </row>
    <row r="45" spans="1:21" x14ac:dyDescent="0.25">
      <c r="A45" t="s">
        <v>491</v>
      </c>
      <c r="C45" t="s">
        <v>660</v>
      </c>
      <c r="E45" t="s">
        <v>492</v>
      </c>
      <c r="N45" t="s">
        <v>493</v>
      </c>
      <c r="P45" t="s">
        <v>491</v>
      </c>
      <c r="S45" t="s">
        <v>493</v>
      </c>
      <c r="U45" t="s">
        <v>491</v>
      </c>
    </row>
    <row r="48" spans="1:21" x14ac:dyDescent="0.25">
      <c r="E48" t="s">
        <v>672</v>
      </c>
    </row>
    <row r="50" spans="1:21" x14ac:dyDescent="0.25">
      <c r="A50">
        <v>8</v>
      </c>
      <c r="C50">
        <v>901</v>
      </c>
      <c r="E50" t="s">
        <v>272</v>
      </c>
      <c r="P50">
        <f>A50</f>
        <v>8</v>
      </c>
      <c r="U50">
        <f>+A50</f>
        <v>8</v>
      </c>
    </row>
    <row r="51" spans="1:21" x14ac:dyDescent="0.25">
      <c r="A51">
        <v>9</v>
      </c>
      <c r="C51">
        <v>902</v>
      </c>
      <c r="E51" t="s">
        <v>673</v>
      </c>
      <c r="P51">
        <f>A51</f>
        <v>9</v>
      </c>
      <c r="U51">
        <f>+A51</f>
        <v>9</v>
      </c>
    </row>
    <row r="52" spans="1:21" x14ac:dyDescent="0.25">
      <c r="A52">
        <v>10</v>
      </c>
      <c r="C52">
        <v>903</v>
      </c>
      <c r="E52" t="s">
        <v>674</v>
      </c>
      <c r="P52">
        <f>A52</f>
        <v>10</v>
      </c>
      <c r="U52">
        <f>+A52</f>
        <v>10</v>
      </c>
    </row>
    <row r="53" spans="1:21" x14ac:dyDescent="0.25">
      <c r="A53">
        <v>11</v>
      </c>
      <c r="C53">
        <v>905</v>
      </c>
      <c r="E53" t="s">
        <v>675</v>
      </c>
      <c r="P53">
        <f>A53</f>
        <v>11</v>
      </c>
      <c r="U53">
        <f>+A53</f>
        <v>11</v>
      </c>
    </row>
    <row r="54" spans="1:21" x14ac:dyDescent="0.25">
      <c r="A54">
        <v>12</v>
      </c>
      <c r="F54" t="s">
        <v>676</v>
      </c>
      <c r="N54">
        <f>SUM(N50:N53)</f>
        <v>0</v>
      </c>
      <c r="P54">
        <f>A54</f>
        <v>12</v>
      </c>
      <c r="S54">
        <f>SUM(S50:S53)</f>
        <v>0</v>
      </c>
      <c r="U54">
        <f>+A54</f>
        <v>12</v>
      </c>
    </row>
    <row r="58" spans="1:21" x14ac:dyDescent="0.25">
      <c r="E58" t="s">
        <v>677</v>
      </c>
    </row>
    <row r="60" spans="1:21" x14ac:dyDescent="0.25">
      <c r="A60">
        <v>13</v>
      </c>
      <c r="C60">
        <v>907</v>
      </c>
      <c r="E60" t="s">
        <v>272</v>
      </c>
      <c r="N60">
        <v>0</v>
      </c>
      <c r="P60">
        <f>A60</f>
        <v>13</v>
      </c>
      <c r="S60">
        <v>0</v>
      </c>
      <c r="U60">
        <f>+A60</f>
        <v>13</v>
      </c>
    </row>
    <row r="61" spans="1:21" x14ac:dyDescent="0.25">
      <c r="A61">
        <v>14</v>
      </c>
      <c r="C61">
        <v>908</v>
      </c>
      <c r="E61" t="s">
        <v>678</v>
      </c>
      <c r="P61">
        <f>A61</f>
        <v>14</v>
      </c>
      <c r="U61">
        <f>+A61</f>
        <v>14</v>
      </c>
    </row>
    <row r="62" spans="1:21" x14ac:dyDescent="0.25">
      <c r="A62">
        <v>15</v>
      </c>
      <c r="F62" t="s">
        <v>680</v>
      </c>
      <c r="N62">
        <f>SUM(N60:N61)</f>
        <v>0</v>
      </c>
      <c r="P62">
        <f>A62</f>
        <v>15</v>
      </c>
      <c r="S62">
        <f>SUM(S60:S61)</f>
        <v>0</v>
      </c>
      <c r="U62">
        <f>+A62</f>
        <v>15</v>
      </c>
    </row>
    <row r="70" spans="1:21" x14ac:dyDescent="0.25">
      <c r="A70" t="s">
        <v>84</v>
      </c>
    </row>
    <row r="71" spans="1:21" x14ac:dyDescent="0.25">
      <c r="A71" t="s">
        <v>483</v>
      </c>
    </row>
    <row r="72" spans="1:21" x14ac:dyDescent="0.25">
      <c r="A72" t="s">
        <v>700</v>
      </c>
    </row>
    <row r="73" spans="1:21" x14ac:dyDescent="0.25">
      <c r="A73" t="s">
        <v>701</v>
      </c>
    </row>
    <row r="74" spans="1:21" x14ac:dyDescent="0.25">
      <c r="A74">
        <f>+A38</f>
        <v>36891</v>
      </c>
    </row>
    <row r="75" spans="1:21" x14ac:dyDescent="0.25">
      <c r="A75" t="s">
        <v>487</v>
      </c>
    </row>
    <row r="80" spans="1:21" x14ac:dyDescent="0.25">
      <c r="A80" t="s">
        <v>490</v>
      </c>
      <c r="C80" t="s">
        <v>2</v>
      </c>
      <c r="P80" t="s">
        <v>490</v>
      </c>
      <c r="U80" t="s">
        <v>490</v>
      </c>
    </row>
    <row r="81" spans="1:21" x14ac:dyDescent="0.25">
      <c r="A81" t="s">
        <v>491</v>
      </c>
      <c r="C81" t="s">
        <v>660</v>
      </c>
      <c r="E81" t="s">
        <v>492</v>
      </c>
      <c r="N81" t="s">
        <v>493</v>
      </c>
      <c r="P81" t="s">
        <v>491</v>
      </c>
      <c r="S81" t="s">
        <v>493</v>
      </c>
      <c r="U81" t="s">
        <v>491</v>
      </c>
    </row>
    <row r="84" spans="1:21" x14ac:dyDescent="0.25">
      <c r="E84" t="s">
        <v>681</v>
      </c>
    </row>
    <row r="85" spans="1:21" x14ac:dyDescent="0.25">
      <c r="E85" t="s">
        <v>84</v>
      </c>
    </row>
    <row r="86" spans="1:21" x14ac:dyDescent="0.25">
      <c r="A86">
        <v>16</v>
      </c>
      <c r="C86">
        <v>920</v>
      </c>
      <c r="E86" t="s">
        <v>682</v>
      </c>
      <c r="P86">
        <f>A86</f>
        <v>16</v>
      </c>
      <c r="U86">
        <f>+A86</f>
        <v>16</v>
      </c>
    </row>
    <row r="87" spans="1:21" x14ac:dyDescent="0.25">
      <c r="A87">
        <v>17</v>
      </c>
      <c r="C87">
        <v>921</v>
      </c>
      <c r="E87" t="s">
        <v>683</v>
      </c>
      <c r="N87">
        <v>0</v>
      </c>
      <c r="P87">
        <f>A87</f>
        <v>17</v>
      </c>
      <c r="U87">
        <f>+A87</f>
        <v>17</v>
      </c>
    </row>
    <row r="88" spans="1:21" x14ac:dyDescent="0.25">
      <c r="A88">
        <v>18</v>
      </c>
      <c r="F88" t="s">
        <v>665</v>
      </c>
      <c r="N88">
        <f>SUM(N86:N87)</f>
        <v>0</v>
      </c>
      <c r="P88">
        <f>A88</f>
        <v>18</v>
      </c>
      <c r="S88">
        <f>SUM(S86:S87)</f>
        <v>0</v>
      </c>
    </row>
    <row r="92" spans="1:21" x14ac:dyDescent="0.25">
      <c r="E92" t="s">
        <v>689</v>
      </c>
    </row>
    <row r="94" spans="1:21" x14ac:dyDescent="0.25">
      <c r="A94">
        <v>19</v>
      </c>
      <c r="C94">
        <v>935</v>
      </c>
      <c r="E94" t="s">
        <v>690</v>
      </c>
      <c r="N94">
        <v>0</v>
      </c>
      <c r="P94">
        <f>A94</f>
        <v>19</v>
      </c>
      <c r="U94">
        <f>+A94</f>
        <v>19</v>
      </c>
    </row>
    <row r="95" spans="1:21" x14ac:dyDescent="0.25">
      <c r="A95">
        <v>20</v>
      </c>
      <c r="F95" t="s">
        <v>669</v>
      </c>
      <c r="N95">
        <f>N94</f>
        <v>0</v>
      </c>
      <c r="P95">
        <f>A95</f>
        <v>20</v>
      </c>
      <c r="S95">
        <f>S94</f>
        <v>0</v>
      </c>
      <c r="U95">
        <v>20</v>
      </c>
    </row>
    <row r="98" spans="1:21" x14ac:dyDescent="0.25">
      <c r="A98">
        <v>21</v>
      </c>
      <c r="G98" t="s">
        <v>704</v>
      </c>
      <c r="N98">
        <f>N88+N95</f>
        <v>0</v>
      </c>
      <c r="P98">
        <f>A98</f>
        <v>21</v>
      </c>
      <c r="S98">
        <f>S88+S95</f>
        <v>0</v>
      </c>
      <c r="U98">
        <f>+A98</f>
        <v>21</v>
      </c>
    </row>
    <row r="102" spans="1:21" x14ac:dyDescent="0.25">
      <c r="A102">
        <v>22</v>
      </c>
      <c r="G102" t="s">
        <v>705</v>
      </c>
      <c r="N102">
        <f>N29+N54+N62+N98</f>
        <v>0</v>
      </c>
      <c r="P102">
        <f>A102</f>
        <v>22</v>
      </c>
      <c r="S102">
        <f>S29+S54+S62+S98</f>
        <v>0</v>
      </c>
      <c r="U102">
        <f>+A102</f>
        <v>22</v>
      </c>
    </row>
    <row r="105" spans="1:21" x14ac:dyDescent="0.25">
      <c r="N105" t="s">
        <v>693</v>
      </c>
    </row>
    <row r="106" spans="1:21" x14ac:dyDescent="0.25">
      <c r="A106" t="s">
        <v>84</v>
      </c>
    </row>
    <row r="107" spans="1:21" x14ac:dyDescent="0.25">
      <c r="A107" t="s">
        <v>84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2022-332B-4BC0-9C64-111F52683839}">
  <dimension ref="A1:J45"/>
  <sheetViews>
    <sheetView workbookViewId="0"/>
  </sheetViews>
  <sheetFormatPr defaultRowHeight="15" x14ac:dyDescent="0.25"/>
  <sheetData>
    <row r="1" spans="1:10" x14ac:dyDescent="0.25">
      <c r="A1" t="s">
        <v>483</v>
      </c>
    </row>
    <row r="2" spans="1:10" x14ac:dyDescent="0.25">
      <c r="A2" t="s">
        <v>700</v>
      </c>
    </row>
    <row r="3" spans="1:10" x14ac:dyDescent="0.25">
      <c r="A3" t="s">
        <v>658</v>
      </c>
    </row>
    <row r="4" spans="1:10" x14ac:dyDescent="0.25">
      <c r="A4" t="s">
        <v>706</v>
      </c>
    </row>
    <row r="5" spans="1:10" x14ac:dyDescent="0.25">
      <c r="A5" t="s">
        <v>707</v>
      </c>
    </row>
    <row r="6" spans="1:10" x14ac:dyDescent="0.25">
      <c r="A6" t="s">
        <v>487</v>
      </c>
    </row>
    <row r="12" spans="1:10" x14ac:dyDescent="0.25">
      <c r="A12" t="s">
        <v>490</v>
      </c>
      <c r="J12" t="s">
        <v>490</v>
      </c>
    </row>
    <row r="13" spans="1:10" x14ac:dyDescent="0.25">
      <c r="A13" t="s">
        <v>491</v>
      </c>
      <c r="C13" t="s">
        <v>492</v>
      </c>
      <c r="H13" t="s">
        <v>500</v>
      </c>
      <c r="J13" t="s">
        <v>491</v>
      </c>
    </row>
    <row r="16" spans="1:10" x14ac:dyDescent="0.25">
      <c r="A16">
        <v>1</v>
      </c>
      <c r="C16" t="s">
        <v>696</v>
      </c>
      <c r="J16">
        <v>1</v>
      </c>
    </row>
    <row r="18" spans="1:10" x14ac:dyDescent="0.25">
      <c r="A18">
        <v>2</v>
      </c>
      <c r="D18" t="s">
        <v>500</v>
      </c>
      <c r="H18">
        <f>H16</f>
        <v>0</v>
      </c>
      <c r="J18">
        <v>2</v>
      </c>
    </row>
    <row r="23" spans="1:10" x14ac:dyDescent="0.25">
      <c r="A23" t="s">
        <v>84</v>
      </c>
    </row>
    <row r="24" spans="1:10" x14ac:dyDescent="0.25">
      <c r="A24" t="s">
        <v>483</v>
      </c>
    </row>
    <row r="25" spans="1:10" x14ac:dyDescent="0.25">
      <c r="A25" t="s">
        <v>700</v>
      </c>
    </row>
    <row r="26" spans="1:10" x14ac:dyDescent="0.25">
      <c r="A26" t="s">
        <v>658</v>
      </c>
    </row>
    <row r="27" spans="1:10" x14ac:dyDescent="0.25">
      <c r="A27" t="s">
        <v>708</v>
      </c>
    </row>
    <row r="28" spans="1:10" x14ac:dyDescent="0.25">
      <c r="A28" t="s">
        <v>707</v>
      </c>
    </row>
    <row r="29" spans="1:10" x14ac:dyDescent="0.25">
      <c r="A29" t="s">
        <v>487</v>
      </c>
    </row>
    <row r="34" spans="1:10" x14ac:dyDescent="0.25">
      <c r="A34" t="s">
        <v>490</v>
      </c>
      <c r="J34" t="s">
        <v>490</v>
      </c>
    </row>
    <row r="35" spans="1:10" x14ac:dyDescent="0.25">
      <c r="A35" t="s">
        <v>491</v>
      </c>
      <c r="C35" t="s">
        <v>492</v>
      </c>
      <c r="H35" t="s">
        <v>500</v>
      </c>
      <c r="J35" t="s">
        <v>491</v>
      </c>
    </row>
    <row r="38" spans="1:10" x14ac:dyDescent="0.25">
      <c r="A38">
        <v>1</v>
      </c>
      <c r="C38" t="s">
        <v>709</v>
      </c>
      <c r="J38">
        <v>1</v>
      </c>
    </row>
    <row r="40" spans="1:10" x14ac:dyDescent="0.25">
      <c r="A40">
        <v>2</v>
      </c>
      <c r="D40" t="s">
        <v>500</v>
      </c>
      <c r="H40">
        <f>H38</f>
        <v>0</v>
      </c>
      <c r="J40">
        <v>2</v>
      </c>
    </row>
    <row r="45" spans="1:10" x14ac:dyDescent="0.25">
      <c r="A45" t="s">
        <v>84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8FD45-4DFE-4523-8AF9-6636E3A3F4FE}">
  <dimension ref="A1:W20"/>
  <sheetViews>
    <sheetView workbookViewId="0"/>
  </sheetViews>
  <sheetFormatPr defaultRowHeight="15" x14ac:dyDescent="0.25"/>
  <sheetData>
    <row r="1" spans="1:23" x14ac:dyDescent="0.25">
      <c r="A1" t="s">
        <v>483</v>
      </c>
    </row>
    <row r="2" spans="1:23" x14ac:dyDescent="0.25">
      <c r="A2" t="s">
        <v>710</v>
      </c>
    </row>
    <row r="3" spans="1:23" x14ac:dyDescent="0.25">
      <c r="A3" t="s">
        <v>466</v>
      </c>
    </row>
    <row r="4" spans="1:23" x14ac:dyDescent="0.25">
      <c r="A4">
        <v>36891</v>
      </c>
    </row>
    <row r="5" spans="1:23" x14ac:dyDescent="0.25">
      <c r="A5" t="s">
        <v>487</v>
      </c>
    </row>
    <row r="11" spans="1:23" x14ac:dyDescent="0.25">
      <c r="I11">
        <v>1999</v>
      </c>
      <c r="Q11">
        <v>2000</v>
      </c>
    </row>
    <row r="12" spans="1:23" x14ac:dyDescent="0.25">
      <c r="I12" t="s">
        <v>622</v>
      </c>
      <c r="K12" t="s">
        <v>711</v>
      </c>
      <c r="M12" t="s">
        <v>493</v>
      </c>
      <c r="Q12" t="s">
        <v>622</v>
      </c>
      <c r="S12" t="s">
        <v>711</v>
      </c>
      <c r="U12" t="s">
        <v>493</v>
      </c>
    </row>
    <row r="13" spans="1:23" x14ac:dyDescent="0.25">
      <c r="A13" t="s">
        <v>490</v>
      </c>
      <c r="I13" t="s">
        <v>712</v>
      </c>
      <c r="K13" t="s">
        <v>386</v>
      </c>
      <c r="M13" t="s">
        <v>713</v>
      </c>
      <c r="O13" t="s">
        <v>490</v>
      </c>
      <c r="Q13" t="s">
        <v>712</v>
      </c>
      <c r="S13" t="s">
        <v>386</v>
      </c>
      <c r="U13" t="s">
        <v>713</v>
      </c>
      <c r="W13" t="s">
        <v>490</v>
      </c>
    </row>
    <row r="14" spans="1:23" x14ac:dyDescent="0.25">
      <c r="A14" t="s">
        <v>491</v>
      </c>
      <c r="C14" t="s">
        <v>623</v>
      </c>
      <c r="I14" t="s">
        <v>621</v>
      </c>
      <c r="K14" t="s">
        <v>714</v>
      </c>
      <c r="M14" t="s">
        <v>715</v>
      </c>
      <c r="O14" t="s">
        <v>491</v>
      </c>
      <c r="Q14" t="s">
        <v>621</v>
      </c>
      <c r="S14" t="s">
        <v>714</v>
      </c>
      <c r="U14" t="s">
        <v>715</v>
      </c>
      <c r="W14" t="s">
        <v>491</v>
      </c>
    </row>
    <row r="16" spans="1:23" x14ac:dyDescent="0.25">
      <c r="A16">
        <v>1</v>
      </c>
      <c r="C16" t="s">
        <v>496</v>
      </c>
      <c r="I16">
        <v>0</v>
      </c>
      <c r="K16">
        <v>0</v>
      </c>
      <c r="M16">
        <v>0</v>
      </c>
      <c r="O16">
        <f>A16</f>
        <v>1</v>
      </c>
      <c r="Q16">
        <v>0</v>
      </c>
      <c r="S16">
        <v>0</v>
      </c>
      <c r="U16">
        <v>0</v>
      </c>
      <c r="W16">
        <f>+A16</f>
        <v>1</v>
      </c>
    </row>
    <row r="17" spans="1:23" x14ac:dyDescent="0.25">
      <c r="A17">
        <f>A16+1</f>
        <v>2</v>
      </c>
      <c r="C17" t="s">
        <v>627</v>
      </c>
      <c r="K17" t="e">
        <f>M17/I17</f>
        <v>#DIV/0!</v>
      </c>
      <c r="O17">
        <f>A17</f>
        <v>2</v>
      </c>
      <c r="S17" t="e">
        <f>U17/Q17</f>
        <v>#DIV/0!</v>
      </c>
      <c r="W17">
        <f>+A17</f>
        <v>2</v>
      </c>
    </row>
    <row r="18" spans="1:23" x14ac:dyDescent="0.25">
      <c r="A18">
        <f>A17+1</f>
        <v>3</v>
      </c>
      <c r="C18" t="s">
        <v>716</v>
      </c>
      <c r="K18" t="e">
        <f>M18/I18</f>
        <v>#DIV/0!</v>
      </c>
      <c r="O18">
        <f>A18</f>
        <v>3</v>
      </c>
      <c r="S18" t="e">
        <f>U18/Q18</f>
        <v>#DIV/0!</v>
      </c>
      <c r="W18">
        <f>+A18</f>
        <v>3</v>
      </c>
    </row>
    <row r="19" spans="1:23" x14ac:dyDescent="0.25">
      <c r="O19" t="s">
        <v>84</v>
      </c>
      <c r="W19" t="s">
        <v>84</v>
      </c>
    </row>
    <row r="20" spans="1:23" x14ac:dyDescent="0.25">
      <c r="A20">
        <f>A18+1</f>
        <v>4</v>
      </c>
      <c r="D20" t="s">
        <v>717</v>
      </c>
      <c r="I20">
        <f>SUM(I17:I18)</f>
        <v>0</v>
      </c>
      <c r="M20">
        <f>SUM(M17:M18)</f>
        <v>0</v>
      </c>
      <c r="O20">
        <f>A20</f>
        <v>4</v>
      </c>
      <c r="Q20">
        <f>SUM(Q17:Q18)</f>
        <v>0</v>
      </c>
      <c r="U20">
        <f>SUM(U17:U18)</f>
        <v>0</v>
      </c>
      <c r="W20">
        <f>+A20</f>
        <v>4</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E6699-92A6-4796-86FA-B1FFC4870001}">
  <dimension ref="A1:S34"/>
  <sheetViews>
    <sheetView workbookViewId="0"/>
  </sheetViews>
  <sheetFormatPr defaultRowHeight="15" x14ac:dyDescent="0.25"/>
  <sheetData>
    <row r="1" spans="1:14" x14ac:dyDescent="0.25">
      <c r="A1" t="s">
        <v>483</v>
      </c>
    </row>
    <row r="2" spans="1:14" x14ac:dyDescent="0.25">
      <c r="A2" t="s">
        <v>718</v>
      </c>
    </row>
    <row r="3" spans="1:14" x14ac:dyDescent="0.25">
      <c r="A3" t="s">
        <v>719</v>
      </c>
    </row>
    <row r="4" spans="1:14" x14ac:dyDescent="0.25">
      <c r="A4">
        <v>36891</v>
      </c>
    </row>
    <row r="5" spans="1:14" x14ac:dyDescent="0.25">
      <c r="A5" t="s">
        <v>487</v>
      </c>
    </row>
    <row r="10" spans="1:14" x14ac:dyDescent="0.25">
      <c r="H10" t="s">
        <v>489</v>
      </c>
    </row>
    <row r="11" spans="1:14" x14ac:dyDescent="0.25">
      <c r="A11" t="s">
        <v>490</v>
      </c>
      <c r="J11" t="s">
        <v>490</v>
      </c>
      <c r="L11" t="s">
        <v>480</v>
      </c>
      <c r="N11" t="s">
        <v>490</v>
      </c>
    </row>
    <row r="12" spans="1:14" x14ac:dyDescent="0.25">
      <c r="A12" t="s">
        <v>491</v>
      </c>
      <c r="B12" t="s">
        <v>84</v>
      </c>
      <c r="C12" t="s">
        <v>7</v>
      </c>
      <c r="H12" t="s">
        <v>500</v>
      </c>
      <c r="J12" t="s">
        <v>491</v>
      </c>
      <c r="L12" t="s">
        <v>500</v>
      </c>
      <c r="N12" t="s">
        <v>491</v>
      </c>
    </row>
    <row r="15" spans="1:14" x14ac:dyDescent="0.25">
      <c r="A15">
        <v>1</v>
      </c>
      <c r="C15" t="s">
        <v>720</v>
      </c>
      <c r="H15">
        <v>904</v>
      </c>
      <c r="J15">
        <v>1</v>
      </c>
      <c r="L15">
        <v>0</v>
      </c>
      <c r="N15">
        <v>1</v>
      </c>
    </row>
    <row r="18" spans="1:19" x14ac:dyDescent="0.25">
      <c r="C18" t="s">
        <v>721</v>
      </c>
      <c r="P18" t="s">
        <v>722</v>
      </c>
      <c r="S18" t="s">
        <v>723</v>
      </c>
    </row>
    <row r="20" spans="1:19" x14ac:dyDescent="0.25">
      <c r="A20">
        <v>2</v>
      </c>
      <c r="C20" t="s">
        <v>724</v>
      </c>
      <c r="H20">
        <f>+P20*Q20</f>
        <v>399.38461538461536</v>
      </c>
      <c r="J20">
        <v>2</v>
      </c>
      <c r="L20">
        <f>411.489/313*390</f>
        <v>512.71792332268365</v>
      </c>
      <c r="N20">
        <v>2</v>
      </c>
      <c r="P20">
        <v>354</v>
      </c>
      <c r="Q20">
        <f>308/273</f>
        <v>1.1282051282051282</v>
      </c>
      <c r="S20" t="s">
        <v>208</v>
      </c>
    </row>
    <row r="22" spans="1:19" x14ac:dyDescent="0.25">
      <c r="A22">
        <v>3</v>
      </c>
      <c r="C22" t="s">
        <v>725</v>
      </c>
      <c r="H22">
        <f>+P22*Q22</f>
        <v>1188</v>
      </c>
      <c r="J22">
        <v>3</v>
      </c>
      <c r="L22">
        <f>1309.693/313*390</f>
        <v>1631.8858466453673</v>
      </c>
      <c r="N22">
        <v>3</v>
      </c>
      <c r="P22">
        <v>1053</v>
      </c>
      <c r="Q22">
        <f>308/273</f>
        <v>1.1282051282051282</v>
      </c>
      <c r="S22" t="s">
        <v>208</v>
      </c>
    </row>
    <row r="24" spans="1:19" x14ac:dyDescent="0.25">
      <c r="A24">
        <v>4</v>
      </c>
      <c r="C24" t="s">
        <v>726</v>
      </c>
      <c r="H24">
        <f>+P24*Q24</f>
        <v>16.923076923076923</v>
      </c>
      <c r="J24">
        <v>4</v>
      </c>
      <c r="L24">
        <v>20</v>
      </c>
      <c r="N24">
        <v>4</v>
      </c>
      <c r="P24">
        <v>15</v>
      </c>
      <c r="Q24">
        <f>308/273</f>
        <v>1.1282051282051282</v>
      </c>
      <c r="S24" t="s">
        <v>208</v>
      </c>
    </row>
    <row r="26" spans="1:19" x14ac:dyDescent="0.25">
      <c r="A26">
        <v>5</v>
      </c>
      <c r="C26" t="s">
        <v>727</v>
      </c>
      <c r="H26">
        <f>+P26*Q26</f>
        <v>73.333333333333329</v>
      </c>
      <c r="J26">
        <v>5</v>
      </c>
      <c r="L26">
        <f>82.434/313*390</f>
        <v>102.71329073482428</v>
      </c>
      <c r="N26">
        <v>5</v>
      </c>
      <c r="P26">
        <v>65</v>
      </c>
      <c r="Q26">
        <f>308/273</f>
        <v>1.1282051282051282</v>
      </c>
      <c r="S26" t="s">
        <v>208</v>
      </c>
    </row>
    <row r="27" spans="1:19" x14ac:dyDescent="0.25">
      <c r="P27" t="s">
        <v>84</v>
      </c>
    </row>
    <row r="28" spans="1:19" x14ac:dyDescent="0.25">
      <c r="A28">
        <v>6</v>
      </c>
      <c r="C28" t="s">
        <v>728</v>
      </c>
      <c r="H28">
        <f>+P28*Q28</f>
        <v>2.2564102564102564</v>
      </c>
      <c r="J28">
        <v>6</v>
      </c>
      <c r="L28">
        <v>3</v>
      </c>
      <c r="N28">
        <v>6</v>
      </c>
      <c r="P28">
        <v>2</v>
      </c>
      <c r="Q28">
        <f>308/273</f>
        <v>1.1282051282051282</v>
      </c>
    </row>
    <row r="30" spans="1:19" x14ac:dyDescent="0.25">
      <c r="A30">
        <v>7</v>
      </c>
      <c r="C30" t="s">
        <v>729</v>
      </c>
      <c r="H30">
        <f>SUM(H20:H28)</f>
        <v>1679.8974358974356</v>
      </c>
      <c r="J30">
        <v>7</v>
      </c>
      <c r="L30">
        <f>SUM(L20:L28)</f>
        <v>2270.3170607028751</v>
      </c>
      <c r="N30">
        <v>7</v>
      </c>
    </row>
    <row r="34" spans="1:14" x14ac:dyDescent="0.25">
      <c r="A34">
        <v>8</v>
      </c>
      <c r="C34" t="s">
        <v>730</v>
      </c>
      <c r="H34">
        <f>H30+H15</f>
        <v>2583.8974358974356</v>
      </c>
      <c r="J34">
        <v>8</v>
      </c>
      <c r="L34">
        <f>L30+L15</f>
        <v>2270.3170607028751</v>
      </c>
      <c r="N34">
        <v>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CE79-2275-4A5F-96E4-5D62C2DF1C6F}">
  <dimension ref="A1:AF32"/>
  <sheetViews>
    <sheetView workbookViewId="0"/>
  </sheetViews>
  <sheetFormatPr defaultRowHeight="15" x14ac:dyDescent="0.25"/>
  <sheetData>
    <row r="1" spans="1:32" x14ac:dyDescent="0.25">
      <c r="K1" t="s">
        <v>483</v>
      </c>
    </row>
    <row r="2" spans="1:32" x14ac:dyDescent="0.25">
      <c r="K2" t="s">
        <v>731</v>
      </c>
    </row>
    <row r="3" spans="1:32" x14ac:dyDescent="0.25">
      <c r="K3" t="s">
        <v>732</v>
      </c>
    </row>
    <row r="4" spans="1:32" x14ac:dyDescent="0.25">
      <c r="K4">
        <v>36891</v>
      </c>
    </row>
    <row r="5" spans="1:32" x14ac:dyDescent="0.25">
      <c r="K5" t="s">
        <v>487</v>
      </c>
    </row>
    <row r="10" spans="1:32" x14ac:dyDescent="0.25">
      <c r="F10" t="s">
        <v>622</v>
      </c>
      <c r="M10" t="s">
        <v>622</v>
      </c>
    </row>
    <row r="11" spans="1:32" x14ac:dyDescent="0.25">
      <c r="A11" t="s">
        <v>490</v>
      </c>
      <c r="F11" t="s">
        <v>733</v>
      </c>
      <c r="I11" t="s">
        <v>490</v>
      </c>
      <c r="M11" t="s">
        <v>733</v>
      </c>
      <c r="P11" t="s">
        <v>490</v>
      </c>
    </row>
    <row r="12" spans="1:32" x14ac:dyDescent="0.25">
      <c r="A12" t="s">
        <v>491</v>
      </c>
      <c r="D12" t="s">
        <v>734</v>
      </c>
      <c r="F12" t="s">
        <v>348</v>
      </c>
      <c r="H12" t="s">
        <v>70</v>
      </c>
      <c r="I12" t="s">
        <v>491</v>
      </c>
      <c r="K12" t="s">
        <v>734</v>
      </c>
      <c r="M12" t="s">
        <v>348</v>
      </c>
      <c r="O12" t="s">
        <v>70</v>
      </c>
      <c r="P12" t="s">
        <v>491</v>
      </c>
      <c r="W12" t="s">
        <v>735</v>
      </c>
      <c r="AD12" t="s">
        <v>735</v>
      </c>
    </row>
    <row r="14" spans="1:32" x14ac:dyDescent="0.25">
      <c r="U14" t="s">
        <v>722</v>
      </c>
      <c r="AB14" t="s">
        <v>723</v>
      </c>
    </row>
    <row r="15" spans="1:32" x14ac:dyDescent="0.25">
      <c r="A15">
        <v>1</v>
      </c>
      <c r="D15">
        <v>36130</v>
      </c>
      <c r="H15">
        <v>0</v>
      </c>
      <c r="I15">
        <v>1</v>
      </c>
      <c r="K15">
        <v>36495</v>
      </c>
      <c r="O15">
        <v>0</v>
      </c>
      <c r="P15">
        <v>1</v>
      </c>
    </row>
    <row r="16" spans="1:32" x14ac:dyDescent="0.25">
      <c r="A16">
        <v>2</v>
      </c>
      <c r="D16">
        <v>36161</v>
      </c>
      <c r="F16">
        <f t="shared" ref="F16:F24" si="0">+U16+Y16</f>
        <v>6921.666666666667</v>
      </c>
      <c r="H16">
        <v>158.66666666666666</v>
      </c>
      <c r="I16">
        <v>2</v>
      </c>
      <c r="K16">
        <v>36526</v>
      </c>
      <c r="M16">
        <f t="shared" ref="M16:M26" si="1">+M15+$AF$16</f>
        <v>809.5</v>
      </c>
      <c r="O16">
        <v>158.66666666666666</v>
      </c>
      <c r="P16">
        <v>2</v>
      </c>
      <c r="U16">
        <f>0.5*V16</f>
        <v>6108</v>
      </c>
      <c r="V16">
        <v>12216</v>
      </c>
      <c r="Y16">
        <f>(9764/12)*1</f>
        <v>813.66666666666663</v>
      </c>
      <c r="AB16">
        <f t="shared" ref="AB16:AB27" si="2">0.5*AC16</f>
        <v>7507.791666666667</v>
      </c>
      <c r="AC16">
        <f>180187/12</f>
        <v>15015.583333333334</v>
      </c>
      <c r="AF16">
        <f>(9714/12)*1</f>
        <v>809.5</v>
      </c>
    </row>
    <row r="17" spans="1:32" x14ac:dyDescent="0.25">
      <c r="A17">
        <v>3</v>
      </c>
      <c r="D17">
        <v>36192</v>
      </c>
      <c r="F17">
        <f t="shared" si="0"/>
        <v>7506.333333333333</v>
      </c>
      <c r="H17">
        <v>158.66666666666666</v>
      </c>
      <c r="I17">
        <v>3</v>
      </c>
      <c r="K17">
        <v>36557</v>
      </c>
      <c r="M17">
        <f t="shared" si="1"/>
        <v>1619</v>
      </c>
      <c r="O17">
        <v>158.66666666666666</v>
      </c>
      <c r="P17">
        <v>3</v>
      </c>
      <c r="U17">
        <f t="shared" ref="U17:U27" si="3">0.5*V17</f>
        <v>5879</v>
      </c>
      <c r="V17">
        <v>11758</v>
      </c>
      <c r="Y17">
        <f>(9764/12)*2</f>
        <v>1627.3333333333333</v>
      </c>
      <c r="AB17">
        <f t="shared" si="2"/>
        <v>7507.791666666667</v>
      </c>
      <c r="AC17">
        <f t="shared" ref="AC17:AC27" si="4">180187/12</f>
        <v>15015.583333333334</v>
      </c>
      <c r="AF17">
        <f>(9614/12)*2</f>
        <v>1602.3333333333333</v>
      </c>
    </row>
    <row r="18" spans="1:32" x14ac:dyDescent="0.25">
      <c r="A18">
        <v>4</v>
      </c>
      <c r="D18">
        <v>36220</v>
      </c>
      <c r="F18">
        <f t="shared" si="0"/>
        <v>8755</v>
      </c>
      <c r="H18">
        <v>158.66666666666666</v>
      </c>
      <c r="I18">
        <v>4</v>
      </c>
      <c r="K18">
        <v>36586</v>
      </c>
      <c r="M18">
        <f t="shared" si="1"/>
        <v>2428.5</v>
      </c>
      <c r="O18">
        <v>158.66666666666666</v>
      </c>
      <c r="P18">
        <v>4</v>
      </c>
      <c r="U18">
        <f t="shared" si="3"/>
        <v>6314</v>
      </c>
      <c r="V18">
        <v>12628</v>
      </c>
      <c r="Y18">
        <f>(9764/12)*3</f>
        <v>2441</v>
      </c>
      <c r="AB18">
        <f t="shared" si="2"/>
        <v>7507.791666666667</v>
      </c>
      <c r="AC18">
        <f t="shared" si="4"/>
        <v>15015.583333333334</v>
      </c>
      <c r="AF18">
        <f>(9614/12)*3</f>
        <v>2403.5</v>
      </c>
    </row>
    <row r="19" spans="1:32" x14ac:dyDescent="0.25">
      <c r="A19">
        <v>5</v>
      </c>
      <c r="D19">
        <v>36251</v>
      </c>
      <c r="F19">
        <f t="shared" si="0"/>
        <v>9360.1666666666661</v>
      </c>
      <c r="H19">
        <v>158.66666666666666</v>
      </c>
      <c r="I19">
        <v>5</v>
      </c>
      <c r="K19">
        <v>36617</v>
      </c>
      <c r="M19">
        <f t="shared" si="1"/>
        <v>3238</v>
      </c>
      <c r="O19">
        <v>158.66666666666666</v>
      </c>
      <c r="P19">
        <v>5</v>
      </c>
      <c r="U19">
        <f t="shared" si="3"/>
        <v>6105.5</v>
      </c>
      <c r="V19">
        <v>12211</v>
      </c>
      <c r="Y19">
        <f>(9764/12)*4</f>
        <v>3254.6666666666665</v>
      </c>
      <c r="AB19">
        <f t="shared" si="2"/>
        <v>7507.791666666667</v>
      </c>
      <c r="AC19">
        <f t="shared" si="4"/>
        <v>15015.583333333334</v>
      </c>
      <c r="AF19">
        <f>(9614/12)*4</f>
        <v>3204.6666666666665</v>
      </c>
    </row>
    <row r="20" spans="1:32" x14ac:dyDescent="0.25">
      <c r="A20">
        <v>6</v>
      </c>
      <c r="D20">
        <v>36281</v>
      </c>
      <c r="F20">
        <f t="shared" si="0"/>
        <v>9527.3333333333321</v>
      </c>
      <c r="H20">
        <v>158.66666666666666</v>
      </c>
      <c r="I20">
        <v>6</v>
      </c>
      <c r="K20">
        <v>36647</v>
      </c>
      <c r="M20">
        <f t="shared" si="1"/>
        <v>4047.5</v>
      </c>
      <c r="O20">
        <v>158.66666666666666</v>
      </c>
      <c r="P20">
        <v>6</v>
      </c>
      <c r="U20">
        <f t="shared" si="3"/>
        <v>5459</v>
      </c>
      <c r="V20">
        <v>10918</v>
      </c>
      <c r="Y20">
        <f>(9764/12)*5</f>
        <v>4068.333333333333</v>
      </c>
      <c r="AB20">
        <f t="shared" si="2"/>
        <v>7507.791666666667</v>
      </c>
      <c r="AC20">
        <f t="shared" si="4"/>
        <v>15015.583333333334</v>
      </c>
      <c r="AF20">
        <f>(9614/12)*5</f>
        <v>4005.833333333333</v>
      </c>
    </row>
    <row r="21" spans="1:32" x14ac:dyDescent="0.25">
      <c r="A21">
        <v>7</v>
      </c>
      <c r="D21">
        <v>36312</v>
      </c>
      <c r="F21">
        <f t="shared" si="0"/>
        <v>10987.5</v>
      </c>
      <c r="H21">
        <v>158.66666666666666</v>
      </c>
      <c r="I21">
        <v>7</v>
      </c>
      <c r="K21">
        <v>36678</v>
      </c>
      <c r="M21">
        <f t="shared" si="1"/>
        <v>4857</v>
      </c>
      <c r="O21">
        <v>158.66666666666666</v>
      </c>
      <c r="P21">
        <v>7</v>
      </c>
      <c r="U21">
        <f t="shared" si="3"/>
        <v>6105.5</v>
      </c>
      <c r="V21">
        <v>12211</v>
      </c>
      <c r="Y21">
        <f>(9764/12)*6</f>
        <v>4882</v>
      </c>
      <c r="AB21">
        <f t="shared" si="2"/>
        <v>7507.791666666667</v>
      </c>
      <c r="AC21">
        <f t="shared" si="4"/>
        <v>15015.583333333334</v>
      </c>
      <c r="AF21">
        <f>(9614/12)*6</f>
        <v>4807</v>
      </c>
    </row>
    <row r="22" spans="1:32" x14ac:dyDescent="0.25">
      <c r="A22">
        <v>8</v>
      </c>
      <c r="D22">
        <v>36342</v>
      </c>
      <c r="F22">
        <f t="shared" si="0"/>
        <v>11580.166666666666</v>
      </c>
      <c r="H22">
        <v>158.66666666666666</v>
      </c>
      <c r="I22">
        <v>8</v>
      </c>
      <c r="K22">
        <v>36708</v>
      </c>
      <c r="M22">
        <f t="shared" si="1"/>
        <v>5666.5</v>
      </c>
      <c r="O22">
        <v>158.66666666666666</v>
      </c>
      <c r="P22">
        <v>8</v>
      </c>
      <c r="U22">
        <f t="shared" si="3"/>
        <v>5884.5</v>
      </c>
      <c r="V22">
        <v>11769</v>
      </c>
      <c r="Y22">
        <f>(9764/12)*7</f>
        <v>5695.6666666666661</v>
      </c>
      <c r="AB22">
        <f t="shared" si="2"/>
        <v>7507.791666666667</v>
      </c>
      <c r="AC22">
        <f t="shared" si="4"/>
        <v>15015.583333333334</v>
      </c>
      <c r="AF22">
        <f>(9614/12)*7</f>
        <v>5608.1666666666661</v>
      </c>
    </row>
    <row r="23" spans="1:32" x14ac:dyDescent="0.25">
      <c r="A23">
        <v>9</v>
      </c>
      <c r="D23">
        <v>36373</v>
      </c>
      <c r="F23">
        <f t="shared" si="0"/>
        <v>12737.833333333332</v>
      </c>
      <c r="H23">
        <v>158.66666666666666</v>
      </c>
      <c r="I23">
        <v>9</v>
      </c>
      <c r="K23">
        <v>36739</v>
      </c>
      <c r="M23">
        <f t="shared" si="1"/>
        <v>6476</v>
      </c>
      <c r="O23">
        <v>158.66666666666666</v>
      </c>
      <c r="P23">
        <v>9</v>
      </c>
      <c r="U23">
        <f t="shared" si="3"/>
        <v>6228.5</v>
      </c>
      <c r="V23">
        <v>12457</v>
      </c>
      <c r="Y23">
        <f>(9764/12)*8</f>
        <v>6509.333333333333</v>
      </c>
      <c r="AB23">
        <f t="shared" si="2"/>
        <v>7507.791666666667</v>
      </c>
      <c r="AC23">
        <f t="shared" si="4"/>
        <v>15015.583333333334</v>
      </c>
      <c r="AF23">
        <f>(9614/12)*8</f>
        <v>6409.333333333333</v>
      </c>
    </row>
    <row r="24" spans="1:32" x14ac:dyDescent="0.25">
      <c r="A24">
        <v>10</v>
      </c>
      <c r="D24">
        <v>36404</v>
      </c>
      <c r="F24">
        <f t="shared" si="0"/>
        <v>13864</v>
      </c>
      <c r="H24">
        <v>158.66666666666666</v>
      </c>
      <c r="I24">
        <v>10</v>
      </c>
      <c r="K24">
        <v>36770</v>
      </c>
      <c r="M24">
        <f t="shared" si="1"/>
        <v>7285.5</v>
      </c>
      <c r="O24">
        <v>158.66666666666666</v>
      </c>
      <c r="P24">
        <v>10</v>
      </c>
      <c r="U24">
        <f t="shared" si="3"/>
        <v>6541</v>
      </c>
      <c r="V24">
        <v>13082</v>
      </c>
      <c r="Y24">
        <f>(9764/12)*9</f>
        <v>7323</v>
      </c>
      <c r="AB24">
        <f t="shared" si="2"/>
        <v>7507.791666666667</v>
      </c>
      <c r="AC24">
        <f t="shared" si="4"/>
        <v>15015.583333333334</v>
      </c>
      <c r="AF24">
        <f>(9614/12)*9</f>
        <v>7210.5</v>
      </c>
    </row>
    <row r="25" spans="1:32" x14ac:dyDescent="0.25">
      <c r="A25">
        <v>11</v>
      </c>
      <c r="D25">
        <v>36434</v>
      </c>
      <c r="F25">
        <f>+U25+Y25</f>
        <v>16030.666666666666</v>
      </c>
      <c r="H25">
        <v>158.66666666666666</v>
      </c>
      <c r="I25">
        <v>11</v>
      </c>
      <c r="K25">
        <v>36800</v>
      </c>
      <c r="M25">
        <f t="shared" si="1"/>
        <v>8095</v>
      </c>
      <c r="O25">
        <v>158.66666666666666</v>
      </c>
      <c r="P25">
        <v>11</v>
      </c>
      <c r="U25">
        <f t="shared" si="3"/>
        <v>7894</v>
      </c>
      <c r="V25">
        <v>15788</v>
      </c>
      <c r="Y25">
        <f>(9764/12)*10</f>
        <v>8136.6666666666661</v>
      </c>
      <c r="AB25">
        <f t="shared" si="2"/>
        <v>7507.791666666667</v>
      </c>
      <c r="AC25">
        <f t="shared" si="4"/>
        <v>15015.583333333334</v>
      </c>
      <c r="AF25">
        <f>(9614/12)*10</f>
        <v>8011.6666666666661</v>
      </c>
    </row>
    <row r="26" spans="1:32" x14ac:dyDescent="0.25">
      <c r="A26">
        <v>12</v>
      </c>
      <c r="D26">
        <v>36465</v>
      </c>
      <c r="F26">
        <f>+U26+Y26</f>
        <v>16474.333333333332</v>
      </c>
      <c r="H26">
        <v>158.66666666666666</v>
      </c>
      <c r="I26">
        <v>12</v>
      </c>
      <c r="K26">
        <v>36831</v>
      </c>
      <c r="M26">
        <f t="shared" si="1"/>
        <v>8904.5</v>
      </c>
      <c r="O26">
        <v>158.66666666666666</v>
      </c>
      <c r="P26">
        <v>12</v>
      </c>
      <c r="U26">
        <f t="shared" si="3"/>
        <v>7524</v>
      </c>
      <c r="V26">
        <v>15048</v>
      </c>
      <c r="Y26">
        <f>(9764/12)*11</f>
        <v>8950.3333333333321</v>
      </c>
      <c r="AB26">
        <f t="shared" si="2"/>
        <v>7507.791666666667</v>
      </c>
      <c r="AC26">
        <f t="shared" si="4"/>
        <v>15015.583333333334</v>
      </c>
      <c r="AF26">
        <f>(9614/12)*11</f>
        <v>8812.8333333333321</v>
      </c>
    </row>
    <row r="27" spans="1:32" x14ac:dyDescent="0.25">
      <c r="A27">
        <v>13</v>
      </c>
      <c r="D27">
        <v>36495</v>
      </c>
      <c r="F27">
        <f>+U27+Y27</f>
        <v>0</v>
      </c>
      <c r="H27">
        <v>158.66666666666666</v>
      </c>
      <c r="I27">
        <v>13</v>
      </c>
      <c r="K27">
        <v>36861</v>
      </c>
      <c r="M27">
        <f>+M26+$AF$16-2740</f>
        <v>6974</v>
      </c>
      <c r="O27">
        <v>158.66666666666666</v>
      </c>
      <c r="P27">
        <v>13</v>
      </c>
      <c r="U27">
        <f t="shared" si="3"/>
        <v>6386</v>
      </c>
      <c r="V27">
        <v>12772</v>
      </c>
      <c r="X27">
        <v>6386</v>
      </c>
      <c r="Y27">
        <f>+Z27-X27</f>
        <v>-6386</v>
      </c>
      <c r="AB27">
        <f t="shared" si="2"/>
        <v>7507.791666666667</v>
      </c>
      <c r="AC27">
        <f t="shared" si="4"/>
        <v>15015.583333333334</v>
      </c>
      <c r="AE27">
        <v>6386</v>
      </c>
      <c r="AF27">
        <f>+AG27-AE27</f>
        <v>-6386</v>
      </c>
    </row>
    <row r="28" spans="1:32" x14ac:dyDescent="0.25">
      <c r="U28">
        <f>SUM(U16:U27)</f>
        <v>76429</v>
      </c>
      <c r="V28">
        <f>SUM(V16:V27)</f>
        <v>152858</v>
      </c>
      <c r="AC28">
        <f>SUM(AC16:AC27)</f>
        <v>180187.00000000003</v>
      </c>
    </row>
    <row r="29" spans="1:32" x14ac:dyDescent="0.25">
      <c r="A29">
        <v>14</v>
      </c>
      <c r="D29" t="s">
        <v>736</v>
      </c>
      <c r="F29">
        <f>SUM(F15:F28)</f>
        <v>123745</v>
      </c>
      <c r="H29">
        <f>SUM(H15:H27)</f>
        <v>1904.0000000000002</v>
      </c>
      <c r="I29">
        <v>14</v>
      </c>
      <c r="K29" t="s">
        <v>736</v>
      </c>
      <c r="M29">
        <f>SUM(M15:M28)</f>
        <v>60401</v>
      </c>
      <c r="O29">
        <f>SUM(O15:O27)</f>
        <v>1904.0000000000002</v>
      </c>
      <c r="P29">
        <v>14</v>
      </c>
    </row>
    <row r="30" spans="1:32" x14ac:dyDescent="0.25">
      <c r="A30">
        <v>15</v>
      </c>
      <c r="D30" t="s">
        <v>737</v>
      </c>
      <c r="F30">
        <f>F29/13</f>
        <v>9518.8461538461543</v>
      </c>
      <c r="H30">
        <f>H29/13</f>
        <v>146.46153846153848</v>
      </c>
      <c r="I30">
        <v>15</v>
      </c>
      <c r="K30" t="s">
        <v>737</v>
      </c>
      <c r="M30">
        <f>M29/13</f>
        <v>4646.2307692307695</v>
      </c>
      <c r="O30">
        <f>O29/13</f>
        <v>146.46153846153848</v>
      </c>
      <c r="P30">
        <v>15</v>
      </c>
    </row>
    <row r="32" spans="1:32" x14ac:dyDescent="0.25">
      <c r="A32" t="s">
        <v>84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9C378-FB10-43A1-BA59-EA0D448B1A44}">
  <dimension ref="A1:J372"/>
  <sheetViews>
    <sheetView workbookViewId="0"/>
  </sheetViews>
  <sheetFormatPr defaultRowHeight="15" x14ac:dyDescent="0.25"/>
  <sheetData>
    <row r="1" spans="1:7" x14ac:dyDescent="0.25">
      <c r="A1">
        <v>1511</v>
      </c>
      <c r="C1">
        <v>5600010</v>
      </c>
      <c r="E1">
        <v>130</v>
      </c>
      <c r="G1">
        <v>423612</v>
      </c>
    </row>
    <row r="2" spans="1:7" x14ac:dyDescent="0.25">
      <c r="A2">
        <v>1511</v>
      </c>
      <c r="C2">
        <v>5600010</v>
      </c>
      <c r="E2">
        <v>430</v>
      </c>
      <c r="G2">
        <v>200000</v>
      </c>
    </row>
    <row r="3" spans="1:7" x14ac:dyDescent="0.25">
      <c r="A3">
        <v>1511</v>
      </c>
      <c r="C3">
        <v>5600010</v>
      </c>
      <c r="E3">
        <v>510</v>
      </c>
      <c r="G3">
        <v>500</v>
      </c>
    </row>
    <row r="4" spans="1:7" x14ac:dyDescent="0.25">
      <c r="A4">
        <v>1511</v>
      </c>
      <c r="C4">
        <v>5600010</v>
      </c>
      <c r="E4">
        <v>520</v>
      </c>
      <c r="G4">
        <v>15000</v>
      </c>
    </row>
    <row r="5" spans="1:7" x14ac:dyDescent="0.25">
      <c r="A5">
        <v>1511</v>
      </c>
      <c r="C5">
        <v>5600010</v>
      </c>
      <c r="E5">
        <v>540</v>
      </c>
      <c r="G5">
        <v>15000</v>
      </c>
    </row>
    <row r="6" spans="1:7" x14ac:dyDescent="0.25">
      <c r="A6">
        <v>1511</v>
      </c>
      <c r="C6">
        <v>5600010</v>
      </c>
      <c r="E6">
        <v>550</v>
      </c>
      <c r="G6">
        <v>50000</v>
      </c>
    </row>
    <row r="7" spans="1:7" x14ac:dyDescent="0.25">
      <c r="A7">
        <v>1511</v>
      </c>
      <c r="C7">
        <v>5600010</v>
      </c>
      <c r="E7">
        <v>610</v>
      </c>
      <c r="G7">
        <v>20000</v>
      </c>
    </row>
    <row r="8" spans="1:7" x14ac:dyDescent="0.25">
      <c r="A8">
        <v>1511</v>
      </c>
      <c r="C8">
        <v>5600010</v>
      </c>
      <c r="E8">
        <v>615</v>
      </c>
      <c r="G8">
        <v>10000</v>
      </c>
    </row>
    <row r="9" spans="1:7" x14ac:dyDescent="0.25">
      <c r="A9">
        <v>1511</v>
      </c>
      <c r="C9">
        <v>5600010</v>
      </c>
      <c r="E9">
        <v>620</v>
      </c>
      <c r="G9">
        <v>5000</v>
      </c>
    </row>
    <row r="10" spans="1:7" x14ac:dyDescent="0.25">
      <c r="A10">
        <v>1511</v>
      </c>
      <c r="C10">
        <v>5600010</v>
      </c>
      <c r="E10">
        <v>670</v>
      </c>
      <c r="G10">
        <v>3000</v>
      </c>
    </row>
    <row r="11" spans="1:7" x14ac:dyDescent="0.25">
      <c r="A11">
        <v>1521</v>
      </c>
      <c r="C11">
        <v>5600010</v>
      </c>
      <c r="E11">
        <v>130</v>
      </c>
      <c r="G11">
        <v>1002301</v>
      </c>
    </row>
    <row r="12" spans="1:7" x14ac:dyDescent="0.25">
      <c r="A12">
        <v>1521</v>
      </c>
      <c r="C12">
        <v>5600010</v>
      </c>
      <c r="E12">
        <v>430</v>
      </c>
      <c r="G12">
        <v>100000</v>
      </c>
    </row>
    <row r="13" spans="1:7" x14ac:dyDescent="0.25">
      <c r="A13">
        <v>1521</v>
      </c>
      <c r="C13">
        <v>5600010</v>
      </c>
      <c r="E13">
        <v>510</v>
      </c>
      <c r="G13">
        <v>1225</v>
      </c>
    </row>
    <row r="14" spans="1:7" x14ac:dyDescent="0.25">
      <c r="A14">
        <v>1521</v>
      </c>
      <c r="C14">
        <v>5600010</v>
      </c>
      <c r="E14">
        <v>520</v>
      </c>
      <c r="G14">
        <v>75400</v>
      </c>
    </row>
    <row r="15" spans="1:7" x14ac:dyDescent="0.25">
      <c r="A15">
        <v>1521</v>
      </c>
      <c r="C15">
        <v>5600010</v>
      </c>
      <c r="E15">
        <v>540</v>
      </c>
      <c r="G15">
        <v>13850</v>
      </c>
    </row>
    <row r="16" spans="1:7" x14ac:dyDescent="0.25">
      <c r="A16">
        <v>1521</v>
      </c>
      <c r="C16">
        <v>5600010</v>
      </c>
      <c r="E16">
        <v>610</v>
      </c>
      <c r="G16">
        <v>18000</v>
      </c>
    </row>
    <row r="17" spans="1:7" x14ac:dyDescent="0.25">
      <c r="A17">
        <v>1521</v>
      </c>
      <c r="C17">
        <v>5600010</v>
      </c>
      <c r="E17">
        <v>620</v>
      </c>
      <c r="G17">
        <v>1200</v>
      </c>
    </row>
    <row r="18" spans="1:7" x14ac:dyDescent="0.25">
      <c r="A18">
        <v>1521</v>
      </c>
      <c r="C18">
        <v>5600010</v>
      </c>
      <c r="E18">
        <v>670</v>
      </c>
      <c r="G18">
        <v>2000</v>
      </c>
    </row>
    <row r="19" spans="1:7" x14ac:dyDescent="0.25">
      <c r="A19">
        <v>1441</v>
      </c>
      <c r="C19">
        <v>5610010</v>
      </c>
      <c r="E19">
        <v>230</v>
      </c>
      <c r="G19">
        <v>1200000</v>
      </c>
    </row>
    <row r="20" spans="1:7" x14ac:dyDescent="0.25">
      <c r="A20">
        <v>1441</v>
      </c>
      <c r="C20">
        <v>5610010</v>
      </c>
      <c r="E20">
        <v>415</v>
      </c>
      <c r="G20">
        <v>31964000</v>
      </c>
    </row>
    <row r="21" spans="1:7" x14ac:dyDescent="0.25">
      <c r="A21">
        <v>1541</v>
      </c>
      <c r="C21">
        <v>5610010</v>
      </c>
      <c r="E21">
        <v>115</v>
      </c>
      <c r="G21">
        <v>3000</v>
      </c>
    </row>
    <row r="22" spans="1:7" x14ac:dyDescent="0.25">
      <c r="A22">
        <v>1541</v>
      </c>
      <c r="C22">
        <v>5610010</v>
      </c>
      <c r="E22">
        <v>130</v>
      </c>
      <c r="G22">
        <v>767417</v>
      </c>
    </row>
    <row r="23" spans="1:7" x14ac:dyDescent="0.25">
      <c r="A23">
        <v>1541</v>
      </c>
      <c r="C23">
        <v>5610010</v>
      </c>
      <c r="E23">
        <v>430</v>
      </c>
      <c r="G23">
        <v>1700000</v>
      </c>
    </row>
    <row r="24" spans="1:7" x14ac:dyDescent="0.25">
      <c r="A24">
        <v>1541</v>
      </c>
      <c r="C24">
        <v>5610010</v>
      </c>
      <c r="E24">
        <v>470</v>
      </c>
      <c r="G24">
        <v>50000</v>
      </c>
    </row>
    <row r="25" spans="1:7" x14ac:dyDescent="0.25">
      <c r="A25">
        <v>1541</v>
      </c>
      <c r="C25">
        <v>5610010</v>
      </c>
      <c r="E25">
        <v>510</v>
      </c>
      <c r="G25">
        <v>552500</v>
      </c>
    </row>
    <row r="26" spans="1:7" x14ac:dyDescent="0.25">
      <c r="A26">
        <v>1541</v>
      </c>
      <c r="C26">
        <v>5610010</v>
      </c>
      <c r="E26">
        <v>520</v>
      </c>
      <c r="G26">
        <v>120000</v>
      </c>
    </row>
    <row r="27" spans="1:7" x14ac:dyDescent="0.25">
      <c r="A27">
        <v>1541</v>
      </c>
      <c r="C27">
        <v>5610010</v>
      </c>
      <c r="E27">
        <v>540</v>
      </c>
      <c r="G27">
        <v>12000</v>
      </c>
    </row>
    <row r="28" spans="1:7" x14ac:dyDescent="0.25">
      <c r="A28">
        <v>1541</v>
      </c>
      <c r="C28">
        <v>5610010</v>
      </c>
      <c r="E28">
        <v>560</v>
      </c>
      <c r="G28">
        <v>1000</v>
      </c>
    </row>
    <row r="29" spans="1:7" x14ac:dyDescent="0.25">
      <c r="A29">
        <v>1541</v>
      </c>
      <c r="C29">
        <v>5610010</v>
      </c>
      <c r="E29">
        <v>580</v>
      </c>
      <c r="G29">
        <v>4000</v>
      </c>
    </row>
    <row r="30" spans="1:7" x14ac:dyDescent="0.25">
      <c r="A30">
        <v>1541</v>
      </c>
      <c r="C30">
        <v>5610010</v>
      </c>
      <c r="E30">
        <v>610</v>
      </c>
      <c r="G30">
        <v>25000</v>
      </c>
    </row>
    <row r="31" spans="1:7" x14ac:dyDescent="0.25">
      <c r="A31">
        <v>1541</v>
      </c>
      <c r="C31">
        <v>5610010</v>
      </c>
      <c r="E31">
        <v>615</v>
      </c>
      <c r="G31">
        <v>5000</v>
      </c>
    </row>
    <row r="32" spans="1:7" x14ac:dyDescent="0.25">
      <c r="A32">
        <v>1541</v>
      </c>
      <c r="C32">
        <v>5610010</v>
      </c>
      <c r="E32">
        <v>620</v>
      </c>
      <c r="G32">
        <v>1000</v>
      </c>
    </row>
    <row r="33" spans="1:7" x14ac:dyDescent="0.25">
      <c r="A33">
        <v>1541</v>
      </c>
      <c r="C33">
        <v>5610010</v>
      </c>
      <c r="E33">
        <v>640</v>
      </c>
      <c r="G33">
        <v>89000</v>
      </c>
    </row>
    <row r="34" spans="1:7" x14ac:dyDescent="0.25">
      <c r="A34">
        <v>1541</v>
      </c>
      <c r="C34">
        <v>5610010</v>
      </c>
      <c r="E34">
        <v>655</v>
      </c>
      <c r="G34">
        <v>1000</v>
      </c>
    </row>
    <row r="35" spans="1:7" x14ac:dyDescent="0.25">
      <c r="A35">
        <v>1541</v>
      </c>
      <c r="C35">
        <v>5610010</v>
      </c>
      <c r="E35">
        <v>670</v>
      </c>
      <c r="G35">
        <v>1500</v>
      </c>
    </row>
    <row r="36" spans="1:7" x14ac:dyDescent="0.25">
      <c r="A36">
        <v>1542</v>
      </c>
      <c r="C36">
        <v>5610010</v>
      </c>
      <c r="E36">
        <v>115</v>
      </c>
      <c r="G36">
        <v>3000</v>
      </c>
    </row>
    <row r="37" spans="1:7" x14ac:dyDescent="0.25">
      <c r="A37">
        <v>1542</v>
      </c>
      <c r="C37">
        <v>5610010</v>
      </c>
      <c r="E37">
        <v>130</v>
      </c>
      <c r="G37">
        <v>1075598</v>
      </c>
    </row>
    <row r="38" spans="1:7" x14ac:dyDescent="0.25">
      <c r="A38">
        <v>1542</v>
      </c>
      <c r="C38">
        <v>5610010</v>
      </c>
      <c r="E38">
        <v>470</v>
      </c>
      <c r="G38">
        <v>1000</v>
      </c>
    </row>
    <row r="39" spans="1:7" x14ac:dyDescent="0.25">
      <c r="A39">
        <v>1542</v>
      </c>
      <c r="C39">
        <v>5610010</v>
      </c>
      <c r="E39">
        <v>510</v>
      </c>
      <c r="G39">
        <v>500</v>
      </c>
    </row>
    <row r="40" spans="1:7" x14ac:dyDescent="0.25">
      <c r="A40">
        <v>1542</v>
      </c>
      <c r="C40">
        <v>5610010</v>
      </c>
      <c r="E40">
        <v>520</v>
      </c>
      <c r="G40">
        <v>32000</v>
      </c>
    </row>
    <row r="41" spans="1:7" x14ac:dyDescent="0.25">
      <c r="A41">
        <v>1542</v>
      </c>
      <c r="C41">
        <v>5610010</v>
      </c>
      <c r="E41">
        <v>540</v>
      </c>
      <c r="G41">
        <v>4500</v>
      </c>
    </row>
    <row r="42" spans="1:7" x14ac:dyDescent="0.25">
      <c r="A42">
        <v>1542</v>
      </c>
      <c r="C42">
        <v>5610010</v>
      </c>
      <c r="E42">
        <v>610</v>
      </c>
      <c r="G42">
        <v>14000</v>
      </c>
    </row>
    <row r="43" spans="1:7" x14ac:dyDescent="0.25">
      <c r="A43">
        <v>1542</v>
      </c>
      <c r="C43">
        <v>5610010</v>
      </c>
      <c r="E43">
        <v>615</v>
      </c>
      <c r="G43">
        <v>500</v>
      </c>
    </row>
    <row r="44" spans="1:7" x14ac:dyDescent="0.25">
      <c r="A44">
        <v>1542</v>
      </c>
      <c r="C44">
        <v>5610010</v>
      </c>
      <c r="E44">
        <v>620</v>
      </c>
      <c r="G44">
        <v>100</v>
      </c>
    </row>
    <row r="45" spans="1:7" x14ac:dyDescent="0.25">
      <c r="A45">
        <v>1542</v>
      </c>
      <c r="C45">
        <v>5610010</v>
      </c>
      <c r="E45">
        <v>640</v>
      </c>
      <c r="G45">
        <v>2500</v>
      </c>
    </row>
    <row r="46" spans="1:7" x14ac:dyDescent="0.25">
      <c r="A46">
        <v>1542</v>
      </c>
      <c r="C46">
        <v>5610010</v>
      </c>
      <c r="E46">
        <v>655</v>
      </c>
      <c r="G46">
        <v>400</v>
      </c>
    </row>
    <row r="47" spans="1:7" x14ac:dyDescent="0.25">
      <c r="A47">
        <v>1542</v>
      </c>
      <c r="C47">
        <v>5610010</v>
      </c>
      <c r="E47">
        <v>670</v>
      </c>
      <c r="G47">
        <v>1000</v>
      </c>
    </row>
    <row r="48" spans="1:7" x14ac:dyDescent="0.25">
      <c r="A48">
        <v>1543</v>
      </c>
      <c r="C48">
        <v>5610010</v>
      </c>
      <c r="E48">
        <v>115</v>
      </c>
      <c r="G48">
        <v>2000</v>
      </c>
    </row>
    <row r="49" spans="1:7" x14ac:dyDescent="0.25">
      <c r="A49">
        <v>1543</v>
      </c>
      <c r="C49">
        <v>5610010</v>
      </c>
      <c r="E49">
        <v>130</v>
      </c>
      <c r="G49">
        <v>1632447</v>
      </c>
    </row>
    <row r="50" spans="1:7" x14ac:dyDescent="0.25">
      <c r="A50">
        <v>1543</v>
      </c>
      <c r="C50">
        <v>5610010</v>
      </c>
      <c r="E50">
        <v>470</v>
      </c>
      <c r="G50">
        <v>2500</v>
      </c>
    </row>
    <row r="51" spans="1:7" x14ac:dyDescent="0.25">
      <c r="A51">
        <v>1543</v>
      </c>
      <c r="C51">
        <v>5610010</v>
      </c>
      <c r="E51">
        <v>510</v>
      </c>
      <c r="G51">
        <v>2500</v>
      </c>
    </row>
    <row r="52" spans="1:7" x14ac:dyDescent="0.25">
      <c r="A52">
        <v>1543</v>
      </c>
      <c r="C52">
        <v>5610010</v>
      </c>
      <c r="E52">
        <v>520</v>
      </c>
      <c r="G52">
        <v>125000</v>
      </c>
    </row>
    <row r="53" spans="1:7" x14ac:dyDescent="0.25">
      <c r="A53">
        <v>1543</v>
      </c>
      <c r="C53">
        <v>5610010</v>
      </c>
      <c r="E53">
        <v>540</v>
      </c>
      <c r="G53">
        <v>19000</v>
      </c>
    </row>
    <row r="54" spans="1:7" x14ac:dyDescent="0.25">
      <c r="A54">
        <v>1543</v>
      </c>
      <c r="C54">
        <v>5610010</v>
      </c>
      <c r="E54">
        <v>560</v>
      </c>
      <c r="G54">
        <v>1000</v>
      </c>
    </row>
    <row r="55" spans="1:7" x14ac:dyDescent="0.25">
      <c r="A55">
        <v>1543</v>
      </c>
      <c r="C55">
        <v>5610010</v>
      </c>
      <c r="E55">
        <v>580</v>
      </c>
      <c r="G55">
        <v>1000</v>
      </c>
    </row>
    <row r="56" spans="1:7" x14ac:dyDescent="0.25">
      <c r="A56">
        <v>1543</v>
      </c>
      <c r="C56">
        <v>5610010</v>
      </c>
      <c r="E56">
        <v>610</v>
      </c>
      <c r="G56">
        <v>18000</v>
      </c>
    </row>
    <row r="57" spans="1:7" x14ac:dyDescent="0.25">
      <c r="A57">
        <v>1543</v>
      </c>
      <c r="C57">
        <v>5610010</v>
      </c>
      <c r="E57">
        <v>615</v>
      </c>
      <c r="G57">
        <v>500</v>
      </c>
    </row>
    <row r="58" spans="1:7" x14ac:dyDescent="0.25">
      <c r="A58">
        <v>1543</v>
      </c>
      <c r="C58">
        <v>5610010</v>
      </c>
      <c r="E58">
        <v>620</v>
      </c>
      <c r="G58">
        <v>250</v>
      </c>
    </row>
    <row r="59" spans="1:7" x14ac:dyDescent="0.25">
      <c r="A59">
        <v>1543</v>
      </c>
      <c r="C59">
        <v>5610010</v>
      </c>
      <c r="E59">
        <v>640</v>
      </c>
      <c r="G59">
        <v>100000</v>
      </c>
    </row>
    <row r="60" spans="1:7" x14ac:dyDescent="0.25">
      <c r="A60">
        <v>1543</v>
      </c>
      <c r="C60">
        <v>5610010</v>
      </c>
      <c r="E60">
        <v>655</v>
      </c>
      <c r="G60">
        <v>500</v>
      </c>
    </row>
    <row r="61" spans="1:7" x14ac:dyDescent="0.25">
      <c r="A61">
        <v>1543</v>
      </c>
      <c r="C61">
        <v>5610010</v>
      </c>
      <c r="E61">
        <v>670</v>
      </c>
      <c r="G61">
        <v>2000</v>
      </c>
    </row>
    <row r="62" spans="1:7" x14ac:dyDescent="0.25">
      <c r="A62">
        <v>1544</v>
      </c>
      <c r="C62">
        <v>5610010</v>
      </c>
      <c r="E62">
        <v>115</v>
      </c>
      <c r="G62">
        <v>241901</v>
      </c>
    </row>
    <row r="63" spans="1:7" x14ac:dyDescent="0.25">
      <c r="A63">
        <v>1544</v>
      </c>
      <c r="C63">
        <v>5610010</v>
      </c>
      <c r="E63">
        <v>130</v>
      </c>
      <c r="G63">
        <v>2980722</v>
      </c>
    </row>
    <row r="64" spans="1:7" x14ac:dyDescent="0.25">
      <c r="A64">
        <v>1544</v>
      </c>
      <c r="C64">
        <v>5610010</v>
      </c>
      <c r="E64">
        <v>470</v>
      </c>
      <c r="G64">
        <v>5000</v>
      </c>
    </row>
    <row r="65" spans="1:7" x14ac:dyDescent="0.25">
      <c r="A65">
        <v>1544</v>
      </c>
      <c r="C65">
        <v>5610010</v>
      </c>
      <c r="E65">
        <v>510</v>
      </c>
      <c r="G65">
        <v>400</v>
      </c>
    </row>
    <row r="66" spans="1:7" x14ac:dyDescent="0.25">
      <c r="A66">
        <v>1544</v>
      </c>
      <c r="C66">
        <v>5610010</v>
      </c>
      <c r="E66">
        <v>520</v>
      </c>
      <c r="G66">
        <v>40000</v>
      </c>
    </row>
    <row r="67" spans="1:7" x14ac:dyDescent="0.25">
      <c r="A67">
        <v>1544</v>
      </c>
      <c r="C67">
        <v>5610010</v>
      </c>
      <c r="E67">
        <v>540</v>
      </c>
      <c r="G67">
        <v>4500</v>
      </c>
    </row>
    <row r="68" spans="1:7" x14ac:dyDescent="0.25">
      <c r="A68">
        <v>1544</v>
      </c>
      <c r="C68">
        <v>5610010</v>
      </c>
      <c r="E68">
        <v>610</v>
      </c>
      <c r="G68">
        <v>8000</v>
      </c>
    </row>
    <row r="69" spans="1:7" x14ac:dyDescent="0.25">
      <c r="A69">
        <v>1544</v>
      </c>
      <c r="C69">
        <v>5610010</v>
      </c>
      <c r="E69">
        <v>615</v>
      </c>
      <c r="G69">
        <v>250</v>
      </c>
    </row>
    <row r="70" spans="1:7" x14ac:dyDescent="0.25">
      <c r="A70">
        <v>1544</v>
      </c>
      <c r="C70">
        <v>5610010</v>
      </c>
      <c r="E70">
        <v>620</v>
      </c>
      <c r="G70">
        <v>50</v>
      </c>
    </row>
    <row r="71" spans="1:7" x14ac:dyDescent="0.25">
      <c r="A71">
        <v>1544</v>
      </c>
      <c r="C71">
        <v>5610010</v>
      </c>
      <c r="E71">
        <v>640</v>
      </c>
      <c r="G71">
        <v>1000</v>
      </c>
    </row>
    <row r="72" spans="1:7" x14ac:dyDescent="0.25">
      <c r="A72">
        <v>1544</v>
      </c>
      <c r="C72">
        <v>5610010</v>
      </c>
      <c r="E72">
        <v>655</v>
      </c>
      <c r="G72">
        <v>100</v>
      </c>
    </row>
    <row r="73" spans="1:7" x14ac:dyDescent="0.25">
      <c r="A73">
        <v>1544</v>
      </c>
      <c r="C73">
        <v>5610010</v>
      </c>
      <c r="E73">
        <v>670</v>
      </c>
      <c r="G73">
        <v>3000</v>
      </c>
    </row>
    <row r="74" spans="1:7" x14ac:dyDescent="0.25">
      <c r="A74">
        <v>1545</v>
      </c>
      <c r="C74">
        <v>5610010</v>
      </c>
      <c r="E74">
        <v>115</v>
      </c>
      <c r="G74">
        <v>433099</v>
      </c>
    </row>
    <row r="75" spans="1:7" x14ac:dyDescent="0.25">
      <c r="A75">
        <v>1545</v>
      </c>
      <c r="C75">
        <v>5610010</v>
      </c>
      <c r="E75">
        <v>130</v>
      </c>
      <c r="G75">
        <v>6475000</v>
      </c>
    </row>
    <row r="76" spans="1:7" x14ac:dyDescent="0.25">
      <c r="A76">
        <v>1545</v>
      </c>
      <c r="C76">
        <v>5610010</v>
      </c>
      <c r="E76">
        <v>445</v>
      </c>
      <c r="G76">
        <v>20000</v>
      </c>
    </row>
    <row r="77" spans="1:7" x14ac:dyDescent="0.25">
      <c r="A77">
        <v>1545</v>
      </c>
      <c r="C77">
        <v>5610010</v>
      </c>
      <c r="E77">
        <v>470</v>
      </c>
      <c r="G77">
        <v>2000</v>
      </c>
    </row>
    <row r="78" spans="1:7" x14ac:dyDescent="0.25">
      <c r="A78">
        <v>1545</v>
      </c>
      <c r="C78">
        <v>5610010</v>
      </c>
      <c r="E78">
        <v>510</v>
      </c>
      <c r="G78">
        <v>6000</v>
      </c>
    </row>
    <row r="79" spans="1:7" x14ac:dyDescent="0.25">
      <c r="A79">
        <v>1545</v>
      </c>
      <c r="C79">
        <v>5610010</v>
      </c>
      <c r="E79">
        <v>520</v>
      </c>
      <c r="G79">
        <v>125000</v>
      </c>
    </row>
    <row r="80" spans="1:7" x14ac:dyDescent="0.25">
      <c r="A80">
        <v>1545</v>
      </c>
      <c r="C80">
        <v>5610010</v>
      </c>
      <c r="E80">
        <v>540</v>
      </c>
      <c r="G80">
        <v>5000</v>
      </c>
    </row>
    <row r="81" spans="1:7" x14ac:dyDescent="0.25">
      <c r="A81">
        <v>1545</v>
      </c>
      <c r="C81">
        <v>5610010</v>
      </c>
      <c r="E81">
        <v>560</v>
      </c>
      <c r="G81">
        <v>3000</v>
      </c>
    </row>
    <row r="82" spans="1:7" x14ac:dyDescent="0.25">
      <c r="A82">
        <v>1545</v>
      </c>
      <c r="C82">
        <v>5610010</v>
      </c>
      <c r="E82">
        <v>580</v>
      </c>
      <c r="G82">
        <v>5000</v>
      </c>
    </row>
    <row r="83" spans="1:7" x14ac:dyDescent="0.25">
      <c r="A83">
        <v>1545</v>
      </c>
      <c r="C83">
        <v>5610010</v>
      </c>
      <c r="E83">
        <v>610</v>
      </c>
      <c r="G83">
        <v>54000</v>
      </c>
    </row>
    <row r="84" spans="1:7" x14ac:dyDescent="0.25">
      <c r="A84">
        <v>1545</v>
      </c>
      <c r="C84">
        <v>5610010</v>
      </c>
      <c r="E84">
        <v>615</v>
      </c>
      <c r="G84">
        <v>3500</v>
      </c>
    </row>
    <row r="85" spans="1:7" x14ac:dyDescent="0.25">
      <c r="A85">
        <v>1545</v>
      </c>
      <c r="C85">
        <v>5610010</v>
      </c>
      <c r="E85">
        <v>620</v>
      </c>
      <c r="G85">
        <v>150</v>
      </c>
    </row>
    <row r="86" spans="1:7" x14ac:dyDescent="0.25">
      <c r="A86">
        <v>1545</v>
      </c>
      <c r="C86">
        <v>5610010</v>
      </c>
      <c r="E86">
        <v>640</v>
      </c>
      <c r="G86">
        <v>25000</v>
      </c>
    </row>
    <row r="87" spans="1:7" x14ac:dyDescent="0.25">
      <c r="A87">
        <v>1545</v>
      </c>
      <c r="C87">
        <v>5610010</v>
      </c>
      <c r="E87">
        <v>655</v>
      </c>
      <c r="G87">
        <v>10000</v>
      </c>
    </row>
    <row r="88" spans="1:7" x14ac:dyDescent="0.25">
      <c r="A88">
        <v>1545</v>
      </c>
      <c r="C88">
        <v>5610010</v>
      </c>
      <c r="E88">
        <v>670</v>
      </c>
      <c r="G88">
        <v>5000</v>
      </c>
    </row>
    <row r="89" spans="1:7" x14ac:dyDescent="0.25">
      <c r="A89">
        <v>1546</v>
      </c>
      <c r="C89">
        <v>5610010</v>
      </c>
      <c r="E89">
        <v>115</v>
      </c>
      <c r="G89">
        <v>15000</v>
      </c>
    </row>
    <row r="90" spans="1:7" x14ac:dyDescent="0.25">
      <c r="A90">
        <v>1546</v>
      </c>
      <c r="C90">
        <v>5610010</v>
      </c>
      <c r="E90">
        <v>130</v>
      </c>
      <c r="G90">
        <v>653648</v>
      </c>
    </row>
    <row r="91" spans="1:7" x14ac:dyDescent="0.25">
      <c r="A91">
        <v>1546</v>
      </c>
      <c r="C91">
        <v>5610010</v>
      </c>
      <c r="E91">
        <v>510</v>
      </c>
      <c r="G91">
        <v>1500</v>
      </c>
    </row>
    <row r="92" spans="1:7" x14ac:dyDescent="0.25">
      <c r="A92">
        <v>1546</v>
      </c>
      <c r="C92">
        <v>5610010</v>
      </c>
      <c r="E92">
        <v>520</v>
      </c>
      <c r="G92">
        <v>10000</v>
      </c>
    </row>
    <row r="93" spans="1:7" x14ac:dyDescent="0.25">
      <c r="A93">
        <v>1546</v>
      </c>
      <c r="C93">
        <v>5610010</v>
      </c>
      <c r="E93">
        <v>610</v>
      </c>
      <c r="G93">
        <v>6000</v>
      </c>
    </row>
    <row r="94" spans="1:7" x14ac:dyDescent="0.25">
      <c r="A94">
        <v>1546</v>
      </c>
      <c r="C94">
        <v>5610010</v>
      </c>
      <c r="E94">
        <v>615</v>
      </c>
      <c r="G94">
        <v>500</v>
      </c>
    </row>
    <row r="95" spans="1:7" x14ac:dyDescent="0.25">
      <c r="A95">
        <v>1546</v>
      </c>
      <c r="C95">
        <v>5610010</v>
      </c>
      <c r="E95">
        <v>620</v>
      </c>
      <c r="G95">
        <v>100</v>
      </c>
    </row>
    <row r="96" spans="1:7" x14ac:dyDescent="0.25">
      <c r="A96">
        <v>1546</v>
      </c>
      <c r="C96">
        <v>5610010</v>
      </c>
      <c r="E96">
        <v>655</v>
      </c>
      <c r="G96">
        <v>300</v>
      </c>
    </row>
    <row r="97" spans="1:7" x14ac:dyDescent="0.25">
      <c r="A97">
        <v>1546</v>
      </c>
      <c r="C97">
        <v>5610010</v>
      </c>
      <c r="E97">
        <v>670</v>
      </c>
      <c r="G97">
        <v>1000</v>
      </c>
    </row>
    <row r="98" spans="1:7" x14ac:dyDescent="0.25">
      <c r="A98">
        <v>1531</v>
      </c>
      <c r="C98">
        <v>5680010</v>
      </c>
      <c r="E98">
        <v>115</v>
      </c>
      <c r="G98">
        <v>170107</v>
      </c>
    </row>
    <row r="99" spans="1:7" x14ac:dyDescent="0.25">
      <c r="A99">
        <v>1531</v>
      </c>
      <c r="C99">
        <v>5680010</v>
      </c>
      <c r="E99">
        <v>130</v>
      </c>
      <c r="G99">
        <v>4420000</v>
      </c>
    </row>
    <row r="100" spans="1:7" x14ac:dyDescent="0.25">
      <c r="A100">
        <v>1531</v>
      </c>
      <c r="C100">
        <v>5680010</v>
      </c>
      <c r="E100">
        <v>430</v>
      </c>
      <c r="G100">
        <v>333500</v>
      </c>
    </row>
    <row r="101" spans="1:7" x14ac:dyDescent="0.25">
      <c r="A101">
        <v>1531</v>
      </c>
      <c r="C101">
        <v>5680010</v>
      </c>
      <c r="E101">
        <v>445</v>
      </c>
      <c r="G101">
        <v>1346136</v>
      </c>
    </row>
    <row r="102" spans="1:7" x14ac:dyDescent="0.25">
      <c r="A102">
        <v>1531</v>
      </c>
      <c r="C102">
        <v>5680010</v>
      </c>
      <c r="E102">
        <v>470</v>
      </c>
      <c r="G102">
        <v>21400</v>
      </c>
    </row>
    <row r="103" spans="1:7" x14ac:dyDescent="0.25">
      <c r="A103">
        <v>1531</v>
      </c>
      <c r="C103">
        <v>5680010</v>
      </c>
      <c r="E103">
        <v>510</v>
      </c>
      <c r="G103">
        <v>34681</v>
      </c>
    </row>
    <row r="104" spans="1:7" x14ac:dyDescent="0.25">
      <c r="A104">
        <v>1531</v>
      </c>
      <c r="C104">
        <v>5680010</v>
      </c>
      <c r="E104">
        <v>520</v>
      </c>
      <c r="G104">
        <v>138723</v>
      </c>
    </row>
    <row r="105" spans="1:7" x14ac:dyDescent="0.25">
      <c r="A105">
        <v>1531</v>
      </c>
      <c r="C105">
        <v>5680010</v>
      </c>
      <c r="E105">
        <v>540</v>
      </c>
      <c r="G105">
        <v>57801</v>
      </c>
    </row>
    <row r="106" spans="1:7" x14ac:dyDescent="0.25">
      <c r="A106">
        <v>1531</v>
      </c>
      <c r="C106">
        <v>5680010</v>
      </c>
      <c r="E106">
        <v>610</v>
      </c>
      <c r="G106">
        <v>27820</v>
      </c>
    </row>
    <row r="107" spans="1:7" x14ac:dyDescent="0.25">
      <c r="A107">
        <v>1531</v>
      </c>
      <c r="C107">
        <v>5680010</v>
      </c>
      <c r="E107">
        <v>640</v>
      </c>
      <c r="G107">
        <v>4601</v>
      </c>
    </row>
    <row r="108" spans="1:7" x14ac:dyDescent="0.25">
      <c r="A108">
        <v>1531</v>
      </c>
      <c r="C108">
        <v>5680010</v>
      </c>
      <c r="E108">
        <v>670</v>
      </c>
      <c r="G108">
        <v>8000</v>
      </c>
    </row>
    <row r="109" spans="1:7" x14ac:dyDescent="0.25">
      <c r="A109">
        <v>1711</v>
      </c>
      <c r="C109">
        <v>9010010</v>
      </c>
      <c r="E109">
        <v>113</v>
      </c>
      <c r="G109">
        <v>1000</v>
      </c>
    </row>
    <row r="110" spans="1:7" x14ac:dyDescent="0.25">
      <c r="A110">
        <v>1711</v>
      </c>
      <c r="C110">
        <v>9010010</v>
      </c>
      <c r="E110">
        <v>130</v>
      </c>
      <c r="G110">
        <v>293060</v>
      </c>
    </row>
    <row r="111" spans="1:7" x14ac:dyDescent="0.25">
      <c r="A111">
        <v>1711</v>
      </c>
      <c r="C111">
        <v>9010010</v>
      </c>
      <c r="E111">
        <v>430</v>
      </c>
      <c r="G111">
        <v>10000</v>
      </c>
    </row>
    <row r="112" spans="1:7" x14ac:dyDescent="0.25">
      <c r="A112">
        <v>1711</v>
      </c>
      <c r="C112">
        <v>9010010</v>
      </c>
      <c r="E112">
        <v>470</v>
      </c>
      <c r="G112">
        <v>10000</v>
      </c>
    </row>
    <row r="113" spans="1:7" x14ac:dyDescent="0.25">
      <c r="A113">
        <v>1711</v>
      </c>
      <c r="C113">
        <v>9010010</v>
      </c>
      <c r="E113">
        <v>520</v>
      </c>
      <c r="G113">
        <v>13000</v>
      </c>
    </row>
    <row r="114" spans="1:7" x14ac:dyDescent="0.25">
      <c r="A114">
        <v>1711</v>
      </c>
      <c r="C114">
        <v>9010010</v>
      </c>
      <c r="E114">
        <v>620</v>
      </c>
      <c r="G114">
        <v>2000</v>
      </c>
    </row>
    <row r="115" spans="1:7" x14ac:dyDescent="0.25">
      <c r="A115">
        <v>1711</v>
      </c>
      <c r="C115">
        <v>9010010</v>
      </c>
      <c r="E115">
        <v>670</v>
      </c>
      <c r="G115">
        <v>1000</v>
      </c>
    </row>
    <row r="116" spans="1:7" x14ac:dyDescent="0.25">
      <c r="A116">
        <v>1723</v>
      </c>
      <c r="C116">
        <v>9020010</v>
      </c>
      <c r="E116">
        <v>130</v>
      </c>
      <c r="G116">
        <v>1259498</v>
      </c>
    </row>
    <row r="117" spans="1:7" x14ac:dyDescent="0.25">
      <c r="A117">
        <v>1723</v>
      </c>
      <c r="C117">
        <v>9020010</v>
      </c>
      <c r="E117">
        <v>445</v>
      </c>
      <c r="G117">
        <v>240000</v>
      </c>
    </row>
    <row r="118" spans="1:7" x14ac:dyDescent="0.25">
      <c r="A118">
        <v>1723</v>
      </c>
      <c r="C118">
        <v>9020010</v>
      </c>
      <c r="E118">
        <v>520</v>
      </c>
      <c r="G118">
        <v>124000</v>
      </c>
    </row>
    <row r="119" spans="1:7" x14ac:dyDescent="0.25">
      <c r="A119">
        <v>1723</v>
      </c>
      <c r="C119">
        <v>9020010</v>
      </c>
      <c r="E119">
        <v>530</v>
      </c>
      <c r="G119">
        <v>18000</v>
      </c>
    </row>
    <row r="120" spans="1:7" x14ac:dyDescent="0.25">
      <c r="A120">
        <v>1723</v>
      </c>
      <c r="C120">
        <v>9020010</v>
      </c>
      <c r="E120">
        <v>540</v>
      </c>
      <c r="G120">
        <v>52000</v>
      </c>
    </row>
    <row r="121" spans="1:7" x14ac:dyDescent="0.25">
      <c r="A121">
        <v>1723</v>
      </c>
      <c r="C121">
        <v>9020010</v>
      </c>
      <c r="E121">
        <v>580</v>
      </c>
      <c r="G121">
        <v>5000</v>
      </c>
    </row>
    <row r="122" spans="1:7" x14ac:dyDescent="0.25">
      <c r="A122">
        <v>1723</v>
      </c>
      <c r="C122">
        <v>9020010</v>
      </c>
      <c r="E122">
        <v>610</v>
      </c>
      <c r="G122">
        <v>14000</v>
      </c>
    </row>
    <row r="123" spans="1:7" x14ac:dyDescent="0.25">
      <c r="A123">
        <v>1723</v>
      </c>
      <c r="C123">
        <v>9020010</v>
      </c>
      <c r="E123">
        <v>615</v>
      </c>
      <c r="G123">
        <v>12000</v>
      </c>
    </row>
    <row r="124" spans="1:7" x14ac:dyDescent="0.25">
      <c r="A124">
        <v>1723</v>
      </c>
      <c r="C124">
        <v>9020010</v>
      </c>
      <c r="E124">
        <v>640</v>
      </c>
      <c r="G124">
        <v>95000</v>
      </c>
    </row>
    <row r="125" spans="1:7" x14ac:dyDescent="0.25">
      <c r="A125">
        <v>1723</v>
      </c>
      <c r="C125">
        <v>9020010</v>
      </c>
      <c r="E125">
        <v>670</v>
      </c>
      <c r="G125">
        <v>3000</v>
      </c>
    </row>
    <row r="126" spans="1:7" x14ac:dyDescent="0.25">
      <c r="A126">
        <v>1721</v>
      </c>
      <c r="C126">
        <v>9030010</v>
      </c>
      <c r="E126">
        <v>113</v>
      </c>
      <c r="G126">
        <v>10000</v>
      </c>
    </row>
    <row r="127" spans="1:7" x14ac:dyDescent="0.25">
      <c r="A127">
        <v>1721</v>
      </c>
      <c r="C127">
        <v>9030010</v>
      </c>
      <c r="E127">
        <v>115</v>
      </c>
      <c r="G127">
        <v>25000</v>
      </c>
    </row>
    <row r="128" spans="1:7" x14ac:dyDescent="0.25">
      <c r="A128">
        <v>1721</v>
      </c>
      <c r="C128">
        <v>9030010</v>
      </c>
      <c r="E128">
        <v>130</v>
      </c>
      <c r="G128">
        <v>417411</v>
      </c>
    </row>
    <row r="129" spans="1:7" x14ac:dyDescent="0.25">
      <c r="A129">
        <v>1721</v>
      </c>
      <c r="C129">
        <v>9030010</v>
      </c>
      <c r="E129">
        <v>430</v>
      </c>
      <c r="G129">
        <v>500000</v>
      </c>
    </row>
    <row r="130" spans="1:7" x14ac:dyDescent="0.25">
      <c r="A130">
        <v>1721</v>
      </c>
      <c r="C130">
        <v>9030010</v>
      </c>
      <c r="E130">
        <v>520</v>
      </c>
      <c r="G130">
        <v>10000</v>
      </c>
    </row>
    <row r="131" spans="1:7" x14ac:dyDescent="0.25">
      <c r="A131">
        <v>1721</v>
      </c>
      <c r="C131">
        <v>9030010</v>
      </c>
      <c r="E131">
        <v>540</v>
      </c>
      <c r="G131">
        <v>10000</v>
      </c>
    </row>
    <row r="132" spans="1:7" x14ac:dyDescent="0.25">
      <c r="A132">
        <v>1721</v>
      </c>
      <c r="C132">
        <v>9030010</v>
      </c>
      <c r="E132">
        <v>560</v>
      </c>
      <c r="G132">
        <v>7000</v>
      </c>
    </row>
    <row r="133" spans="1:7" x14ac:dyDescent="0.25">
      <c r="A133">
        <v>1721</v>
      </c>
      <c r="C133">
        <v>9030010</v>
      </c>
      <c r="E133">
        <v>580</v>
      </c>
      <c r="G133">
        <v>3000</v>
      </c>
    </row>
    <row r="134" spans="1:7" x14ac:dyDescent="0.25">
      <c r="A134">
        <v>1721</v>
      </c>
      <c r="C134">
        <v>9030010</v>
      </c>
      <c r="E134">
        <v>610</v>
      </c>
      <c r="G134">
        <v>4000</v>
      </c>
    </row>
    <row r="135" spans="1:7" x14ac:dyDescent="0.25">
      <c r="A135">
        <v>1721</v>
      </c>
      <c r="C135">
        <v>9030010</v>
      </c>
      <c r="E135">
        <v>615</v>
      </c>
      <c r="G135">
        <v>2000</v>
      </c>
    </row>
    <row r="136" spans="1:7" x14ac:dyDescent="0.25">
      <c r="A136">
        <v>1721</v>
      </c>
      <c r="C136">
        <v>9030010</v>
      </c>
      <c r="E136">
        <v>620</v>
      </c>
      <c r="G136">
        <v>500</v>
      </c>
    </row>
    <row r="137" spans="1:7" x14ac:dyDescent="0.25">
      <c r="A137">
        <v>1721</v>
      </c>
      <c r="C137">
        <v>9030010</v>
      </c>
      <c r="E137">
        <v>670</v>
      </c>
      <c r="G137">
        <v>1000</v>
      </c>
    </row>
    <row r="138" spans="1:7" x14ac:dyDescent="0.25">
      <c r="A138">
        <v>1724</v>
      </c>
      <c r="C138">
        <v>9030010</v>
      </c>
      <c r="E138">
        <v>113</v>
      </c>
      <c r="G138">
        <v>45000</v>
      </c>
    </row>
    <row r="139" spans="1:7" x14ac:dyDescent="0.25">
      <c r="A139">
        <v>1724</v>
      </c>
      <c r="C139">
        <f t="shared" ref="C139:C166" si="0">C138</f>
        <v>9030010</v>
      </c>
      <c r="E139">
        <v>130</v>
      </c>
      <c r="G139">
        <v>661675</v>
      </c>
    </row>
    <row r="140" spans="1:7" x14ac:dyDescent="0.25">
      <c r="A140">
        <v>1724</v>
      </c>
      <c r="C140">
        <f t="shared" si="0"/>
        <v>9030010</v>
      </c>
      <c r="E140">
        <v>520</v>
      </c>
      <c r="G140">
        <v>25000</v>
      </c>
    </row>
    <row r="141" spans="1:7" x14ac:dyDescent="0.25">
      <c r="A141">
        <v>1724</v>
      </c>
      <c r="C141">
        <f t="shared" si="0"/>
        <v>9030010</v>
      </c>
      <c r="E141">
        <v>540</v>
      </c>
      <c r="G141">
        <v>55000</v>
      </c>
    </row>
    <row r="142" spans="1:7" x14ac:dyDescent="0.25">
      <c r="A142">
        <v>1724</v>
      </c>
      <c r="C142">
        <f t="shared" si="0"/>
        <v>9030010</v>
      </c>
      <c r="E142">
        <v>610</v>
      </c>
      <c r="G142">
        <v>9000</v>
      </c>
    </row>
    <row r="143" spans="1:7" x14ac:dyDescent="0.25">
      <c r="A143">
        <v>1724</v>
      </c>
      <c r="C143">
        <f t="shared" si="0"/>
        <v>9030010</v>
      </c>
      <c r="E143">
        <v>615</v>
      </c>
      <c r="G143">
        <v>10000</v>
      </c>
    </row>
    <row r="144" spans="1:7" x14ac:dyDescent="0.25">
      <c r="A144">
        <v>1724</v>
      </c>
      <c r="C144">
        <f t="shared" si="0"/>
        <v>9030010</v>
      </c>
      <c r="E144">
        <v>640</v>
      </c>
      <c r="G144">
        <v>606000</v>
      </c>
    </row>
    <row r="145" spans="1:7" x14ac:dyDescent="0.25">
      <c r="A145">
        <v>1724</v>
      </c>
      <c r="C145">
        <f t="shared" si="0"/>
        <v>9030010</v>
      </c>
      <c r="E145">
        <v>670</v>
      </c>
      <c r="G145">
        <v>2500</v>
      </c>
    </row>
    <row r="146" spans="1:7" x14ac:dyDescent="0.25">
      <c r="A146">
        <v>1725</v>
      </c>
      <c r="C146">
        <f t="shared" si="0"/>
        <v>9030010</v>
      </c>
      <c r="E146">
        <v>113</v>
      </c>
      <c r="G146">
        <v>45000</v>
      </c>
    </row>
    <row r="147" spans="1:7" x14ac:dyDescent="0.25">
      <c r="A147">
        <v>1725</v>
      </c>
      <c r="C147">
        <f t="shared" si="0"/>
        <v>9030010</v>
      </c>
      <c r="E147">
        <v>130</v>
      </c>
      <c r="G147">
        <v>659156</v>
      </c>
    </row>
    <row r="148" spans="1:7" x14ac:dyDescent="0.25">
      <c r="A148">
        <v>1725</v>
      </c>
      <c r="C148">
        <f t="shared" si="0"/>
        <v>9030010</v>
      </c>
      <c r="E148">
        <v>520</v>
      </c>
      <c r="G148">
        <v>25000</v>
      </c>
    </row>
    <row r="149" spans="1:7" x14ac:dyDescent="0.25">
      <c r="A149">
        <v>1725</v>
      </c>
      <c r="C149">
        <f t="shared" si="0"/>
        <v>9030010</v>
      </c>
      <c r="E149">
        <v>540</v>
      </c>
      <c r="G149">
        <v>55000</v>
      </c>
    </row>
    <row r="150" spans="1:7" x14ac:dyDescent="0.25">
      <c r="A150">
        <v>1725</v>
      </c>
      <c r="C150">
        <f t="shared" si="0"/>
        <v>9030010</v>
      </c>
      <c r="E150">
        <v>610</v>
      </c>
      <c r="G150">
        <v>9000</v>
      </c>
    </row>
    <row r="151" spans="1:7" x14ac:dyDescent="0.25">
      <c r="A151">
        <v>1725</v>
      </c>
      <c r="C151">
        <f t="shared" si="0"/>
        <v>9030010</v>
      </c>
      <c r="E151">
        <v>615</v>
      </c>
      <c r="G151">
        <v>10000</v>
      </c>
    </row>
    <row r="152" spans="1:7" x14ac:dyDescent="0.25">
      <c r="A152">
        <v>1725</v>
      </c>
      <c r="C152">
        <f t="shared" si="0"/>
        <v>9030010</v>
      </c>
      <c r="E152">
        <v>640</v>
      </c>
      <c r="G152">
        <v>606000</v>
      </c>
    </row>
    <row r="153" spans="1:7" x14ac:dyDescent="0.25">
      <c r="A153">
        <v>1725</v>
      </c>
      <c r="C153">
        <f t="shared" si="0"/>
        <v>9030010</v>
      </c>
      <c r="E153">
        <v>670</v>
      </c>
      <c r="G153">
        <v>2500</v>
      </c>
    </row>
    <row r="154" spans="1:7" x14ac:dyDescent="0.25">
      <c r="A154">
        <v>1731</v>
      </c>
      <c r="C154">
        <f t="shared" si="0"/>
        <v>9030010</v>
      </c>
      <c r="E154">
        <v>130</v>
      </c>
      <c r="G154">
        <v>722552</v>
      </c>
    </row>
    <row r="155" spans="1:7" x14ac:dyDescent="0.25">
      <c r="A155">
        <v>1731</v>
      </c>
      <c r="C155">
        <f t="shared" si="0"/>
        <v>9030010</v>
      </c>
      <c r="E155">
        <v>470</v>
      </c>
      <c r="G155">
        <v>250000</v>
      </c>
    </row>
    <row r="156" spans="1:7" x14ac:dyDescent="0.25">
      <c r="A156">
        <v>1731</v>
      </c>
      <c r="C156">
        <f t="shared" si="0"/>
        <v>9030010</v>
      </c>
      <c r="E156">
        <v>520</v>
      </c>
      <c r="G156">
        <v>38000</v>
      </c>
    </row>
    <row r="157" spans="1:7" x14ac:dyDescent="0.25">
      <c r="A157">
        <v>1731</v>
      </c>
      <c r="C157">
        <f t="shared" si="0"/>
        <v>9030010</v>
      </c>
      <c r="E157">
        <v>540</v>
      </c>
      <c r="G157">
        <v>17000</v>
      </c>
    </row>
    <row r="158" spans="1:7" x14ac:dyDescent="0.25">
      <c r="A158">
        <v>1731</v>
      </c>
      <c r="C158">
        <f t="shared" si="0"/>
        <v>9030010</v>
      </c>
      <c r="E158">
        <v>550</v>
      </c>
      <c r="G158">
        <v>9000</v>
      </c>
    </row>
    <row r="159" spans="1:7" x14ac:dyDescent="0.25">
      <c r="A159">
        <v>1731</v>
      </c>
      <c r="C159">
        <f t="shared" si="0"/>
        <v>9030010</v>
      </c>
      <c r="E159">
        <v>570</v>
      </c>
      <c r="G159">
        <v>62000</v>
      </c>
    </row>
    <row r="160" spans="1:7" x14ac:dyDescent="0.25">
      <c r="A160">
        <v>1731</v>
      </c>
      <c r="C160">
        <f t="shared" si="0"/>
        <v>9030010</v>
      </c>
      <c r="E160">
        <v>580</v>
      </c>
      <c r="G160">
        <v>5000</v>
      </c>
    </row>
    <row r="161" spans="1:7" x14ac:dyDescent="0.25">
      <c r="A161">
        <v>1731</v>
      </c>
      <c r="C161">
        <f t="shared" si="0"/>
        <v>9030010</v>
      </c>
      <c r="E161">
        <v>610</v>
      </c>
      <c r="G161">
        <v>6000</v>
      </c>
    </row>
    <row r="162" spans="1:7" x14ac:dyDescent="0.25">
      <c r="A162">
        <v>1731</v>
      </c>
      <c r="C162">
        <f t="shared" si="0"/>
        <v>9030010</v>
      </c>
      <c r="E162">
        <v>615</v>
      </c>
      <c r="G162">
        <v>12000</v>
      </c>
    </row>
    <row r="163" spans="1:7" x14ac:dyDescent="0.25">
      <c r="A163">
        <v>1731</v>
      </c>
      <c r="C163">
        <f t="shared" si="0"/>
        <v>9030010</v>
      </c>
      <c r="E163">
        <v>620</v>
      </c>
      <c r="G163">
        <v>2000</v>
      </c>
    </row>
    <row r="164" spans="1:7" x14ac:dyDescent="0.25">
      <c r="A164">
        <v>1731</v>
      </c>
      <c r="C164">
        <f t="shared" si="0"/>
        <v>9030010</v>
      </c>
      <c r="E164">
        <v>640</v>
      </c>
      <c r="G164">
        <v>100000</v>
      </c>
    </row>
    <row r="165" spans="1:7" x14ac:dyDescent="0.25">
      <c r="A165">
        <v>1731</v>
      </c>
      <c r="C165">
        <f t="shared" si="0"/>
        <v>9030010</v>
      </c>
      <c r="E165">
        <v>655</v>
      </c>
      <c r="G165">
        <v>10000</v>
      </c>
    </row>
    <row r="166" spans="1:7" x14ac:dyDescent="0.25">
      <c r="A166">
        <v>1731</v>
      </c>
      <c r="C166">
        <f t="shared" si="0"/>
        <v>9030010</v>
      </c>
      <c r="E166">
        <v>670</v>
      </c>
      <c r="G166">
        <v>4000</v>
      </c>
    </row>
    <row r="167" spans="1:7" x14ac:dyDescent="0.25">
      <c r="A167">
        <v>1722</v>
      </c>
      <c r="C167">
        <v>9050010</v>
      </c>
      <c r="E167">
        <v>113</v>
      </c>
      <c r="G167">
        <v>20000</v>
      </c>
    </row>
    <row r="168" spans="1:7" x14ac:dyDescent="0.25">
      <c r="A168">
        <v>1722</v>
      </c>
      <c r="C168">
        <v>9050010</v>
      </c>
      <c r="E168">
        <v>130</v>
      </c>
      <c r="G168">
        <v>580027</v>
      </c>
    </row>
    <row r="169" spans="1:7" x14ac:dyDescent="0.25">
      <c r="A169">
        <v>1722</v>
      </c>
      <c r="C169">
        <v>9050010</v>
      </c>
      <c r="E169">
        <v>445</v>
      </c>
      <c r="G169">
        <v>333635</v>
      </c>
    </row>
    <row r="170" spans="1:7" x14ac:dyDescent="0.25">
      <c r="A170">
        <v>1722</v>
      </c>
      <c r="C170">
        <v>9050010</v>
      </c>
      <c r="E170">
        <v>470</v>
      </c>
      <c r="G170">
        <v>9500</v>
      </c>
    </row>
    <row r="171" spans="1:7" x14ac:dyDescent="0.25">
      <c r="A171">
        <v>1722</v>
      </c>
      <c r="C171">
        <v>9050010</v>
      </c>
      <c r="E171">
        <v>520</v>
      </c>
      <c r="G171">
        <v>34000</v>
      </c>
    </row>
    <row r="172" spans="1:7" x14ac:dyDescent="0.25">
      <c r="A172">
        <v>1722</v>
      </c>
      <c r="C172">
        <v>9050010</v>
      </c>
      <c r="E172">
        <v>540</v>
      </c>
      <c r="G172">
        <v>16000</v>
      </c>
    </row>
    <row r="173" spans="1:7" x14ac:dyDescent="0.25">
      <c r="A173">
        <v>1722</v>
      </c>
      <c r="C173">
        <v>9050010</v>
      </c>
      <c r="E173">
        <v>610</v>
      </c>
      <c r="G173">
        <v>5000</v>
      </c>
    </row>
    <row r="174" spans="1:7" x14ac:dyDescent="0.25">
      <c r="A174">
        <v>1722</v>
      </c>
      <c r="C174">
        <v>9050010</v>
      </c>
      <c r="E174">
        <v>615</v>
      </c>
      <c r="G174">
        <v>10000</v>
      </c>
    </row>
    <row r="175" spans="1:7" x14ac:dyDescent="0.25">
      <c r="A175">
        <v>1722</v>
      </c>
      <c r="C175">
        <v>9050010</v>
      </c>
      <c r="E175">
        <v>670</v>
      </c>
      <c r="G175">
        <v>1000</v>
      </c>
    </row>
    <row r="176" spans="1:7" x14ac:dyDescent="0.25">
      <c r="A176">
        <v>1741</v>
      </c>
      <c r="C176">
        <v>9080010</v>
      </c>
      <c r="E176">
        <v>130</v>
      </c>
      <c r="G176">
        <v>1748000</v>
      </c>
    </row>
    <row r="177" spans="1:7" x14ac:dyDescent="0.25">
      <c r="A177">
        <v>1741</v>
      </c>
      <c r="C177">
        <v>9080010</v>
      </c>
      <c r="E177">
        <v>430</v>
      </c>
      <c r="G177">
        <v>315000</v>
      </c>
    </row>
    <row r="178" spans="1:7" x14ac:dyDescent="0.25">
      <c r="A178">
        <v>1741</v>
      </c>
      <c r="C178">
        <v>9080010</v>
      </c>
      <c r="E178">
        <v>520</v>
      </c>
      <c r="G178">
        <v>112000</v>
      </c>
    </row>
    <row r="179" spans="1:7" x14ac:dyDescent="0.25">
      <c r="A179">
        <v>1741</v>
      </c>
      <c r="C179">
        <v>9080010</v>
      </c>
      <c r="E179">
        <v>540</v>
      </c>
      <c r="G179">
        <v>65000</v>
      </c>
    </row>
    <row r="180" spans="1:7" x14ac:dyDescent="0.25">
      <c r="A180">
        <v>1741</v>
      </c>
      <c r="C180">
        <v>9080010</v>
      </c>
      <c r="E180">
        <v>550</v>
      </c>
      <c r="G180">
        <v>9000</v>
      </c>
    </row>
    <row r="181" spans="1:7" x14ac:dyDescent="0.25">
      <c r="A181">
        <v>1741</v>
      </c>
      <c r="C181">
        <v>9080010</v>
      </c>
      <c r="E181">
        <v>560</v>
      </c>
      <c r="G181">
        <v>50000</v>
      </c>
    </row>
    <row r="182" spans="1:7" x14ac:dyDescent="0.25">
      <c r="A182">
        <v>1741</v>
      </c>
      <c r="C182">
        <v>9080010</v>
      </c>
      <c r="E182">
        <v>570</v>
      </c>
      <c r="G182">
        <v>90000</v>
      </c>
    </row>
    <row r="183" spans="1:7" x14ac:dyDescent="0.25">
      <c r="A183">
        <v>1741</v>
      </c>
      <c r="C183">
        <v>9080010</v>
      </c>
      <c r="E183">
        <v>580</v>
      </c>
      <c r="G183">
        <v>10000</v>
      </c>
    </row>
    <row r="184" spans="1:7" x14ac:dyDescent="0.25">
      <c r="A184">
        <v>1741</v>
      </c>
      <c r="C184">
        <v>9080010</v>
      </c>
      <c r="E184">
        <v>610</v>
      </c>
      <c r="G184">
        <v>20000</v>
      </c>
    </row>
    <row r="185" spans="1:7" x14ac:dyDescent="0.25">
      <c r="A185">
        <v>1741</v>
      </c>
      <c r="C185">
        <v>9080010</v>
      </c>
      <c r="E185">
        <v>620</v>
      </c>
      <c r="G185">
        <v>2000</v>
      </c>
    </row>
    <row r="186" spans="1:7" x14ac:dyDescent="0.25">
      <c r="A186">
        <v>1741</v>
      </c>
      <c r="C186">
        <v>9080010</v>
      </c>
      <c r="E186">
        <v>640</v>
      </c>
      <c r="G186">
        <v>385000</v>
      </c>
    </row>
    <row r="187" spans="1:7" x14ac:dyDescent="0.25">
      <c r="A187">
        <v>1741</v>
      </c>
      <c r="C187">
        <v>9080010</v>
      </c>
      <c r="E187">
        <v>655</v>
      </c>
      <c r="G187">
        <v>30000</v>
      </c>
    </row>
    <row r="188" spans="1:7" x14ac:dyDescent="0.25">
      <c r="A188">
        <v>1741</v>
      </c>
      <c r="C188">
        <v>9080010</v>
      </c>
      <c r="E188">
        <v>670</v>
      </c>
      <c r="G188">
        <v>5000</v>
      </c>
    </row>
    <row r="189" spans="1:7" x14ac:dyDescent="0.25">
      <c r="A189">
        <v>1111</v>
      </c>
      <c r="C189">
        <v>9200010</v>
      </c>
      <c r="E189">
        <v>130</v>
      </c>
      <c r="G189">
        <v>765410</v>
      </c>
    </row>
    <row r="190" spans="1:7" x14ac:dyDescent="0.25">
      <c r="A190">
        <v>1211</v>
      </c>
      <c r="C190">
        <v>9200010</v>
      </c>
      <c r="E190">
        <v>116</v>
      </c>
      <c r="G190">
        <v>712000</v>
      </c>
    </row>
    <row r="191" spans="1:7" x14ac:dyDescent="0.25">
      <c r="A191">
        <v>1211</v>
      </c>
      <c r="C191">
        <v>9200010</v>
      </c>
      <c r="E191">
        <v>130</v>
      </c>
      <c r="G191">
        <v>517986</v>
      </c>
    </row>
    <row r="192" spans="1:7" x14ac:dyDescent="0.25">
      <c r="A192">
        <v>1221</v>
      </c>
      <c r="C192">
        <v>9200010</v>
      </c>
      <c r="E192">
        <v>130</v>
      </c>
      <c r="G192">
        <v>264750</v>
      </c>
    </row>
    <row r="193" spans="1:7" x14ac:dyDescent="0.25">
      <c r="A193">
        <v>1231</v>
      </c>
      <c r="C193">
        <v>9200010</v>
      </c>
      <c r="E193">
        <v>130</v>
      </c>
      <c r="G193">
        <v>229848</v>
      </c>
    </row>
    <row r="194" spans="1:7" x14ac:dyDescent="0.25">
      <c r="A194">
        <v>1311</v>
      </c>
      <c r="C194">
        <v>9200010</v>
      </c>
      <c r="E194">
        <v>130</v>
      </c>
      <c r="G194">
        <v>309824</v>
      </c>
    </row>
    <row r="195" spans="1:7" x14ac:dyDescent="0.25">
      <c r="A195">
        <v>1321</v>
      </c>
      <c r="C195">
        <v>9200010</v>
      </c>
      <c r="E195">
        <v>130</v>
      </c>
      <c r="G195">
        <v>731716</v>
      </c>
    </row>
    <row r="196" spans="1:7" x14ac:dyDescent="0.25">
      <c r="A196">
        <v>1331</v>
      </c>
      <c r="C196">
        <v>9200010</v>
      </c>
      <c r="E196">
        <v>130</v>
      </c>
      <c r="G196">
        <v>252870</v>
      </c>
    </row>
    <row r="197" spans="1:7" x14ac:dyDescent="0.25">
      <c r="A197">
        <v>1411</v>
      </c>
      <c r="C197">
        <v>9200010</v>
      </c>
      <c r="E197">
        <v>130</v>
      </c>
      <c r="G197">
        <v>339615</v>
      </c>
    </row>
    <row r="198" spans="1:7" x14ac:dyDescent="0.25">
      <c r="A198">
        <v>1421</v>
      </c>
      <c r="C198">
        <v>9200010</v>
      </c>
      <c r="E198">
        <v>130</v>
      </c>
      <c r="G198">
        <v>1528000</v>
      </c>
    </row>
    <row r="199" spans="1:7" x14ac:dyDescent="0.25">
      <c r="A199">
        <v>1431</v>
      </c>
      <c r="C199">
        <v>9200010</v>
      </c>
      <c r="E199">
        <v>130</v>
      </c>
      <c r="G199">
        <v>991000</v>
      </c>
    </row>
    <row r="200" spans="1:7" x14ac:dyDescent="0.25">
      <c r="A200">
        <v>1441</v>
      </c>
      <c r="C200">
        <v>9200010</v>
      </c>
      <c r="E200">
        <v>130</v>
      </c>
      <c r="G200">
        <v>1245823</v>
      </c>
    </row>
    <row r="201" spans="1:7" x14ac:dyDescent="0.25">
      <c r="A201">
        <v>1451</v>
      </c>
      <c r="C201">
        <v>9200010</v>
      </c>
      <c r="E201">
        <v>130</v>
      </c>
      <c r="G201">
        <v>740257</v>
      </c>
    </row>
    <row r="202" spans="1:7" x14ac:dyDescent="0.25">
      <c r="A202">
        <v>1611</v>
      </c>
      <c r="C202">
        <v>9200010</v>
      </c>
      <c r="E202">
        <v>130</v>
      </c>
      <c r="G202">
        <v>411000</v>
      </c>
    </row>
    <row r="203" spans="1:7" x14ac:dyDescent="0.25">
      <c r="A203">
        <v>1621</v>
      </c>
      <c r="C203">
        <v>9200010</v>
      </c>
      <c r="E203">
        <v>130</v>
      </c>
      <c r="G203">
        <v>336939</v>
      </c>
    </row>
    <row r="204" spans="1:7" x14ac:dyDescent="0.25">
      <c r="A204">
        <v>1641</v>
      </c>
      <c r="C204">
        <v>9200010</v>
      </c>
      <c r="E204">
        <v>130</v>
      </c>
      <c r="G204">
        <v>975400</v>
      </c>
    </row>
    <row r="205" spans="1:7" x14ac:dyDescent="0.25">
      <c r="A205">
        <v>1651</v>
      </c>
      <c r="C205">
        <v>9200010</v>
      </c>
      <c r="E205">
        <v>130</v>
      </c>
      <c r="G205">
        <v>111000</v>
      </c>
    </row>
    <row r="206" spans="1:7" x14ac:dyDescent="0.25">
      <c r="A206">
        <v>1111</v>
      </c>
      <c r="C206">
        <v>9210010</v>
      </c>
      <c r="E206">
        <v>520</v>
      </c>
      <c r="G206">
        <v>80000</v>
      </c>
    </row>
    <row r="207" spans="1:7" x14ac:dyDescent="0.25">
      <c r="A207">
        <v>1111</v>
      </c>
      <c r="C207">
        <v>9210010</v>
      </c>
      <c r="E207">
        <v>610</v>
      </c>
      <c r="G207">
        <v>5000</v>
      </c>
    </row>
    <row r="208" spans="1:7" x14ac:dyDescent="0.25">
      <c r="A208">
        <v>1211</v>
      </c>
      <c r="C208">
        <v>9210010</v>
      </c>
      <c r="E208">
        <v>510</v>
      </c>
      <c r="G208">
        <v>2750</v>
      </c>
    </row>
    <row r="209" spans="1:7" x14ac:dyDescent="0.25">
      <c r="A209">
        <v>1211</v>
      </c>
      <c r="C209">
        <v>9210010</v>
      </c>
      <c r="E209">
        <v>520</v>
      </c>
      <c r="G209">
        <v>45000</v>
      </c>
    </row>
    <row r="210" spans="1:7" x14ac:dyDescent="0.25">
      <c r="A210">
        <v>1211</v>
      </c>
      <c r="C210">
        <v>9210010</v>
      </c>
      <c r="E210">
        <v>540</v>
      </c>
      <c r="G210">
        <v>16500</v>
      </c>
    </row>
    <row r="211" spans="1:7" x14ac:dyDescent="0.25">
      <c r="A211">
        <v>1211</v>
      </c>
      <c r="C211">
        <v>9210010</v>
      </c>
      <c r="E211">
        <v>580</v>
      </c>
      <c r="G211">
        <v>1200</v>
      </c>
    </row>
    <row r="212" spans="1:7" x14ac:dyDescent="0.25">
      <c r="A212">
        <v>1211</v>
      </c>
      <c r="C212">
        <v>9210010</v>
      </c>
      <c r="E212">
        <v>610</v>
      </c>
      <c r="G212">
        <v>25000</v>
      </c>
    </row>
    <row r="213" spans="1:7" x14ac:dyDescent="0.25">
      <c r="A213">
        <v>1211</v>
      </c>
      <c r="C213">
        <v>9210010</v>
      </c>
      <c r="E213">
        <v>615</v>
      </c>
      <c r="G213">
        <v>10000</v>
      </c>
    </row>
    <row r="214" spans="1:7" x14ac:dyDescent="0.25">
      <c r="A214">
        <v>1211</v>
      </c>
      <c r="C214">
        <v>9210010</v>
      </c>
      <c r="E214">
        <v>620</v>
      </c>
      <c r="G214">
        <v>4500</v>
      </c>
    </row>
    <row r="215" spans="1:7" x14ac:dyDescent="0.25">
      <c r="A215">
        <v>1211</v>
      </c>
      <c r="C215">
        <v>9210010</v>
      </c>
      <c r="E215">
        <v>655</v>
      </c>
      <c r="G215">
        <v>2000</v>
      </c>
    </row>
    <row r="216" spans="1:7" x14ac:dyDescent="0.25">
      <c r="A216">
        <v>1221</v>
      </c>
      <c r="C216">
        <v>9210010</v>
      </c>
      <c r="E216">
        <v>510</v>
      </c>
      <c r="G216">
        <v>1000</v>
      </c>
    </row>
    <row r="217" spans="1:7" x14ac:dyDescent="0.25">
      <c r="A217">
        <v>1221</v>
      </c>
      <c r="C217">
        <v>9210010</v>
      </c>
      <c r="E217">
        <v>520</v>
      </c>
      <c r="G217">
        <v>6000</v>
      </c>
    </row>
    <row r="218" spans="1:7" x14ac:dyDescent="0.25">
      <c r="A218">
        <v>1221</v>
      </c>
      <c r="C218">
        <v>9210010</v>
      </c>
      <c r="E218">
        <v>540</v>
      </c>
      <c r="G218">
        <v>20000</v>
      </c>
    </row>
    <row r="219" spans="1:7" x14ac:dyDescent="0.25">
      <c r="A219">
        <v>1221</v>
      </c>
      <c r="C219">
        <v>9210010</v>
      </c>
      <c r="E219">
        <v>610</v>
      </c>
      <c r="G219">
        <v>25000</v>
      </c>
    </row>
    <row r="220" spans="1:7" x14ac:dyDescent="0.25">
      <c r="A220">
        <v>1221</v>
      </c>
      <c r="C220">
        <v>9210010</v>
      </c>
      <c r="E220">
        <v>620</v>
      </c>
      <c r="G220">
        <v>1000</v>
      </c>
    </row>
    <row r="221" spans="1:7" x14ac:dyDescent="0.25">
      <c r="A221">
        <v>1221</v>
      </c>
      <c r="C221">
        <v>9210010</v>
      </c>
      <c r="E221">
        <v>655</v>
      </c>
      <c r="G221">
        <v>2500</v>
      </c>
    </row>
    <row r="222" spans="1:7" x14ac:dyDescent="0.25">
      <c r="A222">
        <v>1231</v>
      </c>
      <c r="C222">
        <v>9210010</v>
      </c>
      <c r="E222">
        <v>510</v>
      </c>
      <c r="G222">
        <v>1500</v>
      </c>
    </row>
    <row r="223" spans="1:7" x14ac:dyDescent="0.25">
      <c r="A223">
        <v>1231</v>
      </c>
      <c r="C223">
        <v>9210010</v>
      </c>
      <c r="E223">
        <v>520</v>
      </c>
      <c r="G223">
        <v>14000</v>
      </c>
    </row>
    <row r="224" spans="1:7" x14ac:dyDescent="0.25">
      <c r="A224">
        <v>1231</v>
      </c>
      <c r="C224">
        <v>9210010</v>
      </c>
      <c r="E224">
        <v>540</v>
      </c>
      <c r="G224">
        <v>12000</v>
      </c>
    </row>
    <row r="225" spans="1:7" x14ac:dyDescent="0.25">
      <c r="A225">
        <v>1231</v>
      </c>
      <c r="C225">
        <v>9210010</v>
      </c>
      <c r="E225">
        <v>610</v>
      </c>
      <c r="G225">
        <v>25000</v>
      </c>
    </row>
    <row r="226" spans="1:7" x14ac:dyDescent="0.25">
      <c r="A226">
        <v>1231</v>
      </c>
      <c r="C226">
        <v>9210010</v>
      </c>
      <c r="E226">
        <v>620</v>
      </c>
      <c r="G226">
        <v>1000</v>
      </c>
    </row>
    <row r="227" spans="1:7" x14ac:dyDescent="0.25">
      <c r="A227">
        <v>1231</v>
      </c>
      <c r="C227">
        <v>9210010</v>
      </c>
      <c r="E227">
        <v>655</v>
      </c>
      <c r="G227">
        <v>2500</v>
      </c>
    </row>
    <row r="228" spans="1:7" x14ac:dyDescent="0.25">
      <c r="A228">
        <v>1311</v>
      </c>
      <c r="C228">
        <v>9210010</v>
      </c>
      <c r="E228">
        <v>510</v>
      </c>
      <c r="G228">
        <v>1500</v>
      </c>
    </row>
    <row r="229" spans="1:7" x14ac:dyDescent="0.25">
      <c r="A229">
        <v>1311</v>
      </c>
      <c r="C229">
        <v>9210010</v>
      </c>
      <c r="E229">
        <v>520</v>
      </c>
      <c r="G229">
        <v>4500</v>
      </c>
    </row>
    <row r="230" spans="1:7" x14ac:dyDescent="0.25">
      <c r="A230">
        <v>1311</v>
      </c>
      <c r="C230">
        <v>9210010</v>
      </c>
      <c r="E230">
        <v>540</v>
      </c>
      <c r="G230">
        <v>7500</v>
      </c>
    </row>
    <row r="231" spans="1:7" x14ac:dyDescent="0.25">
      <c r="A231">
        <v>1311</v>
      </c>
      <c r="C231">
        <v>9210010</v>
      </c>
      <c r="E231">
        <v>610</v>
      </c>
      <c r="G231">
        <v>67500</v>
      </c>
    </row>
    <row r="232" spans="1:7" x14ac:dyDescent="0.25">
      <c r="A232">
        <v>1311</v>
      </c>
      <c r="C232">
        <v>9210010</v>
      </c>
      <c r="E232">
        <v>615</v>
      </c>
      <c r="G232">
        <v>25000</v>
      </c>
    </row>
    <row r="233" spans="1:7" x14ac:dyDescent="0.25">
      <c r="A233">
        <v>1311</v>
      </c>
      <c r="C233">
        <v>9210010</v>
      </c>
      <c r="E233">
        <v>620</v>
      </c>
      <c r="G233">
        <v>13000</v>
      </c>
    </row>
    <row r="234" spans="1:7" x14ac:dyDescent="0.25">
      <c r="A234">
        <v>1311</v>
      </c>
      <c r="C234">
        <v>9210010</v>
      </c>
      <c r="E234">
        <v>660</v>
      </c>
      <c r="G234">
        <v>122000</v>
      </c>
    </row>
    <row r="235" spans="1:7" x14ac:dyDescent="0.25">
      <c r="A235">
        <v>1321</v>
      </c>
      <c r="C235">
        <v>9210010</v>
      </c>
      <c r="E235">
        <v>510</v>
      </c>
      <c r="G235">
        <v>8000</v>
      </c>
    </row>
    <row r="236" spans="1:7" x14ac:dyDescent="0.25">
      <c r="A236">
        <f>A235</f>
        <v>1321</v>
      </c>
      <c r="C236">
        <v>9210010</v>
      </c>
      <c r="E236">
        <v>510</v>
      </c>
      <c r="G236">
        <v>2000</v>
      </c>
    </row>
    <row r="237" spans="1:7" x14ac:dyDescent="0.25">
      <c r="A237">
        <v>1321</v>
      </c>
      <c r="C237">
        <v>9210010</v>
      </c>
      <c r="E237">
        <v>520</v>
      </c>
      <c r="G237">
        <v>24000</v>
      </c>
    </row>
    <row r="238" spans="1:7" x14ac:dyDescent="0.25">
      <c r="A238">
        <f>A237</f>
        <v>1321</v>
      </c>
      <c r="C238">
        <v>9210010</v>
      </c>
      <c r="E238">
        <v>520</v>
      </c>
      <c r="G238">
        <v>6000</v>
      </c>
    </row>
    <row r="239" spans="1:7" x14ac:dyDescent="0.25">
      <c r="A239">
        <v>1321</v>
      </c>
      <c r="C239">
        <v>9210010</v>
      </c>
      <c r="E239">
        <v>540</v>
      </c>
      <c r="G239">
        <v>40000</v>
      </c>
    </row>
    <row r="240" spans="1:7" x14ac:dyDescent="0.25">
      <c r="A240">
        <f>A239</f>
        <v>1321</v>
      </c>
      <c r="C240">
        <v>9210010</v>
      </c>
      <c r="E240">
        <v>540</v>
      </c>
      <c r="G240">
        <v>10000</v>
      </c>
    </row>
    <row r="241" spans="1:10" x14ac:dyDescent="0.25">
      <c r="A241">
        <v>1411</v>
      </c>
      <c r="C241">
        <v>9210010</v>
      </c>
      <c r="E241">
        <v>510</v>
      </c>
      <c r="G241">
        <v>1000</v>
      </c>
      <c r="J241">
        <f>SUM(G229:G241)</f>
        <v>330500</v>
      </c>
    </row>
    <row r="242" spans="1:10" x14ac:dyDescent="0.25">
      <c r="A242">
        <v>1411</v>
      </c>
      <c r="C242">
        <v>9210010</v>
      </c>
      <c r="E242">
        <v>520</v>
      </c>
      <c r="G242">
        <v>20000</v>
      </c>
    </row>
    <row r="243" spans="1:10" x14ac:dyDescent="0.25">
      <c r="A243">
        <v>1411</v>
      </c>
      <c r="C243">
        <v>9210010</v>
      </c>
      <c r="E243">
        <v>540</v>
      </c>
      <c r="G243">
        <v>4000</v>
      </c>
    </row>
    <row r="244" spans="1:10" x14ac:dyDescent="0.25">
      <c r="A244">
        <v>1411</v>
      </c>
      <c r="C244">
        <v>9210010</v>
      </c>
      <c r="E244">
        <v>550</v>
      </c>
      <c r="G244">
        <v>30000</v>
      </c>
    </row>
    <row r="245" spans="1:10" x14ac:dyDescent="0.25">
      <c r="A245">
        <v>1411</v>
      </c>
      <c r="C245">
        <v>9210010</v>
      </c>
      <c r="E245">
        <v>560</v>
      </c>
      <c r="G245">
        <v>3000</v>
      </c>
    </row>
    <row r="246" spans="1:10" x14ac:dyDescent="0.25">
      <c r="A246">
        <v>1411</v>
      </c>
      <c r="C246">
        <v>9210010</v>
      </c>
      <c r="E246">
        <v>580</v>
      </c>
      <c r="G246">
        <v>2000</v>
      </c>
    </row>
    <row r="247" spans="1:10" x14ac:dyDescent="0.25">
      <c r="A247">
        <v>1411</v>
      </c>
      <c r="C247">
        <v>9210010</v>
      </c>
      <c r="E247">
        <v>610</v>
      </c>
      <c r="G247">
        <v>12000</v>
      </c>
    </row>
    <row r="248" spans="1:10" x14ac:dyDescent="0.25">
      <c r="A248">
        <v>1411</v>
      </c>
      <c r="C248">
        <v>9210010</v>
      </c>
      <c r="E248">
        <v>615</v>
      </c>
      <c r="G248">
        <v>3000</v>
      </c>
    </row>
    <row r="249" spans="1:10" x14ac:dyDescent="0.25">
      <c r="A249">
        <v>1411</v>
      </c>
      <c r="C249">
        <v>9210010</v>
      </c>
      <c r="E249">
        <v>655</v>
      </c>
      <c r="G249">
        <v>1000</v>
      </c>
    </row>
    <row r="250" spans="1:10" x14ac:dyDescent="0.25">
      <c r="A250">
        <v>1411</v>
      </c>
      <c r="C250">
        <v>9210010</v>
      </c>
      <c r="E250">
        <v>670</v>
      </c>
      <c r="G250">
        <v>2000</v>
      </c>
    </row>
    <row r="251" spans="1:10" x14ac:dyDescent="0.25">
      <c r="A251">
        <v>1421</v>
      </c>
      <c r="C251">
        <v>9210010</v>
      </c>
      <c r="E251">
        <v>510</v>
      </c>
      <c r="G251">
        <v>1000</v>
      </c>
    </row>
    <row r="252" spans="1:10" x14ac:dyDescent="0.25">
      <c r="A252">
        <v>1421</v>
      </c>
      <c r="C252">
        <v>9210010</v>
      </c>
      <c r="E252">
        <v>520</v>
      </c>
      <c r="G252">
        <v>30000</v>
      </c>
    </row>
    <row r="253" spans="1:10" x14ac:dyDescent="0.25">
      <c r="A253">
        <v>1421</v>
      </c>
      <c r="C253">
        <v>9210010</v>
      </c>
      <c r="E253">
        <v>540</v>
      </c>
      <c r="G253">
        <v>21000</v>
      </c>
    </row>
    <row r="254" spans="1:10" x14ac:dyDescent="0.25">
      <c r="A254">
        <v>1421</v>
      </c>
      <c r="C254">
        <v>9210010</v>
      </c>
      <c r="E254">
        <v>550</v>
      </c>
      <c r="G254">
        <v>6000</v>
      </c>
    </row>
    <row r="255" spans="1:10" x14ac:dyDescent="0.25">
      <c r="A255">
        <v>1421</v>
      </c>
      <c r="C255">
        <v>9210010</v>
      </c>
      <c r="E255">
        <v>580</v>
      </c>
      <c r="G255">
        <v>1200</v>
      </c>
    </row>
    <row r="256" spans="1:10" x14ac:dyDescent="0.25">
      <c r="A256">
        <v>1421</v>
      </c>
      <c r="C256">
        <v>9210010</v>
      </c>
      <c r="E256">
        <v>610</v>
      </c>
      <c r="G256">
        <v>4000</v>
      </c>
    </row>
    <row r="257" spans="1:7" x14ac:dyDescent="0.25">
      <c r="A257">
        <v>1421</v>
      </c>
      <c r="C257">
        <v>9210010</v>
      </c>
      <c r="E257">
        <v>615</v>
      </c>
      <c r="G257">
        <v>30000</v>
      </c>
    </row>
    <row r="258" spans="1:7" x14ac:dyDescent="0.25">
      <c r="A258">
        <v>1421</v>
      </c>
      <c r="C258">
        <v>9210010</v>
      </c>
      <c r="E258">
        <v>620</v>
      </c>
      <c r="G258">
        <v>4000</v>
      </c>
    </row>
    <row r="259" spans="1:7" x14ac:dyDescent="0.25">
      <c r="A259">
        <v>1421</v>
      </c>
      <c r="C259">
        <v>9210010</v>
      </c>
      <c r="E259">
        <v>670</v>
      </c>
      <c r="G259">
        <v>1000</v>
      </c>
    </row>
    <row r="260" spans="1:7" x14ac:dyDescent="0.25">
      <c r="A260">
        <v>1431</v>
      </c>
      <c r="C260">
        <v>9210010</v>
      </c>
      <c r="E260">
        <v>510</v>
      </c>
      <c r="G260">
        <v>600</v>
      </c>
    </row>
    <row r="261" spans="1:7" x14ac:dyDescent="0.25">
      <c r="A261">
        <v>1431</v>
      </c>
      <c r="C261">
        <v>9210010</v>
      </c>
      <c r="E261">
        <v>520</v>
      </c>
      <c r="G261">
        <v>23000</v>
      </c>
    </row>
    <row r="262" spans="1:7" x14ac:dyDescent="0.25">
      <c r="A262">
        <v>1431</v>
      </c>
      <c r="C262">
        <v>9210010</v>
      </c>
      <c r="E262">
        <v>540</v>
      </c>
      <c r="G262">
        <v>19000</v>
      </c>
    </row>
    <row r="263" spans="1:7" x14ac:dyDescent="0.25">
      <c r="A263">
        <v>1431</v>
      </c>
      <c r="C263">
        <v>9210010</v>
      </c>
      <c r="E263">
        <v>550</v>
      </c>
      <c r="G263">
        <v>4000</v>
      </c>
    </row>
    <row r="264" spans="1:7" x14ac:dyDescent="0.25">
      <c r="A264">
        <v>1431</v>
      </c>
      <c r="C264">
        <v>9210010</v>
      </c>
      <c r="E264">
        <v>580</v>
      </c>
      <c r="G264">
        <v>500</v>
      </c>
    </row>
    <row r="265" spans="1:7" x14ac:dyDescent="0.25">
      <c r="A265">
        <v>1431</v>
      </c>
      <c r="C265">
        <v>9210010</v>
      </c>
      <c r="E265">
        <v>610</v>
      </c>
      <c r="G265">
        <v>8000</v>
      </c>
    </row>
    <row r="266" spans="1:7" x14ac:dyDescent="0.25">
      <c r="A266">
        <v>1431</v>
      </c>
      <c r="C266">
        <v>9210010</v>
      </c>
      <c r="E266">
        <v>615</v>
      </c>
      <c r="G266">
        <v>40000</v>
      </c>
    </row>
    <row r="267" spans="1:7" x14ac:dyDescent="0.25">
      <c r="A267">
        <v>1431</v>
      </c>
      <c r="C267">
        <v>9210010</v>
      </c>
      <c r="E267">
        <v>620</v>
      </c>
      <c r="G267">
        <v>5000</v>
      </c>
    </row>
    <row r="268" spans="1:7" x14ac:dyDescent="0.25">
      <c r="A268">
        <v>1431</v>
      </c>
      <c r="C268">
        <v>9210010</v>
      </c>
      <c r="E268">
        <v>655</v>
      </c>
      <c r="G268">
        <v>500</v>
      </c>
    </row>
    <row r="269" spans="1:7" x14ac:dyDescent="0.25">
      <c r="A269">
        <v>1431</v>
      </c>
      <c r="C269">
        <v>9210010</v>
      </c>
      <c r="E269">
        <v>670</v>
      </c>
      <c r="G269">
        <v>500</v>
      </c>
    </row>
    <row r="270" spans="1:7" x14ac:dyDescent="0.25">
      <c r="A270">
        <v>1441</v>
      </c>
      <c r="C270">
        <v>9210010</v>
      </c>
      <c r="E270">
        <v>520</v>
      </c>
      <c r="G270">
        <v>30000</v>
      </c>
    </row>
    <row r="271" spans="1:7" x14ac:dyDescent="0.25">
      <c r="A271">
        <v>1441</v>
      </c>
      <c r="C271">
        <v>9210010</v>
      </c>
      <c r="E271">
        <v>540</v>
      </c>
      <c r="G271">
        <v>22000</v>
      </c>
    </row>
    <row r="272" spans="1:7" x14ac:dyDescent="0.25">
      <c r="A272">
        <v>1441</v>
      </c>
      <c r="C272">
        <v>9210010</v>
      </c>
      <c r="E272">
        <v>550</v>
      </c>
      <c r="G272">
        <v>15000</v>
      </c>
    </row>
    <row r="273" spans="1:7" x14ac:dyDescent="0.25">
      <c r="A273">
        <v>1441</v>
      </c>
      <c r="C273">
        <v>9210010</v>
      </c>
      <c r="E273">
        <v>610</v>
      </c>
      <c r="G273">
        <v>17000</v>
      </c>
    </row>
    <row r="274" spans="1:7" x14ac:dyDescent="0.25">
      <c r="A274">
        <v>1441</v>
      </c>
      <c r="C274">
        <v>9210010</v>
      </c>
      <c r="E274">
        <v>615</v>
      </c>
      <c r="G274">
        <v>1000</v>
      </c>
    </row>
    <row r="275" spans="1:7" x14ac:dyDescent="0.25">
      <c r="A275">
        <v>1441</v>
      </c>
      <c r="C275">
        <v>9210010</v>
      </c>
      <c r="E275">
        <v>655</v>
      </c>
      <c r="G275">
        <v>2000</v>
      </c>
    </row>
    <row r="276" spans="1:7" x14ac:dyDescent="0.25">
      <c r="A276">
        <v>1441</v>
      </c>
      <c r="C276">
        <v>9210010</v>
      </c>
      <c r="E276">
        <v>665</v>
      </c>
      <c r="G276">
        <v>588000</v>
      </c>
    </row>
    <row r="277" spans="1:7" x14ac:dyDescent="0.25">
      <c r="A277">
        <v>1441</v>
      </c>
      <c r="C277">
        <v>9210010</v>
      </c>
      <c r="E277">
        <v>670</v>
      </c>
      <c r="G277">
        <v>3000</v>
      </c>
    </row>
    <row r="278" spans="1:7" x14ac:dyDescent="0.25">
      <c r="A278">
        <v>1451</v>
      </c>
      <c r="C278">
        <v>9210010</v>
      </c>
      <c r="E278">
        <v>510</v>
      </c>
      <c r="G278">
        <v>500</v>
      </c>
    </row>
    <row r="279" spans="1:7" x14ac:dyDescent="0.25">
      <c r="A279">
        <v>1451</v>
      </c>
      <c r="C279">
        <v>9210010</v>
      </c>
      <c r="E279">
        <v>520</v>
      </c>
      <c r="G279">
        <v>21500</v>
      </c>
    </row>
    <row r="280" spans="1:7" x14ac:dyDescent="0.25">
      <c r="A280">
        <v>1451</v>
      </c>
      <c r="C280">
        <v>9210010</v>
      </c>
      <c r="E280">
        <v>540</v>
      </c>
      <c r="G280">
        <v>15000</v>
      </c>
    </row>
    <row r="281" spans="1:7" x14ac:dyDescent="0.25">
      <c r="A281">
        <v>1451</v>
      </c>
      <c r="C281">
        <v>9210010</v>
      </c>
      <c r="E281">
        <v>550</v>
      </c>
      <c r="G281">
        <v>7000</v>
      </c>
    </row>
    <row r="282" spans="1:7" x14ac:dyDescent="0.25">
      <c r="A282">
        <v>1451</v>
      </c>
      <c r="C282">
        <v>9210010</v>
      </c>
      <c r="E282">
        <v>560</v>
      </c>
      <c r="G282">
        <v>37000</v>
      </c>
    </row>
    <row r="283" spans="1:7" x14ac:dyDescent="0.25">
      <c r="A283">
        <v>1451</v>
      </c>
      <c r="C283">
        <v>9210010</v>
      </c>
      <c r="E283">
        <v>610</v>
      </c>
      <c r="G283">
        <v>21000</v>
      </c>
    </row>
    <row r="284" spans="1:7" x14ac:dyDescent="0.25">
      <c r="A284">
        <v>1451</v>
      </c>
      <c r="C284">
        <v>9210010</v>
      </c>
      <c r="E284">
        <v>615</v>
      </c>
      <c r="G284">
        <v>1000</v>
      </c>
    </row>
    <row r="285" spans="1:7" x14ac:dyDescent="0.25">
      <c r="A285">
        <v>1451</v>
      </c>
      <c r="C285">
        <v>9210010</v>
      </c>
      <c r="E285">
        <v>620</v>
      </c>
      <c r="G285">
        <v>1000</v>
      </c>
    </row>
    <row r="286" spans="1:7" x14ac:dyDescent="0.25">
      <c r="A286">
        <v>1451</v>
      </c>
      <c r="C286">
        <v>9210010</v>
      </c>
      <c r="E286">
        <v>655</v>
      </c>
      <c r="G286">
        <v>2000</v>
      </c>
    </row>
    <row r="287" spans="1:7" x14ac:dyDescent="0.25">
      <c r="A287">
        <v>1451</v>
      </c>
      <c r="C287">
        <v>9210010</v>
      </c>
      <c r="E287">
        <v>670</v>
      </c>
      <c r="G287">
        <v>1000</v>
      </c>
    </row>
    <row r="288" spans="1:7" x14ac:dyDescent="0.25">
      <c r="A288">
        <v>1611</v>
      </c>
      <c r="C288">
        <v>9210010</v>
      </c>
      <c r="E288">
        <v>510</v>
      </c>
      <c r="G288">
        <v>500</v>
      </c>
    </row>
    <row r="289" spans="1:7" x14ac:dyDescent="0.25">
      <c r="A289">
        <v>1611</v>
      </c>
      <c r="C289">
        <v>9210010</v>
      </c>
      <c r="E289">
        <v>520</v>
      </c>
      <c r="G289">
        <v>25000</v>
      </c>
    </row>
    <row r="290" spans="1:7" x14ac:dyDescent="0.25">
      <c r="A290">
        <v>1611</v>
      </c>
      <c r="C290">
        <v>9210010</v>
      </c>
      <c r="E290">
        <v>540</v>
      </c>
      <c r="G290">
        <v>4500</v>
      </c>
    </row>
    <row r="291" spans="1:7" x14ac:dyDescent="0.25">
      <c r="A291">
        <v>1611</v>
      </c>
      <c r="C291">
        <v>9210010</v>
      </c>
      <c r="E291">
        <v>580</v>
      </c>
      <c r="G291">
        <v>1000</v>
      </c>
    </row>
    <row r="292" spans="1:7" x14ac:dyDescent="0.25">
      <c r="A292">
        <v>1611</v>
      </c>
      <c r="C292">
        <v>9210010</v>
      </c>
      <c r="E292">
        <v>610</v>
      </c>
      <c r="G292">
        <v>3000</v>
      </c>
    </row>
    <row r="293" spans="1:7" x14ac:dyDescent="0.25">
      <c r="A293">
        <v>1611</v>
      </c>
      <c r="C293">
        <v>9210010</v>
      </c>
      <c r="E293">
        <v>620</v>
      </c>
      <c r="G293">
        <v>5000</v>
      </c>
    </row>
    <row r="294" spans="1:7" x14ac:dyDescent="0.25">
      <c r="A294">
        <v>1611</v>
      </c>
      <c r="C294">
        <v>9210010</v>
      </c>
      <c r="E294">
        <v>655</v>
      </c>
      <c r="G294">
        <v>3000</v>
      </c>
    </row>
    <row r="295" spans="1:7" x14ac:dyDescent="0.25">
      <c r="A295">
        <v>1611</v>
      </c>
      <c r="C295">
        <v>9210010</v>
      </c>
      <c r="E295">
        <v>670</v>
      </c>
      <c r="G295">
        <v>3000</v>
      </c>
    </row>
    <row r="296" spans="1:7" x14ac:dyDescent="0.25">
      <c r="A296">
        <v>1621</v>
      </c>
      <c r="C296">
        <v>9210010</v>
      </c>
      <c r="E296">
        <v>520</v>
      </c>
      <c r="G296">
        <v>10000</v>
      </c>
    </row>
    <row r="297" spans="1:7" x14ac:dyDescent="0.25">
      <c r="A297">
        <v>1621</v>
      </c>
      <c r="C297">
        <v>9210010</v>
      </c>
      <c r="E297">
        <v>540</v>
      </c>
      <c r="G297">
        <v>27000</v>
      </c>
    </row>
    <row r="298" spans="1:7" x14ac:dyDescent="0.25">
      <c r="A298">
        <v>1621</v>
      </c>
      <c r="C298">
        <v>9210010</v>
      </c>
      <c r="E298">
        <v>580</v>
      </c>
      <c r="G298">
        <v>1500</v>
      </c>
    </row>
    <row r="299" spans="1:7" x14ac:dyDescent="0.25">
      <c r="A299">
        <v>1621</v>
      </c>
      <c r="C299">
        <v>9210010</v>
      </c>
      <c r="E299">
        <v>610</v>
      </c>
      <c r="G299">
        <v>3000</v>
      </c>
    </row>
    <row r="300" spans="1:7" x14ac:dyDescent="0.25">
      <c r="A300">
        <v>1621</v>
      </c>
      <c r="C300">
        <v>9210010</v>
      </c>
      <c r="E300">
        <v>615</v>
      </c>
      <c r="G300">
        <v>3000</v>
      </c>
    </row>
    <row r="301" spans="1:7" x14ac:dyDescent="0.25">
      <c r="A301">
        <v>1621</v>
      </c>
      <c r="C301">
        <v>9210010</v>
      </c>
      <c r="E301">
        <v>620</v>
      </c>
      <c r="G301">
        <v>5000</v>
      </c>
    </row>
    <row r="302" spans="1:7" x14ac:dyDescent="0.25">
      <c r="A302">
        <v>1621</v>
      </c>
      <c r="C302">
        <v>9210010</v>
      </c>
      <c r="E302">
        <v>655</v>
      </c>
      <c r="G302">
        <v>100000</v>
      </c>
    </row>
    <row r="303" spans="1:7" x14ac:dyDescent="0.25">
      <c r="A303">
        <v>1621</v>
      </c>
      <c r="C303">
        <v>9210010</v>
      </c>
      <c r="E303">
        <v>670</v>
      </c>
      <c r="G303">
        <v>2500</v>
      </c>
    </row>
    <row r="304" spans="1:7" x14ac:dyDescent="0.25">
      <c r="A304">
        <v>1631</v>
      </c>
      <c r="C304">
        <v>9210010</v>
      </c>
      <c r="E304">
        <v>130</v>
      </c>
      <c r="G304">
        <v>1163000</v>
      </c>
    </row>
    <row r="305" spans="1:7" x14ac:dyDescent="0.25">
      <c r="A305">
        <v>1631</v>
      </c>
      <c r="C305">
        <v>9210010</v>
      </c>
      <c r="E305">
        <v>510</v>
      </c>
      <c r="G305">
        <v>1500</v>
      </c>
    </row>
    <row r="306" spans="1:7" x14ac:dyDescent="0.25">
      <c r="A306">
        <v>1631</v>
      </c>
      <c r="C306">
        <v>9210010</v>
      </c>
      <c r="E306">
        <v>520</v>
      </c>
      <c r="G306">
        <v>100000</v>
      </c>
    </row>
    <row r="307" spans="1:7" x14ac:dyDescent="0.25">
      <c r="A307">
        <v>1631</v>
      </c>
      <c r="C307">
        <v>9210010</v>
      </c>
      <c r="E307">
        <v>540</v>
      </c>
      <c r="G307">
        <v>24000</v>
      </c>
    </row>
    <row r="308" spans="1:7" x14ac:dyDescent="0.25">
      <c r="A308">
        <v>1631</v>
      </c>
      <c r="C308">
        <v>9210010</v>
      </c>
      <c r="E308">
        <v>550</v>
      </c>
      <c r="G308">
        <v>4000</v>
      </c>
    </row>
    <row r="309" spans="1:7" x14ac:dyDescent="0.25">
      <c r="A309">
        <v>1631</v>
      </c>
      <c r="C309">
        <v>9210010</v>
      </c>
      <c r="E309">
        <v>560</v>
      </c>
      <c r="G309">
        <v>2500</v>
      </c>
    </row>
    <row r="310" spans="1:7" x14ac:dyDescent="0.25">
      <c r="A310">
        <v>1631</v>
      </c>
      <c r="C310">
        <v>9210010</v>
      </c>
      <c r="E310">
        <v>580</v>
      </c>
      <c r="G310">
        <v>2500</v>
      </c>
    </row>
    <row r="311" spans="1:7" x14ac:dyDescent="0.25">
      <c r="A311">
        <v>1631</v>
      </c>
      <c r="C311">
        <v>9210010</v>
      </c>
      <c r="E311">
        <v>610</v>
      </c>
      <c r="G311">
        <v>8000</v>
      </c>
    </row>
    <row r="312" spans="1:7" x14ac:dyDescent="0.25">
      <c r="A312">
        <v>1631</v>
      </c>
      <c r="C312">
        <v>9210010</v>
      </c>
      <c r="E312">
        <v>615</v>
      </c>
      <c r="G312">
        <v>10000</v>
      </c>
    </row>
    <row r="313" spans="1:7" x14ac:dyDescent="0.25">
      <c r="A313">
        <v>1631</v>
      </c>
      <c r="C313">
        <v>9210010</v>
      </c>
      <c r="E313">
        <v>620</v>
      </c>
      <c r="G313">
        <v>25000</v>
      </c>
    </row>
    <row r="314" spans="1:7" x14ac:dyDescent="0.25">
      <c r="A314">
        <v>1631</v>
      </c>
      <c r="C314">
        <v>9210010</v>
      </c>
      <c r="E314">
        <v>655</v>
      </c>
      <c r="G314">
        <v>10000</v>
      </c>
    </row>
    <row r="315" spans="1:7" x14ac:dyDescent="0.25">
      <c r="A315">
        <v>1631</v>
      </c>
      <c r="C315">
        <v>9210010</v>
      </c>
      <c r="E315">
        <v>670</v>
      </c>
      <c r="G315">
        <v>5000</v>
      </c>
    </row>
    <row r="316" spans="1:7" x14ac:dyDescent="0.25">
      <c r="A316">
        <v>1641</v>
      </c>
      <c r="C316">
        <v>9210010</v>
      </c>
      <c r="E316">
        <v>510</v>
      </c>
      <c r="G316">
        <v>300</v>
      </c>
    </row>
    <row r="317" spans="1:7" x14ac:dyDescent="0.25">
      <c r="A317">
        <v>1641</v>
      </c>
      <c r="C317">
        <v>9210010</v>
      </c>
      <c r="E317">
        <v>520</v>
      </c>
      <c r="G317">
        <v>30000</v>
      </c>
    </row>
    <row r="318" spans="1:7" x14ac:dyDescent="0.25">
      <c r="A318">
        <v>1641</v>
      </c>
      <c r="C318">
        <v>9210010</v>
      </c>
      <c r="E318">
        <v>540</v>
      </c>
      <c r="G318">
        <v>30000</v>
      </c>
    </row>
    <row r="319" spans="1:7" x14ac:dyDescent="0.25">
      <c r="A319">
        <v>1641</v>
      </c>
      <c r="C319">
        <v>9210010</v>
      </c>
      <c r="E319">
        <v>550</v>
      </c>
      <c r="G319">
        <v>30000</v>
      </c>
    </row>
    <row r="320" spans="1:7" x14ac:dyDescent="0.25">
      <c r="A320">
        <v>1641</v>
      </c>
      <c r="C320">
        <v>9210010</v>
      </c>
      <c r="E320">
        <v>610</v>
      </c>
      <c r="G320">
        <v>7000</v>
      </c>
    </row>
    <row r="321" spans="1:7" x14ac:dyDescent="0.25">
      <c r="A321">
        <v>1641</v>
      </c>
      <c r="C321">
        <v>9210010</v>
      </c>
      <c r="E321">
        <v>615</v>
      </c>
      <c r="G321">
        <v>3000</v>
      </c>
    </row>
    <row r="322" spans="1:7" x14ac:dyDescent="0.25">
      <c r="A322">
        <v>1641</v>
      </c>
      <c r="C322">
        <v>9210010</v>
      </c>
      <c r="E322">
        <v>620</v>
      </c>
      <c r="G322">
        <v>6000</v>
      </c>
    </row>
    <row r="323" spans="1:7" x14ac:dyDescent="0.25">
      <c r="A323">
        <v>1641</v>
      </c>
      <c r="C323">
        <v>9210010</v>
      </c>
      <c r="E323">
        <v>655</v>
      </c>
      <c r="G323">
        <v>5000</v>
      </c>
    </row>
    <row r="324" spans="1:7" x14ac:dyDescent="0.25">
      <c r="A324">
        <v>1641</v>
      </c>
      <c r="C324">
        <v>9210010</v>
      </c>
      <c r="E324">
        <v>670</v>
      </c>
      <c r="G324">
        <v>1000</v>
      </c>
    </row>
    <row r="325" spans="1:7" x14ac:dyDescent="0.25">
      <c r="A325">
        <v>1651</v>
      </c>
      <c r="C325">
        <v>9210010</v>
      </c>
      <c r="E325">
        <v>520</v>
      </c>
      <c r="G325">
        <v>21000</v>
      </c>
    </row>
    <row r="326" spans="1:7" x14ac:dyDescent="0.25">
      <c r="A326">
        <v>1651</v>
      </c>
      <c r="C326">
        <v>9210010</v>
      </c>
      <c r="E326">
        <v>610</v>
      </c>
      <c r="G326">
        <v>12000</v>
      </c>
    </row>
    <row r="327" spans="1:7" x14ac:dyDescent="0.25">
      <c r="A327">
        <v>1651</v>
      </c>
      <c r="C327">
        <v>9210010</v>
      </c>
      <c r="E327">
        <v>615</v>
      </c>
      <c r="G327">
        <v>24000</v>
      </c>
    </row>
    <row r="328" spans="1:7" x14ac:dyDescent="0.25">
      <c r="A328">
        <v>1651</v>
      </c>
      <c r="C328">
        <v>9210010</v>
      </c>
      <c r="E328">
        <v>620</v>
      </c>
      <c r="G328">
        <v>1000</v>
      </c>
    </row>
    <row r="329" spans="1:7" x14ac:dyDescent="0.25">
      <c r="A329">
        <v>1651</v>
      </c>
      <c r="C329">
        <v>9210010</v>
      </c>
      <c r="E329">
        <v>655</v>
      </c>
      <c r="G329">
        <v>15000</v>
      </c>
    </row>
    <row r="330" spans="1:7" x14ac:dyDescent="0.25">
      <c r="A330">
        <v>1651</v>
      </c>
      <c r="C330">
        <v>9210010</v>
      </c>
      <c r="E330">
        <v>670</v>
      </c>
      <c r="G330">
        <v>6000</v>
      </c>
    </row>
    <row r="331" spans="1:7" x14ac:dyDescent="0.25">
      <c r="A331">
        <v>1111</v>
      </c>
      <c r="C331">
        <v>9230010</v>
      </c>
      <c r="E331">
        <v>430</v>
      </c>
      <c r="G331">
        <v>100000</v>
      </c>
    </row>
    <row r="332" spans="1:7" x14ac:dyDescent="0.25">
      <c r="A332">
        <v>1211</v>
      </c>
      <c r="C332">
        <v>9230010</v>
      </c>
      <c r="E332">
        <v>430</v>
      </c>
      <c r="G332">
        <v>223000</v>
      </c>
    </row>
    <row r="333" spans="1:7" x14ac:dyDescent="0.25">
      <c r="A333">
        <v>1211</v>
      </c>
      <c r="C333">
        <v>9230010</v>
      </c>
      <c r="E333">
        <v>470</v>
      </c>
      <c r="G333">
        <v>100000</v>
      </c>
    </row>
    <row r="334" spans="1:7" x14ac:dyDescent="0.25">
      <c r="A334">
        <v>1221</v>
      </c>
      <c r="C334">
        <v>9230010</v>
      </c>
      <c r="E334">
        <v>430</v>
      </c>
      <c r="G334">
        <v>114000</v>
      </c>
    </row>
    <row r="335" spans="1:7" x14ac:dyDescent="0.25">
      <c r="A335">
        <v>1231</v>
      </c>
      <c r="C335">
        <v>9230010</v>
      </c>
      <c r="E335">
        <v>430</v>
      </c>
      <c r="G335">
        <v>10000</v>
      </c>
    </row>
    <row r="336" spans="1:7" x14ac:dyDescent="0.25">
      <c r="A336">
        <v>1311</v>
      </c>
      <c r="C336">
        <v>9230010</v>
      </c>
      <c r="E336">
        <v>430</v>
      </c>
      <c r="G336">
        <v>325000</v>
      </c>
    </row>
    <row r="337" spans="1:7" x14ac:dyDescent="0.25">
      <c r="A337">
        <v>1311</v>
      </c>
      <c r="C337">
        <v>9230010</v>
      </c>
      <c r="E337">
        <v>450</v>
      </c>
      <c r="G337">
        <v>1030000</v>
      </c>
    </row>
    <row r="338" spans="1:7" x14ac:dyDescent="0.25">
      <c r="A338">
        <v>1411</v>
      </c>
      <c r="C338">
        <v>9230010</v>
      </c>
      <c r="E338">
        <v>430</v>
      </c>
      <c r="G338">
        <v>300000</v>
      </c>
    </row>
    <row r="339" spans="1:7" x14ac:dyDescent="0.25">
      <c r="A339">
        <v>1421</v>
      </c>
      <c r="C339">
        <v>9230010</v>
      </c>
      <c r="E339">
        <v>430</v>
      </c>
      <c r="G339">
        <v>625000</v>
      </c>
    </row>
    <row r="340" spans="1:7" x14ac:dyDescent="0.25">
      <c r="A340">
        <v>1421</v>
      </c>
      <c r="C340">
        <v>9230010</v>
      </c>
      <c r="E340">
        <v>470</v>
      </c>
      <c r="G340">
        <v>1701000</v>
      </c>
    </row>
    <row r="341" spans="1:7" x14ac:dyDescent="0.25">
      <c r="A341">
        <v>1421</v>
      </c>
      <c r="C341">
        <v>9230010</v>
      </c>
      <c r="E341">
        <v>640</v>
      </c>
      <c r="G341">
        <v>120000</v>
      </c>
    </row>
    <row r="342" spans="1:7" x14ac:dyDescent="0.25">
      <c r="A342">
        <v>1431</v>
      </c>
      <c r="C342">
        <v>9230010</v>
      </c>
      <c r="E342">
        <v>470</v>
      </c>
      <c r="G342">
        <v>1575000</v>
      </c>
    </row>
    <row r="343" spans="1:7" x14ac:dyDescent="0.25">
      <c r="A343">
        <v>1431</v>
      </c>
      <c r="C343">
        <v>9230010</v>
      </c>
      <c r="E343">
        <v>640</v>
      </c>
      <c r="G343">
        <v>132000</v>
      </c>
    </row>
    <row r="344" spans="1:7" x14ac:dyDescent="0.25">
      <c r="A344">
        <v>1441</v>
      </c>
      <c r="C344">
        <v>9230010</v>
      </c>
      <c r="E344">
        <v>640</v>
      </c>
      <c r="G344">
        <v>24000</v>
      </c>
    </row>
    <row r="345" spans="1:7" x14ac:dyDescent="0.25">
      <c r="A345">
        <v>1451</v>
      </c>
      <c r="C345">
        <v>9230010</v>
      </c>
      <c r="E345">
        <v>430</v>
      </c>
      <c r="G345">
        <v>100000</v>
      </c>
    </row>
    <row r="346" spans="1:7" x14ac:dyDescent="0.25">
      <c r="A346">
        <v>1611</v>
      </c>
      <c r="C346">
        <v>9230010</v>
      </c>
      <c r="E346">
        <v>430</v>
      </c>
      <c r="G346">
        <v>25000</v>
      </c>
    </row>
    <row r="347" spans="1:7" x14ac:dyDescent="0.25">
      <c r="A347">
        <v>1621</v>
      </c>
      <c r="C347">
        <v>9230010</v>
      </c>
      <c r="E347">
        <v>430</v>
      </c>
      <c r="G347">
        <v>50000</v>
      </c>
    </row>
    <row r="348" spans="1:7" x14ac:dyDescent="0.25">
      <c r="A348">
        <v>1621</v>
      </c>
      <c r="C348">
        <v>9230010</v>
      </c>
      <c r="E348">
        <v>710</v>
      </c>
      <c r="G348">
        <v>50000</v>
      </c>
    </row>
    <row r="349" spans="1:7" x14ac:dyDescent="0.25">
      <c r="A349">
        <v>1631</v>
      </c>
      <c r="C349">
        <v>9230010</v>
      </c>
      <c r="E349">
        <v>450</v>
      </c>
      <c r="G349">
        <v>1000000</v>
      </c>
    </row>
    <row r="350" spans="1:7" x14ac:dyDescent="0.25">
      <c r="A350">
        <v>1641</v>
      </c>
      <c r="C350">
        <v>9230010</v>
      </c>
      <c r="E350">
        <v>430</v>
      </c>
      <c r="G350">
        <v>420000</v>
      </c>
    </row>
    <row r="351" spans="1:7" x14ac:dyDescent="0.25">
      <c r="A351">
        <v>1641</v>
      </c>
      <c r="C351">
        <v>9230010</v>
      </c>
      <c r="E351">
        <v>470</v>
      </c>
      <c r="G351">
        <v>280000</v>
      </c>
    </row>
    <row r="352" spans="1:7" x14ac:dyDescent="0.25">
      <c r="A352">
        <v>1651</v>
      </c>
      <c r="C352">
        <v>9230010</v>
      </c>
      <c r="E352">
        <v>470</v>
      </c>
      <c r="G352">
        <v>25000</v>
      </c>
    </row>
    <row r="353" spans="1:7" x14ac:dyDescent="0.25">
      <c r="A353">
        <v>1311</v>
      </c>
      <c r="C353">
        <v>9240010</v>
      </c>
      <c r="E353">
        <v>310</v>
      </c>
      <c r="G353">
        <f>50000+6000</f>
        <v>56000</v>
      </c>
    </row>
    <row r="354" spans="1:7" x14ac:dyDescent="0.25">
      <c r="A354">
        <v>1311</v>
      </c>
      <c r="C354">
        <v>9250010</v>
      </c>
      <c r="E354">
        <v>310</v>
      </c>
      <c r="G354">
        <f>768000-56000</f>
        <v>712000</v>
      </c>
    </row>
    <row r="355" spans="1:7" x14ac:dyDescent="0.25">
      <c r="A355">
        <v>1631</v>
      </c>
      <c r="C355">
        <v>9280010</v>
      </c>
      <c r="E355">
        <v>450</v>
      </c>
      <c r="G355">
        <f>4000000-1000000</f>
        <v>3000000</v>
      </c>
    </row>
    <row r="356" spans="1:7" x14ac:dyDescent="0.25">
      <c r="A356">
        <v>1211</v>
      </c>
      <c r="C356">
        <v>9300110</v>
      </c>
      <c r="E356">
        <v>650</v>
      </c>
      <c r="G356">
        <v>50000</v>
      </c>
    </row>
    <row r="357" spans="1:7" x14ac:dyDescent="0.25">
      <c r="A357">
        <v>1631</v>
      </c>
      <c r="C357">
        <v>9300240</v>
      </c>
      <c r="E357">
        <v>695</v>
      </c>
      <c r="G357">
        <v>1500000</v>
      </c>
    </row>
    <row r="358" spans="1:7" x14ac:dyDescent="0.25">
      <c r="A358">
        <v>1651</v>
      </c>
      <c r="C358">
        <v>9300251</v>
      </c>
      <c r="E358">
        <v>550</v>
      </c>
      <c r="G358">
        <v>124500</v>
      </c>
    </row>
    <row r="359" spans="1:7" x14ac:dyDescent="0.25">
      <c r="A359">
        <v>1651</v>
      </c>
      <c r="C359">
        <v>9300252</v>
      </c>
      <c r="E359">
        <v>680</v>
      </c>
      <c r="G359">
        <v>483300</v>
      </c>
    </row>
    <row r="360" spans="1:7" x14ac:dyDescent="0.25">
      <c r="A360">
        <v>1221</v>
      </c>
      <c r="C360">
        <v>9310010</v>
      </c>
      <c r="E360">
        <v>230</v>
      </c>
      <c r="G360">
        <v>250000</v>
      </c>
    </row>
    <row r="361" spans="1:7" x14ac:dyDescent="0.25">
      <c r="A361">
        <v>1231</v>
      </c>
      <c r="C361">
        <v>9310010</v>
      </c>
      <c r="E361">
        <v>220</v>
      </c>
      <c r="G361">
        <v>1641000</v>
      </c>
    </row>
    <row r="362" spans="1:7" x14ac:dyDescent="0.25">
      <c r="A362">
        <v>1431</v>
      </c>
      <c r="C362">
        <v>9310010</v>
      </c>
      <c r="E362">
        <v>220</v>
      </c>
      <c r="G362">
        <v>120000</v>
      </c>
    </row>
    <row r="363" spans="1:7" x14ac:dyDescent="0.25">
      <c r="A363">
        <v>1431</v>
      </c>
      <c r="C363">
        <v>9310010</v>
      </c>
      <c r="E363">
        <v>230</v>
      </c>
      <c r="G363">
        <v>652000</v>
      </c>
    </row>
    <row r="364" spans="1:7" x14ac:dyDescent="0.25">
      <c r="A364">
        <v>1431</v>
      </c>
      <c r="C364">
        <v>9310010</v>
      </c>
      <c r="E364">
        <v>410</v>
      </c>
      <c r="G364">
        <v>8400000</v>
      </c>
    </row>
    <row r="365" spans="1:7" x14ac:dyDescent="0.25">
      <c r="A365">
        <v>1221</v>
      </c>
      <c r="C365">
        <v>9350010</v>
      </c>
      <c r="E365">
        <v>240</v>
      </c>
      <c r="G365">
        <v>874000</v>
      </c>
    </row>
    <row r="366" spans="1:7" x14ac:dyDescent="0.25">
      <c r="A366">
        <v>1231</v>
      </c>
      <c r="C366">
        <v>9350010</v>
      </c>
      <c r="E366">
        <v>240</v>
      </c>
      <c r="G366">
        <v>1428000</v>
      </c>
    </row>
    <row r="367" spans="1:7" x14ac:dyDescent="0.25">
      <c r="A367">
        <v>1421</v>
      </c>
      <c r="C367">
        <v>9350010</v>
      </c>
      <c r="E367">
        <v>445</v>
      </c>
      <c r="G367">
        <v>353000</v>
      </c>
    </row>
    <row r="368" spans="1:7" x14ac:dyDescent="0.25">
      <c r="A368">
        <v>1431</v>
      </c>
      <c r="C368">
        <v>9350010</v>
      </c>
      <c r="E368">
        <v>440</v>
      </c>
      <c r="G368">
        <v>300000</v>
      </c>
    </row>
    <row r="369" spans="1:7" x14ac:dyDescent="0.25">
      <c r="A369">
        <v>1431</v>
      </c>
      <c r="C369">
        <v>9350010</v>
      </c>
      <c r="E369">
        <v>445</v>
      </c>
      <c r="G369">
        <v>347000</v>
      </c>
    </row>
    <row r="370" spans="1:7" x14ac:dyDescent="0.25">
      <c r="A370">
        <v>1451</v>
      </c>
      <c r="C370">
        <v>9350010</v>
      </c>
      <c r="E370">
        <v>445</v>
      </c>
      <c r="G370">
        <v>278000</v>
      </c>
    </row>
    <row r="372" spans="1:7" x14ac:dyDescent="0.25">
      <c r="G372">
        <f>SUM(G1:G371)</f>
        <v>113059591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1B06-6D5F-454B-BD34-7A470731CA83}">
  <dimension ref="A1:M40"/>
  <sheetViews>
    <sheetView workbookViewId="0"/>
  </sheetViews>
  <sheetFormatPr defaultRowHeight="15" x14ac:dyDescent="0.25"/>
  <sheetData>
    <row r="1" spans="1:13" x14ac:dyDescent="0.25">
      <c r="A1" t="s">
        <v>483</v>
      </c>
    </row>
    <row r="2" spans="1:13" x14ac:dyDescent="0.25">
      <c r="A2" t="s">
        <v>738</v>
      </c>
    </row>
    <row r="3" spans="1:13" x14ac:dyDescent="0.25">
      <c r="A3" t="s">
        <v>739</v>
      </c>
    </row>
    <row r="4" spans="1:13" x14ac:dyDescent="0.25">
      <c r="A4" t="s">
        <v>707</v>
      </c>
    </row>
    <row r="5" spans="1:13" x14ac:dyDescent="0.25">
      <c r="A5" t="s">
        <v>487</v>
      </c>
    </row>
    <row r="10" spans="1:13" x14ac:dyDescent="0.25">
      <c r="C10" t="s">
        <v>84</v>
      </c>
    </row>
    <row r="11" spans="1:13" x14ac:dyDescent="0.25">
      <c r="A11" t="s">
        <v>490</v>
      </c>
      <c r="K11" t="s">
        <v>622</v>
      </c>
      <c r="M11" t="s">
        <v>490</v>
      </c>
    </row>
    <row r="12" spans="1:13" x14ac:dyDescent="0.25">
      <c r="A12" t="s">
        <v>491</v>
      </c>
      <c r="C12" t="s">
        <v>623</v>
      </c>
      <c r="K12" t="s">
        <v>624</v>
      </c>
      <c r="M12" t="s">
        <v>491</v>
      </c>
    </row>
    <row r="15" spans="1:13" x14ac:dyDescent="0.25">
      <c r="A15">
        <v>1</v>
      </c>
      <c r="C15" t="s">
        <v>496</v>
      </c>
      <c r="K15">
        <v>0</v>
      </c>
      <c r="M15">
        <f>A15</f>
        <v>1</v>
      </c>
    </row>
    <row r="16" spans="1:13" x14ac:dyDescent="0.25">
      <c r="A16">
        <v>2</v>
      </c>
      <c r="C16" t="s">
        <v>626</v>
      </c>
      <c r="K16">
        <f>K32</f>
        <v>0</v>
      </c>
      <c r="M16">
        <f>A16</f>
        <v>2</v>
      </c>
    </row>
    <row r="17" spans="1:13" x14ac:dyDescent="0.25">
      <c r="A17">
        <v>3</v>
      </c>
      <c r="C17" t="s">
        <v>627</v>
      </c>
      <c r="K17">
        <f>K33</f>
        <v>0</v>
      </c>
      <c r="M17">
        <f>A17</f>
        <v>3</v>
      </c>
    </row>
    <row r="18" spans="1:13" x14ac:dyDescent="0.25">
      <c r="M18" t="s">
        <v>84</v>
      </c>
    </row>
    <row r="19" spans="1:13" x14ac:dyDescent="0.25">
      <c r="A19">
        <v>4</v>
      </c>
      <c r="D19" t="s">
        <v>628</v>
      </c>
      <c r="K19">
        <f>SUM(K15:K17)</f>
        <v>0</v>
      </c>
      <c r="M19">
        <f>A19</f>
        <v>4</v>
      </c>
    </row>
    <row r="28" spans="1:13" x14ac:dyDescent="0.25">
      <c r="G28" t="s">
        <v>624</v>
      </c>
      <c r="K28" t="s">
        <v>631</v>
      </c>
    </row>
    <row r="29" spans="1:13" x14ac:dyDescent="0.25">
      <c r="G29" t="s">
        <v>640</v>
      </c>
      <c r="I29" t="s">
        <v>641</v>
      </c>
      <c r="K29" t="s">
        <v>632</v>
      </c>
    </row>
    <row r="30" spans="1:13" x14ac:dyDescent="0.25">
      <c r="M30" t="s">
        <v>84</v>
      </c>
    </row>
    <row r="31" spans="1:13" x14ac:dyDescent="0.25">
      <c r="M31" t="s">
        <v>84</v>
      </c>
    </row>
    <row r="32" spans="1:13" x14ac:dyDescent="0.25">
      <c r="A32">
        <v>5</v>
      </c>
      <c r="C32" t="s">
        <v>626</v>
      </c>
      <c r="G32" t="s">
        <v>740</v>
      </c>
      <c r="I32">
        <v>0</v>
      </c>
      <c r="K32">
        <f>SUM(G32:I32)/2</f>
        <v>0</v>
      </c>
      <c r="M32">
        <f>A32</f>
        <v>5</v>
      </c>
    </row>
    <row r="33" spans="1:13" x14ac:dyDescent="0.25">
      <c r="A33">
        <v>6</v>
      </c>
      <c r="C33" t="s">
        <v>627</v>
      </c>
      <c r="G33" t="s">
        <v>740</v>
      </c>
      <c r="I33">
        <v>0</v>
      </c>
      <c r="K33">
        <f>SUM(G33:I33)/2</f>
        <v>0</v>
      </c>
      <c r="M33">
        <f>A33</f>
        <v>6</v>
      </c>
    </row>
    <row r="34" spans="1:13" x14ac:dyDescent="0.25">
      <c r="A34" t="s">
        <v>84</v>
      </c>
      <c r="C34" t="s">
        <v>84</v>
      </c>
      <c r="K34" t="s">
        <v>84</v>
      </c>
    </row>
    <row r="37" spans="1:13" x14ac:dyDescent="0.25">
      <c r="K37" t="s">
        <v>84</v>
      </c>
    </row>
    <row r="39" spans="1:13" x14ac:dyDescent="0.25">
      <c r="A39" t="s">
        <v>648</v>
      </c>
      <c r="C39" t="s">
        <v>741</v>
      </c>
    </row>
    <row r="40" spans="1:13" x14ac:dyDescent="0.25">
      <c r="C40" t="s">
        <v>650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D506-BFB0-431B-92BA-7BAD7FEB8E14}">
  <dimension ref="A1:B11"/>
  <sheetViews>
    <sheetView workbookViewId="0"/>
  </sheetViews>
  <sheetFormatPr defaultRowHeight="15" x14ac:dyDescent="0.25"/>
  <sheetData>
    <row r="1" spans="1:2" x14ac:dyDescent="0.25">
      <c r="A1" t="s">
        <v>483</v>
      </c>
    </row>
    <row r="2" spans="1:2" x14ac:dyDescent="0.25">
      <c r="A2" t="s">
        <v>738</v>
      </c>
    </row>
    <row r="3" spans="1:2" x14ac:dyDescent="0.25">
      <c r="A3" t="s">
        <v>742</v>
      </c>
    </row>
    <row r="4" spans="1:2" x14ac:dyDescent="0.25">
      <c r="A4">
        <v>36891</v>
      </c>
    </row>
    <row r="5" spans="1:2" x14ac:dyDescent="0.25">
      <c r="A5" t="s">
        <v>511</v>
      </c>
    </row>
    <row r="6" spans="1:2" x14ac:dyDescent="0.25">
      <c r="A6" t="s">
        <v>487</v>
      </c>
    </row>
    <row r="10" spans="1:2" x14ac:dyDescent="0.25">
      <c r="A10" t="s">
        <v>742</v>
      </c>
    </row>
    <row r="11" spans="1:2" x14ac:dyDescent="0.25">
      <c r="B11" t="s">
        <v>743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71306-BB36-4FF0-8BA0-7E190CFE0A73}">
  <dimension ref="A1:U35"/>
  <sheetViews>
    <sheetView workbookViewId="0"/>
  </sheetViews>
  <sheetFormatPr defaultRowHeight="15" x14ac:dyDescent="0.25"/>
  <sheetData>
    <row r="1" spans="1:21" x14ac:dyDescent="0.25">
      <c r="N1" t="s">
        <v>483</v>
      </c>
    </row>
    <row r="2" spans="1:21" x14ac:dyDescent="0.25">
      <c r="N2" t="s">
        <v>744</v>
      </c>
    </row>
    <row r="3" spans="1:21" x14ac:dyDescent="0.25">
      <c r="N3" t="s">
        <v>548</v>
      </c>
    </row>
    <row r="4" spans="1:21" x14ac:dyDescent="0.25">
      <c r="N4">
        <v>36891</v>
      </c>
    </row>
    <row r="5" spans="1:21" x14ac:dyDescent="0.25">
      <c r="N5" t="s">
        <v>487</v>
      </c>
    </row>
    <row r="10" spans="1:21" x14ac:dyDescent="0.25">
      <c r="F10">
        <v>1999</v>
      </c>
      <c r="S10">
        <v>2000</v>
      </c>
    </row>
    <row r="11" spans="1:21" x14ac:dyDescent="0.25">
      <c r="A11" t="s">
        <v>490</v>
      </c>
      <c r="I11" t="s">
        <v>84</v>
      </c>
      <c r="K11" t="s">
        <v>490</v>
      </c>
      <c r="S11" t="s">
        <v>84</v>
      </c>
      <c r="U11" t="s">
        <v>490</v>
      </c>
    </row>
    <row r="12" spans="1:21" x14ac:dyDescent="0.25">
      <c r="A12" t="s">
        <v>491</v>
      </c>
      <c r="C12" t="s">
        <v>745</v>
      </c>
      <c r="I12" t="s">
        <v>493</v>
      </c>
      <c r="K12" t="s">
        <v>491</v>
      </c>
      <c r="M12" t="s">
        <v>745</v>
      </c>
      <c r="S12" t="s">
        <v>493</v>
      </c>
      <c r="U12" t="s">
        <v>491</v>
      </c>
    </row>
    <row r="15" spans="1:21" x14ac:dyDescent="0.25">
      <c r="A15">
        <v>1</v>
      </c>
      <c r="C15">
        <v>36161</v>
      </c>
      <c r="E15" t="s">
        <v>84</v>
      </c>
      <c r="I15">
        <v>206000</v>
      </c>
      <c r="J15" t="s">
        <v>746</v>
      </c>
      <c r="K15">
        <v>1</v>
      </c>
      <c r="M15">
        <v>36526</v>
      </c>
      <c r="O15" t="s">
        <v>84</v>
      </c>
      <c r="S15">
        <v>0</v>
      </c>
      <c r="U15">
        <v>1</v>
      </c>
    </row>
    <row r="16" spans="1:21" x14ac:dyDescent="0.25">
      <c r="A16">
        <f t="shared" ref="A16:A27" si="0">A15+1</f>
        <v>2</v>
      </c>
      <c r="C16">
        <v>36191</v>
      </c>
      <c r="I16">
        <v>206000</v>
      </c>
      <c r="K16">
        <f t="shared" ref="K16:K27" si="1">K15+1</f>
        <v>2</v>
      </c>
      <c r="M16">
        <v>36556</v>
      </c>
      <c r="S16">
        <v>0</v>
      </c>
      <c r="U16">
        <f t="shared" ref="U16:U27" si="2">U15+1</f>
        <v>2</v>
      </c>
    </row>
    <row r="17" spans="1:21" x14ac:dyDescent="0.25">
      <c r="A17">
        <f t="shared" si="0"/>
        <v>3</v>
      </c>
      <c r="C17">
        <v>36219</v>
      </c>
      <c r="I17">
        <v>206000</v>
      </c>
      <c r="K17">
        <f t="shared" si="1"/>
        <v>3</v>
      </c>
      <c r="M17">
        <v>36584</v>
      </c>
      <c r="S17">
        <v>0</v>
      </c>
      <c r="U17">
        <f t="shared" si="2"/>
        <v>3</v>
      </c>
    </row>
    <row r="18" spans="1:21" x14ac:dyDescent="0.25">
      <c r="A18">
        <f t="shared" si="0"/>
        <v>4</v>
      </c>
      <c r="C18">
        <v>36250</v>
      </c>
      <c r="I18">
        <v>206000</v>
      </c>
      <c r="K18">
        <f t="shared" si="1"/>
        <v>4</v>
      </c>
      <c r="M18">
        <v>36616</v>
      </c>
      <c r="S18">
        <v>0</v>
      </c>
      <c r="U18">
        <f t="shared" si="2"/>
        <v>4</v>
      </c>
    </row>
    <row r="19" spans="1:21" x14ac:dyDescent="0.25">
      <c r="A19">
        <f t="shared" si="0"/>
        <v>5</v>
      </c>
      <c r="C19">
        <v>36280</v>
      </c>
      <c r="I19">
        <v>206000</v>
      </c>
      <c r="K19">
        <f t="shared" si="1"/>
        <v>5</v>
      </c>
      <c r="M19">
        <v>36646</v>
      </c>
      <c r="S19">
        <v>0</v>
      </c>
      <c r="U19">
        <f t="shared" si="2"/>
        <v>5</v>
      </c>
    </row>
    <row r="20" spans="1:21" x14ac:dyDescent="0.25">
      <c r="A20">
        <f t="shared" si="0"/>
        <v>6</v>
      </c>
      <c r="C20">
        <v>36311</v>
      </c>
      <c r="I20">
        <v>206000</v>
      </c>
      <c r="K20">
        <f t="shared" si="1"/>
        <v>6</v>
      </c>
      <c r="M20">
        <v>36677</v>
      </c>
      <c r="S20">
        <v>0</v>
      </c>
      <c r="U20">
        <f t="shared" si="2"/>
        <v>6</v>
      </c>
    </row>
    <row r="21" spans="1:21" x14ac:dyDescent="0.25">
      <c r="A21">
        <f t="shared" si="0"/>
        <v>7</v>
      </c>
      <c r="C21">
        <v>36341</v>
      </c>
      <c r="I21">
        <v>0</v>
      </c>
      <c r="K21">
        <f t="shared" si="1"/>
        <v>7</v>
      </c>
      <c r="M21">
        <v>36707</v>
      </c>
      <c r="S21">
        <v>0</v>
      </c>
      <c r="U21">
        <f t="shared" si="2"/>
        <v>7</v>
      </c>
    </row>
    <row r="22" spans="1:21" x14ac:dyDescent="0.25">
      <c r="A22">
        <f t="shared" si="0"/>
        <v>8</v>
      </c>
      <c r="C22">
        <v>36372</v>
      </c>
      <c r="I22">
        <v>0</v>
      </c>
      <c r="K22">
        <f t="shared" si="1"/>
        <v>8</v>
      </c>
      <c r="M22">
        <v>36738</v>
      </c>
      <c r="S22">
        <v>0</v>
      </c>
      <c r="U22">
        <f t="shared" si="2"/>
        <v>8</v>
      </c>
    </row>
    <row r="23" spans="1:21" x14ac:dyDescent="0.25">
      <c r="A23">
        <f t="shared" si="0"/>
        <v>9</v>
      </c>
      <c r="C23">
        <v>36403</v>
      </c>
      <c r="I23">
        <v>0</v>
      </c>
      <c r="K23">
        <f t="shared" si="1"/>
        <v>9</v>
      </c>
      <c r="M23">
        <v>36769</v>
      </c>
      <c r="S23">
        <v>0</v>
      </c>
      <c r="U23">
        <f t="shared" si="2"/>
        <v>9</v>
      </c>
    </row>
    <row r="24" spans="1:21" x14ac:dyDescent="0.25">
      <c r="A24">
        <f t="shared" si="0"/>
        <v>10</v>
      </c>
      <c r="C24">
        <v>36433</v>
      </c>
      <c r="I24">
        <v>0</v>
      </c>
      <c r="K24">
        <f t="shared" si="1"/>
        <v>10</v>
      </c>
      <c r="M24">
        <v>36799</v>
      </c>
      <c r="S24">
        <v>0</v>
      </c>
      <c r="U24">
        <f t="shared" si="2"/>
        <v>10</v>
      </c>
    </row>
    <row r="25" spans="1:21" x14ac:dyDescent="0.25">
      <c r="A25">
        <f t="shared" si="0"/>
        <v>11</v>
      </c>
      <c r="C25">
        <v>36464</v>
      </c>
      <c r="I25">
        <v>0</v>
      </c>
      <c r="K25">
        <f t="shared" si="1"/>
        <v>11</v>
      </c>
      <c r="M25">
        <v>36830</v>
      </c>
      <c r="S25">
        <v>0</v>
      </c>
      <c r="U25">
        <f t="shared" si="2"/>
        <v>11</v>
      </c>
    </row>
    <row r="26" spans="1:21" x14ac:dyDescent="0.25">
      <c r="A26">
        <f t="shared" si="0"/>
        <v>12</v>
      </c>
      <c r="C26">
        <v>36494</v>
      </c>
      <c r="I26">
        <v>0</v>
      </c>
      <c r="K26">
        <f t="shared" si="1"/>
        <v>12</v>
      </c>
      <c r="M26">
        <v>36860</v>
      </c>
      <c r="S26">
        <v>0</v>
      </c>
      <c r="U26">
        <f t="shared" si="2"/>
        <v>12</v>
      </c>
    </row>
    <row r="27" spans="1:21" x14ac:dyDescent="0.25">
      <c r="A27">
        <f t="shared" si="0"/>
        <v>13</v>
      </c>
      <c r="C27">
        <v>36525</v>
      </c>
      <c r="I27">
        <v>0</v>
      </c>
      <c r="K27">
        <f t="shared" si="1"/>
        <v>13</v>
      </c>
      <c r="M27">
        <v>36891</v>
      </c>
      <c r="S27">
        <v>0</v>
      </c>
      <c r="U27">
        <f t="shared" si="2"/>
        <v>13</v>
      </c>
    </row>
    <row r="29" spans="1:21" x14ac:dyDescent="0.25">
      <c r="A29">
        <f>A27+1</f>
        <v>14</v>
      </c>
      <c r="D29" t="s">
        <v>500</v>
      </c>
      <c r="I29">
        <f>SUM(I15:I27)</f>
        <v>1236000</v>
      </c>
      <c r="K29">
        <f>K27+1</f>
        <v>14</v>
      </c>
      <c r="N29" t="s">
        <v>500</v>
      </c>
      <c r="S29">
        <f>SUM(S15:S27)</f>
        <v>0</v>
      </c>
      <c r="U29">
        <f>U27+1</f>
        <v>14</v>
      </c>
    </row>
    <row r="31" spans="1:21" x14ac:dyDescent="0.25">
      <c r="A31">
        <f>A29+1</f>
        <v>15</v>
      </c>
      <c r="D31" t="s">
        <v>747</v>
      </c>
      <c r="I31">
        <f>I29/13</f>
        <v>95076.923076923078</v>
      </c>
      <c r="K31">
        <f>K29+1</f>
        <v>15</v>
      </c>
      <c r="N31" t="s">
        <v>747</v>
      </c>
      <c r="S31">
        <f>S29/13</f>
        <v>0</v>
      </c>
      <c r="U31">
        <f>U29+1</f>
        <v>15</v>
      </c>
    </row>
    <row r="34" spans="2:3" x14ac:dyDescent="0.25">
      <c r="B34" t="s">
        <v>84</v>
      </c>
    </row>
    <row r="35" spans="2:3" x14ac:dyDescent="0.25">
      <c r="C35" t="s">
        <v>748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21E3-038E-4F1F-9C1D-FF22DF9399B5}">
  <dimension ref="A1:B11"/>
  <sheetViews>
    <sheetView workbookViewId="0"/>
  </sheetViews>
  <sheetFormatPr defaultRowHeight="15" x14ac:dyDescent="0.25"/>
  <sheetData>
    <row r="1" spans="1:2" x14ac:dyDescent="0.25">
      <c r="A1" t="s">
        <v>84</v>
      </c>
    </row>
    <row r="4" spans="1:2" x14ac:dyDescent="0.25">
      <c r="A4" t="s">
        <v>749</v>
      </c>
    </row>
    <row r="6" spans="1:2" x14ac:dyDescent="0.25">
      <c r="A6" t="s">
        <v>750</v>
      </c>
    </row>
    <row r="10" spans="1:2" x14ac:dyDescent="0.25">
      <c r="B10" t="s">
        <v>751</v>
      </c>
    </row>
    <row r="11" spans="1:2" x14ac:dyDescent="0.25">
      <c r="A11" t="s">
        <v>752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81E1-54A9-413B-B04D-D1FC876F9223}">
  <dimension ref="A1:B11"/>
  <sheetViews>
    <sheetView workbookViewId="0"/>
  </sheetViews>
  <sheetFormatPr defaultRowHeight="15" x14ac:dyDescent="0.25"/>
  <sheetData>
    <row r="1" spans="1:2" x14ac:dyDescent="0.25">
      <c r="A1" t="s">
        <v>84</v>
      </c>
    </row>
    <row r="4" spans="1:2" x14ac:dyDescent="0.25">
      <c r="A4" t="s">
        <v>753</v>
      </c>
    </row>
    <row r="6" spans="1:2" x14ac:dyDescent="0.25">
      <c r="A6" t="s">
        <v>754</v>
      </c>
    </row>
    <row r="10" spans="1:2" x14ac:dyDescent="0.25">
      <c r="B10" t="s">
        <v>755</v>
      </c>
    </row>
    <row r="11" spans="1:2" x14ac:dyDescent="0.25">
      <c r="A11" t="s">
        <v>756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6EE95-0D19-414B-B336-F052E395D9FB}">
  <dimension ref="A1:B11"/>
  <sheetViews>
    <sheetView workbookViewId="0"/>
  </sheetViews>
  <sheetFormatPr defaultRowHeight="15" x14ac:dyDescent="0.25"/>
  <sheetData>
    <row r="1" spans="1:2" x14ac:dyDescent="0.25">
      <c r="A1" t="s">
        <v>84</v>
      </c>
    </row>
    <row r="4" spans="1:2" x14ac:dyDescent="0.25">
      <c r="A4" t="s">
        <v>757</v>
      </c>
    </row>
    <row r="6" spans="1:2" x14ac:dyDescent="0.25">
      <c r="A6" t="s">
        <v>758</v>
      </c>
    </row>
    <row r="10" spans="1:2" x14ac:dyDescent="0.25">
      <c r="B10" t="s">
        <v>755</v>
      </c>
    </row>
    <row r="11" spans="1:2" x14ac:dyDescent="0.25">
      <c r="A11" t="s">
        <v>756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15309-9C62-44AC-B8B8-6C30DEC97F21}">
  <dimension ref="A1:B11"/>
  <sheetViews>
    <sheetView workbookViewId="0"/>
  </sheetViews>
  <sheetFormatPr defaultRowHeight="15" x14ac:dyDescent="0.25"/>
  <sheetData>
    <row r="1" spans="1:2" x14ac:dyDescent="0.25">
      <c r="A1" t="s">
        <v>84</v>
      </c>
    </row>
    <row r="4" spans="1:2" x14ac:dyDescent="0.25">
      <c r="A4" t="s">
        <v>759</v>
      </c>
    </row>
    <row r="6" spans="1:2" x14ac:dyDescent="0.25">
      <c r="A6" t="s">
        <v>760</v>
      </c>
    </row>
    <row r="10" spans="1:2" x14ac:dyDescent="0.25">
      <c r="B10" t="s">
        <v>755</v>
      </c>
    </row>
    <row r="11" spans="1:2" x14ac:dyDescent="0.25">
      <c r="A11" t="s">
        <v>756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99EEB-97EE-4B13-B2BC-4ECBB1FEC73F}">
  <dimension ref="A1:B11"/>
  <sheetViews>
    <sheetView workbookViewId="0"/>
  </sheetViews>
  <sheetFormatPr defaultRowHeight="15" x14ac:dyDescent="0.25"/>
  <sheetData>
    <row r="1" spans="1:2" x14ac:dyDescent="0.25">
      <c r="A1" t="s">
        <v>84</v>
      </c>
    </row>
    <row r="4" spans="1:2" x14ac:dyDescent="0.25">
      <c r="A4" t="s">
        <v>761</v>
      </c>
    </row>
    <row r="6" spans="1:2" x14ac:dyDescent="0.25">
      <c r="A6" t="s">
        <v>762</v>
      </c>
    </row>
    <row r="10" spans="1:2" x14ac:dyDescent="0.25">
      <c r="B10" t="s">
        <v>755</v>
      </c>
    </row>
    <row r="11" spans="1:2" x14ac:dyDescent="0.25">
      <c r="A11" t="s">
        <v>756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AB8F-CAE7-43FE-9D5E-64C06676F011}">
  <dimension ref="A1:B11"/>
  <sheetViews>
    <sheetView workbookViewId="0"/>
  </sheetViews>
  <sheetFormatPr defaultRowHeight="15" x14ac:dyDescent="0.25"/>
  <sheetData>
    <row r="1" spans="1:2" x14ac:dyDescent="0.25">
      <c r="A1" t="s">
        <v>84</v>
      </c>
    </row>
    <row r="4" spans="1:2" x14ac:dyDescent="0.25">
      <c r="A4" t="s">
        <v>763</v>
      </c>
    </row>
    <row r="6" spans="1:2" x14ac:dyDescent="0.25">
      <c r="A6" t="s">
        <v>764</v>
      </c>
    </row>
    <row r="10" spans="1:2" x14ac:dyDescent="0.25">
      <c r="B10" t="s">
        <v>765</v>
      </c>
    </row>
    <row r="11" spans="1:2" x14ac:dyDescent="0.25">
      <c r="A11" t="s">
        <v>84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056F4-FB7A-426A-8F5B-AE9B9CE5F167}">
  <dimension ref="A1:B11"/>
  <sheetViews>
    <sheetView workbookViewId="0"/>
  </sheetViews>
  <sheetFormatPr defaultRowHeight="15" x14ac:dyDescent="0.25"/>
  <sheetData>
    <row r="1" spans="1:2" x14ac:dyDescent="0.25">
      <c r="A1" t="s">
        <v>84</v>
      </c>
    </row>
    <row r="4" spans="1:2" x14ac:dyDescent="0.25">
      <c r="A4" t="s">
        <v>766</v>
      </c>
    </row>
    <row r="6" spans="1:2" x14ac:dyDescent="0.25">
      <c r="A6" t="s">
        <v>767</v>
      </c>
    </row>
    <row r="10" spans="1:2" x14ac:dyDescent="0.25">
      <c r="B10" t="s">
        <v>755</v>
      </c>
    </row>
    <row r="11" spans="1:2" x14ac:dyDescent="0.25">
      <c r="A11" t="s">
        <v>756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7B1AD-6E85-4328-94EB-4ED203AFEC2C}">
  <dimension ref="A1:P83"/>
  <sheetViews>
    <sheetView workbookViewId="0"/>
  </sheetViews>
  <sheetFormatPr defaultRowHeight="15" x14ac:dyDescent="0.25"/>
  <sheetData>
    <row r="1" spans="1:16" x14ac:dyDescent="0.25">
      <c r="A1" t="s">
        <v>343</v>
      </c>
    </row>
    <row r="2" spans="1:16" x14ac:dyDescent="0.25">
      <c r="A2" t="s">
        <v>344</v>
      </c>
    </row>
    <row r="3" spans="1:16" x14ac:dyDescent="0.25">
      <c r="A3" t="s">
        <v>345</v>
      </c>
      <c r="I3" t="s">
        <v>346</v>
      </c>
    </row>
    <row r="4" spans="1:16" x14ac:dyDescent="0.25">
      <c r="L4" t="s">
        <v>347</v>
      </c>
      <c r="N4" t="s">
        <v>348</v>
      </c>
      <c r="O4" t="s">
        <v>349</v>
      </c>
      <c r="P4" t="s">
        <v>350</v>
      </c>
    </row>
    <row r="5" spans="1:16" x14ac:dyDescent="0.25">
      <c r="H5" t="s">
        <v>351</v>
      </c>
      <c r="K5" t="s">
        <v>84</v>
      </c>
      <c r="L5" t="s">
        <v>352</v>
      </c>
    </row>
    <row r="6" spans="1:16" x14ac:dyDescent="0.25">
      <c r="H6">
        <v>1998</v>
      </c>
    </row>
    <row r="8" spans="1:16" x14ac:dyDescent="0.25">
      <c r="A8" t="s">
        <v>353</v>
      </c>
    </row>
    <row r="10" spans="1:16" x14ac:dyDescent="0.25">
      <c r="A10" t="s">
        <v>354</v>
      </c>
      <c r="G10" t="s">
        <v>355</v>
      </c>
      <c r="H10">
        <f>166152+1525</f>
        <v>167677</v>
      </c>
      <c r="I10">
        <f>+M10+P57</f>
        <v>57744</v>
      </c>
      <c r="J10">
        <f>+H10+I10</f>
        <v>225421</v>
      </c>
      <c r="L10">
        <v>225421</v>
      </c>
      <c r="M10">
        <f>+L10-H10</f>
        <v>57744</v>
      </c>
      <c r="N10">
        <f>-M10-P10</f>
        <v>-57744</v>
      </c>
      <c r="P10">
        <v>0</v>
      </c>
    </row>
    <row r="11" spans="1:16" x14ac:dyDescent="0.25">
      <c r="J11" t="s">
        <v>84</v>
      </c>
    </row>
    <row r="12" spans="1:16" x14ac:dyDescent="0.25">
      <c r="A12" t="s">
        <v>356</v>
      </c>
      <c r="H12">
        <v>280539</v>
      </c>
      <c r="I12">
        <f>+N17+N18+N24+N39+N10+N35+N33+N16+N57</f>
        <v>-54204</v>
      </c>
      <c r="J12">
        <f>+H12+I12</f>
        <v>226335</v>
      </c>
    </row>
    <row r="13" spans="1:16" x14ac:dyDescent="0.25">
      <c r="J13">
        <f>+H13+I13</f>
        <v>0</v>
      </c>
    </row>
    <row r="14" spans="1:16" x14ac:dyDescent="0.25">
      <c r="A14" t="s">
        <v>357</v>
      </c>
      <c r="J14" t="s">
        <v>84</v>
      </c>
    </row>
    <row r="15" spans="1:16" x14ac:dyDescent="0.25">
      <c r="B15" t="s">
        <v>358</v>
      </c>
      <c r="J15" t="s">
        <v>84</v>
      </c>
    </row>
    <row r="16" spans="1:16" x14ac:dyDescent="0.25">
      <c r="C16" t="s">
        <v>359</v>
      </c>
      <c r="H16">
        <v>9905</v>
      </c>
      <c r="I16">
        <f>+M16</f>
        <v>-3422</v>
      </c>
      <c r="J16">
        <f>+H16+I16</f>
        <v>6483</v>
      </c>
      <c r="L16">
        <v>6483</v>
      </c>
      <c r="M16">
        <f>+L16-H16</f>
        <v>-3422</v>
      </c>
      <c r="N16">
        <f>-M16</f>
        <v>3422</v>
      </c>
    </row>
    <row r="17" spans="1:14" x14ac:dyDescent="0.25">
      <c r="C17" t="s">
        <v>360</v>
      </c>
      <c r="H17">
        <v>6352</v>
      </c>
      <c r="I17">
        <f>+M17</f>
        <v>4148</v>
      </c>
      <c r="J17">
        <f>+H17+I17</f>
        <v>10500</v>
      </c>
      <c r="L17">
        <v>10500</v>
      </c>
      <c r="M17">
        <f>+L17-H17</f>
        <v>4148</v>
      </c>
      <c r="N17">
        <f>-M17</f>
        <v>-4148</v>
      </c>
    </row>
    <row r="18" spans="1:14" x14ac:dyDescent="0.25">
      <c r="B18" t="s">
        <v>361</v>
      </c>
      <c r="H18">
        <v>40960</v>
      </c>
      <c r="I18">
        <f>+M18</f>
        <v>-4358</v>
      </c>
      <c r="J18">
        <f>+H18+I18</f>
        <v>36602</v>
      </c>
      <c r="L18">
        <f>12216+11758+12628</f>
        <v>36602</v>
      </c>
      <c r="M18">
        <f>+L18-H18</f>
        <v>-4358</v>
      </c>
      <c r="N18">
        <f>-M18</f>
        <v>4358</v>
      </c>
    </row>
    <row r="19" spans="1:14" x14ac:dyDescent="0.25">
      <c r="B19" t="s">
        <v>362</v>
      </c>
      <c r="J19">
        <f>+H19+I19</f>
        <v>0</v>
      </c>
    </row>
    <row r="20" spans="1:14" x14ac:dyDescent="0.25">
      <c r="B20" t="s">
        <v>70</v>
      </c>
      <c r="H20">
        <v>3109</v>
      </c>
      <c r="I20">
        <v>0</v>
      </c>
      <c r="J20">
        <f>+H20+I20</f>
        <v>3109</v>
      </c>
    </row>
    <row r="21" spans="1:14" x14ac:dyDescent="0.25">
      <c r="C21" t="s">
        <v>363</v>
      </c>
      <c r="H21">
        <f>SUM(H15:H20)</f>
        <v>60326</v>
      </c>
      <c r="J21">
        <f>SUM(J16:J20)</f>
        <v>56694</v>
      </c>
    </row>
    <row r="23" spans="1:14" x14ac:dyDescent="0.25">
      <c r="A23" t="s">
        <v>364</v>
      </c>
    </row>
    <row r="24" spans="1:14" x14ac:dyDescent="0.25">
      <c r="B24" t="s">
        <v>365</v>
      </c>
      <c r="H24">
        <v>1664</v>
      </c>
      <c r="I24">
        <f>+M24</f>
        <v>-56</v>
      </c>
      <c r="J24">
        <f>+H24+I24</f>
        <v>1608</v>
      </c>
      <c r="L24">
        <v>1608</v>
      </c>
      <c r="M24">
        <f>+L24-H24</f>
        <v>-56</v>
      </c>
      <c r="N24">
        <f>-M24</f>
        <v>56</v>
      </c>
    </row>
    <row r="25" spans="1:14" x14ac:dyDescent="0.25">
      <c r="B25" t="s">
        <v>350</v>
      </c>
      <c r="H25">
        <f>-34471-1525+35301+695</f>
        <v>0</v>
      </c>
      <c r="J25">
        <f>+H25</f>
        <v>0</v>
      </c>
    </row>
    <row r="26" spans="1:14" x14ac:dyDescent="0.25">
      <c r="C26" t="s">
        <v>366</v>
      </c>
      <c r="H26">
        <f>SUM(H24:H25)</f>
        <v>1664</v>
      </c>
      <c r="J26">
        <f>+J24+J25</f>
        <v>1608</v>
      </c>
    </row>
    <row r="28" spans="1:14" x14ac:dyDescent="0.25">
      <c r="D28" t="s">
        <v>367</v>
      </c>
      <c r="G28" t="s">
        <v>355</v>
      </c>
      <c r="H28">
        <f>+H10+H12+H21+H26</f>
        <v>510206</v>
      </c>
      <c r="I28">
        <f>SUM(I10:I27)</f>
        <v>-148</v>
      </c>
      <c r="J28">
        <f>+J10+J12+J21+J26</f>
        <v>510058</v>
      </c>
    </row>
    <row r="30" spans="1:14" x14ac:dyDescent="0.25">
      <c r="A30" t="s">
        <v>368</v>
      </c>
    </row>
    <row r="32" spans="1:14" x14ac:dyDescent="0.25">
      <c r="A32" t="s">
        <v>369</v>
      </c>
    </row>
    <row r="33" spans="1:14" x14ac:dyDescent="0.25">
      <c r="B33" t="s">
        <v>370</v>
      </c>
      <c r="G33" t="s">
        <v>355</v>
      </c>
      <c r="H33">
        <f>14594</f>
        <v>14594</v>
      </c>
      <c r="I33">
        <f>+M33</f>
        <v>-14636</v>
      </c>
      <c r="J33">
        <f>+H33+I33</f>
        <v>-42</v>
      </c>
      <c r="L33">
        <v>-42</v>
      </c>
      <c r="M33">
        <f>+L33-H33</f>
        <v>-14636</v>
      </c>
      <c r="N33">
        <f>+M33</f>
        <v>-14636</v>
      </c>
    </row>
    <row r="34" spans="1:14" x14ac:dyDescent="0.25">
      <c r="B34" t="s">
        <v>371</v>
      </c>
      <c r="H34">
        <v>301400</v>
      </c>
      <c r="I34">
        <v>0</v>
      </c>
      <c r="J34">
        <f>+H34+I34</f>
        <v>301400</v>
      </c>
    </row>
    <row r="35" spans="1:14" x14ac:dyDescent="0.25">
      <c r="B35" t="s">
        <v>372</v>
      </c>
      <c r="H35">
        <f>149486+35301</f>
        <v>184787</v>
      </c>
      <c r="I35">
        <f>+M35</f>
        <v>21213</v>
      </c>
      <c r="J35">
        <f>+H35+I35</f>
        <v>206000</v>
      </c>
      <c r="L35">
        <v>206000</v>
      </c>
      <c r="M35">
        <f>+L35-H35</f>
        <v>21213</v>
      </c>
      <c r="N35">
        <f>M35</f>
        <v>21213</v>
      </c>
    </row>
    <row r="36" spans="1:14" x14ac:dyDescent="0.25">
      <c r="D36" t="s">
        <v>373</v>
      </c>
      <c r="H36">
        <f>SUM(H33:H35)</f>
        <v>500781</v>
      </c>
      <c r="J36">
        <f>SUM(J33:J35)</f>
        <v>507358</v>
      </c>
    </row>
    <row r="38" spans="1:14" x14ac:dyDescent="0.25">
      <c r="A38" t="s">
        <v>374</v>
      </c>
    </row>
    <row r="39" spans="1:14" x14ac:dyDescent="0.25">
      <c r="B39" t="s">
        <v>375</v>
      </c>
      <c r="H39">
        <f>7393+1336+(695)+1</f>
        <v>9425</v>
      </c>
      <c r="I39">
        <f>+M39</f>
        <v>-6725</v>
      </c>
      <c r="J39">
        <f>+H39+I39</f>
        <v>2700</v>
      </c>
      <c r="L39">
        <f>1200+1500</f>
        <v>2700</v>
      </c>
      <c r="M39">
        <f>+L39-H39</f>
        <v>-6725</v>
      </c>
      <c r="N39">
        <f>+M39</f>
        <v>-6725</v>
      </c>
    </row>
    <row r="40" spans="1:14" x14ac:dyDescent="0.25">
      <c r="B40" t="s">
        <v>376</v>
      </c>
      <c r="H40">
        <v>0</v>
      </c>
    </row>
    <row r="41" spans="1:14" x14ac:dyDescent="0.25">
      <c r="B41" t="s">
        <v>362</v>
      </c>
      <c r="H41">
        <v>0</v>
      </c>
    </row>
    <row r="42" spans="1:14" x14ac:dyDescent="0.25">
      <c r="B42" t="s">
        <v>377</v>
      </c>
      <c r="H42">
        <v>0</v>
      </c>
    </row>
    <row r="43" spans="1:14" x14ac:dyDescent="0.25">
      <c r="B43" t="s">
        <v>378</v>
      </c>
      <c r="H43">
        <v>0</v>
      </c>
    </row>
    <row r="44" spans="1:14" x14ac:dyDescent="0.25">
      <c r="B44" t="s">
        <v>350</v>
      </c>
      <c r="H44">
        <v>0</v>
      </c>
    </row>
    <row r="45" spans="1:14" x14ac:dyDescent="0.25">
      <c r="C45" t="s">
        <v>379</v>
      </c>
      <c r="H45">
        <f>SUM(H39:H44)</f>
        <v>9425</v>
      </c>
      <c r="J45">
        <f>+J39</f>
        <v>2700</v>
      </c>
    </row>
    <row r="47" spans="1:14" x14ac:dyDescent="0.25">
      <c r="A47" t="s">
        <v>380</v>
      </c>
    </row>
    <row r="48" spans="1:14" x14ac:dyDescent="0.25">
      <c r="A48" t="s">
        <v>84</v>
      </c>
      <c r="B48" t="s">
        <v>381</v>
      </c>
      <c r="H48">
        <v>0</v>
      </c>
    </row>
    <row r="49" spans="1:16" x14ac:dyDescent="0.25">
      <c r="B49" t="s">
        <v>350</v>
      </c>
      <c r="H49">
        <v>0</v>
      </c>
    </row>
    <row r="50" spans="1:16" x14ac:dyDescent="0.25">
      <c r="C50" t="s">
        <v>382</v>
      </c>
      <c r="H50">
        <f>SUM(H48:H49)</f>
        <v>0</v>
      </c>
    </row>
    <row r="51" spans="1:16" x14ac:dyDescent="0.25">
      <c r="D51" t="s">
        <v>383</v>
      </c>
      <c r="H51">
        <f>+H45+H50</f>
        <v>9425</v>
      </c>
      <c r="I51" t="s">
        <v>84</v>
      </c>
      <c r="J51">
        <f>+J45+J50</f>
        <v>2700</v>
      </c>
    </row>
    <row r="53" spans="1:16" x14ac:dyDescent="0.25">
      <c r="D53" t="s">
        <v>384</v>
      </c>
      <c r="G53" t="s">
        <v>355</v>
      </c>
      <c r="H53">
        <f>+H36+H51</f>
        <v>510206</v>
      </c>
      <c r="I53">
        <f>SUM(I33:I51)</f>
        <v>-148</v>
      </c>
      <c r="J53">
        <f>+J36+J51</f>
        <v>510058</v>
      </c>
    </row>
    <row r="56" spans="1:16" x14ac:dyDescent="0.25">
      <c r="A56" t="s">
        <v>385</v>
      </c>
    </row>
    <row r="57" spans="1:16" x14ac:dyDescent="0.25">
      <c r="B57" t="s">
        <v>386</v>
      </c>
      <c r="L57" t="s">
        <v>84</v>
      </c>
      <c r="N57">
        <f>+M57</f>
        <v>0</v>
      </c>
      <c r="P57">
        <f>-M57</f>
        <v>0</v>
      </c>
    </row>
    <row r="58" spans="1:16" x14ac:dyDescent="0.25">
      <c r="B58" t="s">
        <v>84</v>
      </c>
      <c r="L58" t="s">
        <v>84</v>
      </c>
    </row>
    <row r="64" spans="1:16" x14ac:dyDescent="0.25">
      <c r="F64" t="s">
        <v>387</v>
      </c>
      <c r="I64">
        <v>186808</v>
      </c>
      <c r="J64" t="s">
        <v>388</v>
      </c>
    </row>
    <row r="65" spans="8:10" x14ac:dyDescent="0.25">
      <c r="I65">
        <v>-3442</v>
      </c>
      <c r="J65" t="s">
        <v>389</v>
      </c>
    </row>
    <row r="66" spans="8:10" x14ac:dyDescent="0.25">
      <c r="I66">
        <f>+I64+I65</f>
        <v>183366</v>
      </c>
    </row>
    <row r="68" spans="8:10" x14ac:dyDescent="0.25">
      <c r="H68" t="s">
        <v>390</v>
      </c>
      <c r="I68">
        <v>120558</v>
      </c>
      <c r="J68" t="s">
        <v>391</v>
      </c>
    </row>
    <row r="69" spans="8:10" x14ac:dyDescent="0.25">
      <c r="I69">
        <v>81</v>
      </c>
      <c r="J69" t="s">
        <v>392</v>
      </c>
    </row>
    <row r="70" spans="8:10" x14ac:dyDescent="0.25">
      <c r="I70">
        <v>151</v>
      </c>
      <c r="J70" t="s">
        <v>392</v>
      </c>
    </row>
    <row r="71" spans="8:10" x14ac:dyDescent="0.25">
      <c r="I71">
        <v>148</v>
      </c>
      <c r="J71" t="s">
        <v>392</v>
      </c>
    </row>
    <row r="72" spans="8:10" x14ac:dyDescent="0.25">
      <c r="I72">
        <v>289</v>
      </c>
      <c r="J72" t="s">
        <v>392</v>
      </c>
    </row>
    <row r="73" spans="8:10" x14ac:dyDescent="0.25">
      <c r="I73">
        <v>69</v>
      </c>
      <c r="J73" t="s">
        <v>392</v>
      </c>
    </row>
    <row r="74" spans="8:10" x14ac:dyDescent="0.25">
      <c r="I74">
        <v>417</v>
      </c>
      <c r="J74" t="s">
        <v>392</v>
      </c>
    </row>
    <row r="75" spans="8:10" x14ac:dyDescent="0.25">
      <c r="I75">
        <v>16397</v>
      </c>
      <c r="J75" t="s">
        <v>392</v>
      </c>
    </row>
    <row r="76" spans="8:10" x14ac:dyDescent="0.25">
      <c r="I76">
        <v>0</v>
      </c>
      <c r="J76" t="s">
        <v>392</v>
      </c>
    </row>
    <row r="77" spans="8:10" x14ac:dyDescent="0.25">
      <c r="I77">
        <v>0</v>
      </c>
      <c r="J77" t="s">
        <v>392</v>
      </c>
    </row>
    <row r="78" spans="8:10" x14ac:dyDescent="0.25">
      <c r="I78">
        <f>SUM(I68:I77)</f>
        <v>138110</v>
      </c>
    </row>
    <row r="80" spans="8:10" x14ac:dyDescent="0.25">
      <c r="I80">
        <f>+I66-I78</f>
        <v>45256</v>
      </c>
    </row>
    <row r="81" spans="9:10" x14ac:dyDescent="0.25">
      <c r="I81">
        <v>-480</v>
      </c>
      <c r="J81" t="s">
        <v>393</v>
      </c>
    </row>
    <row r="83" spans="9:10" x14ac:dyDescent="0.25">
      <c r="I83">
        <f>+I80+I81</f>
        <v>44776</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B1F5-8339-409E-A99D-0CB1D938111A}">
  <dimension ref="A1:B11"/>
  <sheetViews>
    <sheetView workbookViewId="0"/>
  </sheetViews>
  <sheetFormatPr defaultRowHeight="15" x14ac:dyDescent="0.25"/>
  <sheetData>
    <row r="1" spans="1:2" x14ac:dyDescent="0.25">
      <c r="A1" t="s">
        <v>84</v>
      </c>
    </row>
    <row r="4" spans="1:2" x14ac:dyDescent="0.25">
      <c r="A4" t="s">
        <v>768</v>
      </c>
    </row>
    <row r="6" spans="1:2" x14ac:dyDescent="0.25">
      <c r="A6" t="s">
        <v>769</v>
      </c>
    </row>
    <row r="10" spans="1:2" x14ac:dyDescent="0.25">
      <c r="B10" t="s">
        <v>770</v>
      </c>
    </row>
    <row r="11" spans="1:2" x14ac:dyDescent="0.25">
      <c r="A11" t="s">
        <v>84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3FCEE-CF1E-4B48-85EB-89EEE299DB1F}">
  <dimension ref="A1:B11"/>
  <sheetViews>
    <sheetView workbookViewId="0"/>
  </sheetViews>
  <sheetFormatPr defaultRowHeight="15" x14ac:dyDescent="0.25"/>
  <sheetData>
    <row r="1" spans="1:2" x14ac:dyDescent="0.25">
      <c r="A1" t="s">
        <v>84</v>
      </c>
    </row>
    <row r="4" spans="1:2" x14ac:dyDescent="0.25">
      <c r="A4" t="s">
        <v>771</v>
      </c>
    </row>
    <row r="6" spans="1:2" x14ac:dyDescent="0.25">
      <c r="A6" t="s">
        <v>772</v>
      </c>
    </row>
    <row r="10" spans="1:2" x14ac:dyDescent="0.25">
      <c r="B10" t="s">
        <v>755</v>
      </c>
    </row>
    <row r="11" spans="1:2" x14ac:dyDescent="0.25">
      <c r="A11" t="s">
        <v>756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D8A23-8188-419E-AB8D-81F84FFCCFD2}">
  <dimension ref="A1:AB26"/>
  <sheetViews>
    <sheetView workbookViewId="0"/>
  </sheetViews>
  <sheetFormatPr defaultRowHeight="15" x14ac:dyDescent="0.25"/>
  <sheetData>
    <row r="1" spans="1:28" x14ac:dyDescent="0.25">
      <c r="H1" t="s">
        <v>483</v>
      </c>
    </row>
    <row r="2" spans="1:28" x14ac:dyDescent="0.25">
      <c r="H2" t="s">
        <v>773</v>
      </c>
    </row>
    <row r="3" spans="1:28" x14ac:dyDescent="0.25">
      <c r="H3" t="s">
        <v>774</v>
      </c>
    </row>
    <row r="4" spans="1:28" x14ac:dyDescent="0.25">
      <c r="H4">
        <v>36891</v>
      </c>
    </row>
    <row r="5" spans="1:28" x14ac:dyDescent="0.25">
      <c r="H5" t="s">
        <v>487</v>
      </c>
    </row>
    <row r="11" spans="1:28" x14ac:dyDescent="0.25">
      <c r="A11" t="s">
        <v>490</v>
      </c>
      <c r="C11" t="s">
        <v>2</v>
      </c>
      <c r="N11" t="s">
        <v>490</v>
      </c>
      <c r="AB11" t="s">
        <v>490</v>
      </c>
    </row>
    <row r="12" spans="1:28" x14ac:dyDescent="0.25">
      <c r="A12" t="s">
        <v>491</v>
      </c>
      <c r="C12" t="s">
        <v>660</v>
      </c>
      <c r="E12" t="s">
        <v>492</v>
      </c>
      <c r="L12" t="s">
        <v>493</v>
      </c>
      <c r="N12" t="s">
        <v>491</v>
      </c>
      <c r="S12" t="s">
        <v>492</v>
      </c>
      <c r="Z12" t="s">
        <v>493</v>
      </c>
      <c r="AB12" t="s">
        <v>491</v>
      </c>
    </row>
    <row r="15" spans="1:28" x14ac:dyDescent="0.25">
      <c r="A15">
        <v>1</v>
      </c>
      <c r="C15">
        <v>456</v>
      </c>
      <c r="E15" t="s">
        <v>775</v>
      </c>
      <c r="N15">
        <f>+A15</f>
        <v>1</v>
      </c>
      <c r="S15" t="s">
        <v>775</v>
      </c>
      <c r="AB15">
        <v>1</v>
      </c>
    </row>
    <row r="17" spans="1:28" x14ac:dyDescent="0.25">
      <c r="A17">
        <v>2</v>
      </c>
      <c r="F17" t="s">
        <v>425</v>
      </c>
      <c r="N17">
        <f>+A17</f>
        <v>2</v>
      </c>
      <c r="T17" t="s">
        <v>425</v>
      </c>
      <c r="AB17">
        <f>A17</f>
        <v>2</v>
      </c>
    </row>
    <row r="18" spans="1:28" x14ac:dyDescent="0.25">
      <c r="A18">
        <v>3</v>
      </c>
      <c r="F18" t="s">
        <v>776</v>
      </c>
      <c r="N18">
        <f>+A18</f>
        <v>3</v>
      </c>
      <c r="T18" t="s">
        <v>776</v>
      </c>
      <c r="AB18">
        <f>A18</f>
        <v>3</v>
      </c>
    </row>
    <row r="19" spans="1:28" x14ac:dyDescent="0.25">
      <c r="A19">
        <v>4</v>
      </c>
      <c r="F19" t="s">
        <v>777</v>
      </c>
      <c r="N19">
        <f>+A19</f>
        <v>4</v>
      </c>
      <c r="T19" t="s">
        <v>777</v>
      </c>
      <c r="AB19">
        <f>A19</f>
        <v>4</v>
      </c>
    </row>
    <row r="20" spans="1:28" x14ac:dyDescent="0.25">
      <c r="A20">
        <v>5</v>
      </c>
      <c r="F20" t="s">
        <v>778</v>
      </c>
      <c r="N20">
        <f>+A20</f>
        <v>5</v>
      </c>
      <c r="T20" t="s">
        <v>778</v>
      </c>
      <c r="AB20">
        <f>A20</f>
        <v>5</v>
      </c>
    </row>
    <row r="21" spans="1:28" x14ac:dyDescent="0.25">
      <c r="A21">
        <v>6</v>
      </c>
      <c r="G21" t="s">
        <v>779</v>
      </c>
      <c r="L21">
        <f>SUM(L17:L20)</f>
        <v>0</v>
      </c>
      <c r="M21" t="s">
        <v>84</v>
      </c>
      <c r="N21">
        <f>+A21</f>
        <v>6</v>
      </c>
      <c r="U21" t="s">
        <v>779</v>
      </c>
      <c r="Z21">
        <f>SUM(Z17:Z20)</f>
        <v>0</v>
      </c>
      <c r="AA21" t="s">
        <v>84</v>
      </c>
      <c r="AB21">
        <f>A21</f>
        <v>6</v>
      </c>
    </row>
    <row r="25" spans="1:28" x14ac:dyDescent="0.25">
      <c r="A25">
        <v>7</v>
      </c>
      <c r="G25" t="s">
        <v>780</v>
      </c>
      <c r="L25">
        <f>SUM(L18:L20)</f>
        <v>0</v>
      </c>
      <c r="N25">
        <f>+A25</f>
        <v>7</v>
      </c>
      <c r="U25" t="s">
        <v>780</v>
      </c>
      <c r="Z25">
        <f>SUM(Z18:Z20)</f>
        <v>0</v>
      </c>
      <c r="AB25">
        <f>A25</f>
        <v>7</v>
      </c>
    </row>
    <row r="26" spans="1:28" x14ac:dyDescent="0.25">
      <c r="A26" t="s">
        <v>84</v>
      </c>
      <c r="T26" t="s">
        <v>84</v>
      </c>
      <c r="AB26" t="s">
        <v>84</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EA604-48EA-46D5-BBE0-3A9C8B3FE373}">
  <dimension ref="A1:Z16"/>
  <sheetViews>
    <sheetView workbookViewId="0"/>
  </sheetViews>
  <sheetFormatPr defaultRowHeight="15" x14ac:dyDescent="0.25"/>
  <sheetData>
    <row r="1" spans="1:26" x14ac:dyDescent="0.25">
      <c r="R1" t="s">
        <v>483</v>
      </c>
    </row>
    <row r="2" spans="1:26" x14ac:dyDescent="0.25">
      <c r="R2" t="s">
        <v>781</v>
      </c>
    </row>
    <row r="3" spans="1:26" x14ac:dyDescent="0.25">
      <c r="R3" t="s">
        <v>782</v>
      </c>
    </row>
    <row r="4" spans="1:26" x14ac:dyDescent="0.25">
      <c r="R4">
        <v>36891</v>
      </c>
    </row>
    <row r="5" spans="1:26" x14ac:dyDescent="0.25">
      <c r="R5" t="s">
        <v>487</v>
      </c>
    </row>
    <row r="11" spans="1:26" x14ac:dyDescent="0.25">
      <c r="K11" t="s">
        <v>783</v>
      </c>
      <c r="X11" t="s">
        <v>783</v>
      </c>
    </row>
    <row r="12" spans="1:26" x14ac:dyDescent="0.25">
      <c r="A12" t="s">
        <v>490</v>
      </c>
      <c r="E12" t="s">
        <v>784</v>
      </c>
      <c r="G12" t="s">
        <v>784</v>
      </c>
      <c r="I12" t="s">
        <v>785</v>
      </c>
      <c r="K12" t="s">
        <v>785</v>
      </c>
      <c r="M12" t="s">
        <v>490</v>
      </c>
      <c r="R12" t="s">
        <v>784</v>
      </c>
      <c r="T12" t="s">
        <v>784</v>
      </c>
      <c r="V12" t="s">
        <v>785</v>
      </c>
      <c r="X12" t="s">
        <v>785</v>
      </c>
      <c r="Z12" t="s">
        <v>490</v>
      </c>
    </row>
    <row r="13" spans="1:26" x14ac:dyDescent="0.25">
      <c r="A13" t="s">
        <v>491</v>
      </c>
      <c r="C13" t="s">
        <v>785</v>
      </c>
      <c r="E13" t="s">
        <v>493</v>
      </c>
      <c r="G13" t="s">
        <v>786</v>
      </c>
      <c r="I13" t="s">
        <v>787</v>
      </c>
      <c r="K13" t="s">
        <v>787</v>
      </c>
      <c r="M13" t="s">
        <v>491</v>
      </c>
      <c r="P13" t="s">
        <v>785</v>
      </c>
      <c r="R13" t="s">
        <v>493</v>
      </c>
      <c r="T13" t="s">
        <v>786</v>
      </c>
      <c r="V13" t="s">
        <v>787</v>
      </c>
      <c r="X13" t="s">
        <v>787</v>
      </c>
      <c r="Z13" t="s">
        <v>491</v>
      </c>
    </row>
    <row r="16" spans="1:26" x14ac:dyDescent="0.25">
      <c r="A16">
        <v>1</v>
      </c>
      <c r="C16" t="s">
        <v>546</v>
      </c>
      <c r="E16">
        <v>282500</v>
      </c>
      <c r="G16">
        <v>1</v>
      </c>
      <c r="I16">
        <v>4.7100000000000003E-2</v>
      </c>
      <c r="K16">
        <f>I16</f>
        <v>4.7100000000000003E-2</v>
      </c>
      <c r="M16">
        <v>1</v>
      </c>
      <c r="P16" t="s">
        <v>546</v>
      </c>
      <c r="T16">
        <v>1</v>
      </c>
      <c r="X16">
        <f>V16</f>
        <v>0</v>
      </c>
      <c r="Z16">
        <v>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50EA0-44A0-4483-99B7-FC7CEAFCEA7A}">
  <dimension ref="A1:Q25"/>
  <sheetViews>
    <sheetView workbookViewId="0"/>
  </sheetViews>
  <sheetFormatPr defaultRowHeight="15" x14ac:dyDescent="0.25"/>
  <sheetData>
    <row r="1" spans="1:17" x14ac:dyDescent="0.25">
      <c r="A1" t="s">
        <v>483</v>
      </c>
    </row>
    <row r="2" spans="1:17" x14ac:dyDescent="0.25">
      <c r="A2" t="s">
        <v>763</v>
      </c>
    </row>
    <row r="3" spans="1:17" x14ac:dyDescent="0.25">
      <c r="A3" t="s">
        <v>788</v>
      </c>
    </row>
    <row r="4" spans="1:17" x14ac:dyDescent="0.25">
      <c r="A4">
        <v>36525</v>
      </c>
    </row>
    <row r="5" spans="1:17" x14ac:dyDescent="0.25">
      <c r="A5" t="s">
        <v>487</v>
      </c>
    </row>
    <row r="10" spans="1:17" x14ac:dyDescent="0.25">
      <c r="K10" t="s">
        <v>84</v>
      </c>
    </row>
    <row r="11" spans="1:17" x14ac:dyDescent="0.25">
      <c r="K11" t="s">
        <v>624</v>
      </c>
      <c r="M11" t="s">
        <v>84</v>
      </c>
      <c r="O11" t="s">
        <v>600</v>
      </c>
    </row>
    <row r="12" spans="1:17" x14ac:dyDescent="0.25">
      <c r="A12" t="s">
        <v>490</v>
      </c>
      <c r="K12" t="s">
        <v>515</v>
      </c>
      <c r="M12" t="s">
        <v>406</v>
      </c>
      <c r="O12" t="s">
        <v>789</v>
      </c>
      <c r="Q12" t="s">
        <v>490</v>
      </c>
    </row>
    <row r="13" spans="1:17" x14ac:dyDescent="0.25">
      <c r="A13" t="s">
        <v>491</v>
      </c>
      <c r="C13" t="s">
        <v>790</v>
      </c>
      <c r="K13">
        <v>36525</v>
      </c>
      <c r="M13" t="s">
        <v>714</v>
      </c>
      <c r="O13" t="s">
        <v>791</v>
      </c>
      <c r="Q13" t="s">
        <v>491</v>
      </c>
    </row>
    <row r="16" spans="1:17" x14ac:dyDescent="0.25">
      <c r="A16">
        <v>1</v>
      </c>
      <c r="C16" t="s">
        <v>792</v>
      </c>
      <c r="K16">
        <v>0</v>
      </c>
      <c r="M16" t="e">
        <f>K16/O16</f>
        <v>#DIV/0!</v>
      </c>
      <c r="O16">
        <v>0</v>
      </c>
      <c r="Q16">
        <v>1</v>
      </c>
    </row>
    <row r="18" spans="1:17" x14ac:dyDescent="0.25">
      <c r="A18">
        <v>2</v>
      </c>
      <c r="C18" t="s">
        <v>793</v>
      </c>
      <c r="K18">
        <f>K16</f>
        <v>0</v>
      </c>
      <c r="M18" t="e">
        <f>M16</f>
        <v>#DIV/0!</v>
      </c>
      <c r="O18">
        <f>O16</f>
        <v>0</v>
      </c>
      <c r="Q18">
        <v>2</v>
      </c>
    </row>
    <row r="24" spans="1:17" x14ac:dyDescent="0.25">
      <c r="F24" t="s">
        <v>794</v>
      </c>
    </row>
    <row r="25" spans="1:17" x14ac:dyDescent="0.25">
      <c r="Q25" t="s">
        <v>84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9B785-83B6-4F30-A564-F2F2433A236F}">
  <dimension ref="A1:I19"/>
  <sheetViews>
    <sheetView workbookViewId="0"/>
  </sheetViews>
  <sheetFormatPr defaultRowHeight="15" x14ac:dyDescent="0.25"/>
  <sheetData>
    <row r="1" spans="1:2" x14ac:dyDescent="0.25">
      <c r="A1" t="s">
        <v>84</v>
      </c>
    </row>
    <row r="4" spans="1:2" x14ac:dyDescent="0.25">
      <c r="A4" t="s">
        <v>795</v>
      </c>
    </row>
    <row r="6" spans="1:2" x14ac:dyDescent="0.25">
      <c r="A6" t="s">
        <v>796</v>
      </c>
    </row>
    <row r="10" spans="1:2" x14ac:dyDescent="0.25">
      <c r="B10" t="s">
        <v>797</v>
      </c>
    </row>
    <row r="11" spans="1:2" x14ac:dyDescent="0.25">
      <c r="A11" t="s">
        <v>798</v>
      </c>
    </row>
    <row r="12" spans="1:2" x14ac:dyDescent="0.25">
      <c r="A12" t="s">
        <v>799</v>
      </c>
    </row>
    <row r="15" spans="1:2" x14ac:dyDescent="0.25">
      <c r="B15" t="s">
        <v>84</v>
      </c>
    </row>
    <row r="19" spans="9:9" x14ac:dyDescent="0.25">
      <c r="I19" t="s">
        <v>84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DDF79-BF21-4CBF-BFDC-69605E6AC47A}">
  <dimension ref="A1:I19"/>
  <sheetViews>
    <sheetView workbookViewId="0"/>
  </sheetViews>
  <sheetFormatPr defaultRowHeight="15" x14ac:dyDescent="0.25"/>
  <sheetData>
    <row r="1" spans="1:2" x14ac:dyDescent="0.25">
      <c r="A1" t="s">
        <v>84</v>
      </c>
    </row>
    <row r="4" spans="1:2" x14ac:dyDescent="0.25">
      <c r="A4" t="s">
        <v>800</v>
      </c>
    </row>
    <row r="6" spans="1:2" x14ac:dyDescent="0.25">
      <c r="A6" t="s">
        <v>801</v>
      </c>
    </row>
    <row r="10" spans="1:2" x14ac:dyDescent="0.25">
      <c r="B10" t="s">
        <v>802</v>
      </c>
    </row>
    <row r="11" spans="1:2" x14ac:dyDescent="0.25">
      <c r="A11" t="s">
        <v>803</v>
      </c>
    </row>
    <row r="12" spans="1:2" x14ac:dyDescent="0.25">
      <c r="A12" t="s">
        <v>804</v>
      </c>
    </row>
    <row r="15" spans="1:2" x14ac:dyDescent="0.25">
      <c r="B15" t="s">
        <v>84</v>
      </c>
    </row>
    <row r="19" spans="9:9" x14ac:dyDescent="0.25">
      <c r="I19" t="s">
        <v>84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86DFF-2640-41F3-B8A3-952CC5178B2E}">
  <dimension ref="A1:I19"/>
  <sheetViews>
    <sheetView workbookViewId="0"/>
  </sheetViews>
  <sheetFormatPr defaultRowHeight="15" x14ac:dyDescent="0.25"/>
  <sheetData>
    <row r="1" spans="1:2" x14ac:dyDescent="0.25">
      <c r="A1" t="s">
        <v>84</v>
      </c>
    </row>
    <row r="4" spans="1:2" x14ac:dyDescent="0.25">
      <c r="A4" t="s">
        <v>805</v>
      </c>
    </row>
    <row r="6" spans="1:2" x14ac:dyDescent="0.25">
      <c r="A6" t="s">
        <v>806</v>
      </c>
    </row>
    <row r="10" spans="1:2" x14ac:dyDescent="0.25">
      <c r="B10" t="s">
        <v>802</v>
      </c>
    </row>
    <row r="11" spans="1:2" x14ac:dyDescent="0.25">
      <c r="A11" t="s">
        <v>803</v>
      </c>
    </row>
    <row r="12" spans="1:2" x14ac:dyDescent="0.25">
      <c r="A12" t="s">
        <v>804</v>
      </c>
    </row>
    <row r="15" spans="1:2" x14ac:dyDescent="0.25">
      <c r="B15" t="s">
        <v>84</v>
      </c>
    </row>
    <row r="19" spans="9:9" x14ac:dyDescent="0.25">
      <c r="I19" t="s">
        <v>84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BAEBB-6078-42EA-82C6-51FF3A5BB980}">
  <dimension ref="A1:V47"/>
  <sheetViews>
    <sheetView workbookViewId="0"/>
  </sheetViews>
  <sheetFormatPr defaultRowHeight="15" x14ac:dyDescent="0.25"/>
  <sheetData>
    <row r="1" spans="1:22" x14ac:dyDescent="0.25">
      <c r="A1" t="s">
        <v>483</v>
      </c>
    </row>
    <row r="2" spans="1:22" x14ac:dyDescent="0.25">
      <c r="A2" t="s">
        <v>807</v>
      </c>
    </row>
    <row r="3" spans="1:22" x14ac:dyDescent="0.25">
      <c r="A3" t="s">
        <v>808</v>
      </c>
    </row>
    <row r="4" spans="1:22" x14ac:dyDescent="0.25">
      <c r="A4">
        <v>36891</v>
      </c>
    </row>
    <row r="5" spans="1:22" x14ac:dyDescent="0.25">
      <c r="A5" t="s">
        <v>487</v>
      </c>
    </row>
    <row r="9" spans="1:22" x14ac:dyDescent="0.25">
      <c r="J9" t="s">
        <v>489</v>
      </c>
    </row>
    <row r="11" spans="1:22" x14ac:dyDescent="0.25">
      <c r="A11" t="s">
        <v>490</v>
      </c>
      <c r="L11" t="s">
        <v>809</v>
      </c>
      <c r="N11" t="s">
        <v>490</v>
      </c>
      <c r="P11" t="s">
        <v>480</v>
      </c>
      <c r="T11" t="s">
        <v>809</v>
      </c>
      <c r="V11" t="s">
        <v>490</v>
      </c>
    </row>
    <row r="12" spans="1:22" x14ac:dyDescent="0.25">
      <c r="A12" t="s">
        <v>491</v>
      </c>
      <c r="C12" t="s">
        <v>84</v>
      </c>
      <c r="D12" t="s">
        <v>84</v>
      </c>
      <c r="F12" t="s">
        <v>810</v>
      </c>
      <c r="H12" t="s">
        <v>500</v>
      </c>
      <c r="J12" t="s">
        <v>811</v>
      </c>
      <c r="L12" t="s">
        <v>812</v>
      </c>
      <c r="N12" t="s">
        <v>491</v>
      </c>
      <c r="P12" t="s">
        <v>500</v>
      </c>
      <c r="R12" t="s">
        <v>811</v>
      </c>
      <c r="T12" t="s">
        <v>812</v>
      </c>
      <c r="V12" t="s">
        <v>491</v>
      </c>
    </row>
    <row r="15" spans="1:22" x14ac:dyDescent="0.25">
      <c r="A15">
        <v>1</v>
      </c>
      <c r="C15" t="s">
        <v>813</v>
      </c>
      <c r="N15">
        <f t="shared" ref="N15:N22" si="0">A15</f>
        <v>1</v>
      </c>
      <c r="V15">
        <f>+N15</f>
        <v>1</v>
      </c>
    </row>
    <row r="16" spans="1:22" x14ac:dyDescent="0.25">
      <c r="A16">
        <f t="shared" ref="A16:A22" si="1">A15+1</f>
        <v>2</v>
      </c>
      <c r="D16" t="s">
        <v>814</v>
      </c>
      <c r="L16" t="s">
        <v>815</v>
      </c>
      <c r="N16">
        <f t="shared" si="0"/>
        <v>2</v>
      </c>
      <c r="T16" t="s">
        <v>815</v>
      </c>
      <c r="V16">
        <f t="shared" ref="V16:V47" si="2">+N16</f>
        <v>2</v>
      </c>
    </row>
    <row r="17" spans="1:22" x14ac:dyDescent="0.25">
      <c r="A17">
        <f t="shared" si="1"/>
        <v>3</v>
      </c>
      <c r="D17" t="s">
        <v>816</v>
      </c>
      <c r="L17" t="s">
        <v>815</v>
      </c>
      <c r="N17">
        <f t="shared" si="0"/>
        <v>3</v>
      </c>
      <c r="T17" t="s">
        <v>815</v>
      </c>
      <c r="V17">
        <f t="shared" si="2"/>
        <v>3</v>
      </c>
    </row>
    <row r="18" spans="1:22" x14ac:dyDescent="0.25">
      <c r="A18">
        <f t="shared" si="1"/>
        <v>4</v>
      </c>
      <c r="C18" t="s">
        <v>637</v>
      </c>
      <c r="L18" t="s">
        <v>84</v>
      </c>
      <c r="N18">
        <f t="shared" si="0"/>
        <v>4</v>
      </c>
      <c r="T18" t="s">
        <v>84</v>
      </c>
      <c r="V18">
        <f t="shared" si="2"/>
        <v>4</v>
      </c>
    </row>
    <row r="19" spans="1:22" x14ac:dyDescent="0.25">
      <c r="A19">
        <f t="shared" si="1"/>
        <v>5</v>
      </c>
      <c r="D19" t="s">
        <v>817</v>
      </c>
      <c r="L19" t="s">
        <v>818</v>
      </c>
      <c r="N19">
        <f t="shared" si="0"/>
        <v>5</v>
      </c>
      <c r="T19" t="s">
        <v>818</v>
      </c>
      <c r="V19">
        <f t="shared" si="2"/>
        <v>5</v>
      </c>
    </row>
    <row r="20" spans="1:22" x14ac:dyDescent="0.25">
      <c r="A20">
        <f t="shared" si="1"/>
        <v>6</v>
      </c>
      <c r="D20" t="s">
        <v>819</v>
      </c>
      <c r="L20" t="s">
        <v>818</v>
      </c>
      <c r="N20">
        <f t="shared" si="0"/>
        <v>6</v>
      </c>
      <c r="T20" t="s">
        <v>818</v>
      </c>
      <c r="V20">
        <f t="shared" si="2"/>
        <v>6</v>
      </c>
    </row>
    <row r="21" spans="1:22" x14ac:dyDescent="0.25">
      <c r="A21">
        <f t="shared" si="1"/>
        <v>7</v>
      </c>
      <c r="C21" t="s">
        <v>537</v>
      </c>
      <c r="L21" t="s">
        <v>820</v>
      </c>
      <c r="N21">
        <f t="shared" si="0"/>
        <v>7</v>
      </c>
      <c r="T21" t="s">
        <v>820</v>
      </c>
      <c r="V21">
        <f t="shared" si="2"/>
        <v>7</v>
      </c>
    </row>
    <row r="22" spans="1:22" x14ac:dyDescent="0.25">
      <c r="A22">
        <f t="shared" si="1"/>
        <v>8</v>
      </c>
      <c r="C22" t="s">
        <v>732</v>
      </c>
      <c r="L22" t="s">
        <v>821</v>
      </c>
      <c r="N22">
        <f t="shared" si="0"/>
        <v>8</v>
      </c>
      <c r="T22" t="s">
        <v>821</v>
      </c>
      <c r="V22">
        <f t="shared" si="2"/>
        <v>8</v>
      </c>
    </row>
    <row r="23" spans="1:22" x14ac:dyDescent="0.25">
      <c r="N23" t="s">
        <v>84</v>
      </c>
      <c r="V23" t="str">
        <f t="shared" si="2"/>
        <v xml:space="preserve"> </v>
      </c>
    </row>
    <row r="24" spans="1:22" x14ac:dyDescent="0.25">
      <c r="C24" t="s">
        <v>84</v>
      </c>
      <c r="N24" t="s">
        <v>84</v>
      </c>
      <c r="V24" t="str">
        <f t="shared" si="2"/>
        <v xml:space="preserve"> </v>
      </c>
    </row>
    <row r="25" spans="1:22" x14ac:dyDescent="0.25">
      <c r="A25">
        <v>9</v>
      </c>
      <c r="C25" t="s">
        <v>822</v>
      </c>
      <c r="L25" t="s">
        <v>823</v>
      </c>
      <c r="N25">
        <f>A25</f>
        <v>9</v>
      </c>
      <c r="T25" t="s">
        <v>823</v>
      </c>
      <c r="V25">
        <f t="shared" si="2"/>
        <v>9</v>
      </c>
    </row>
    <row r="26" spans="1:22" x14ac:dyDescent="0.25">
      <c r="A26">
        <f>A25+1</f>
        <v>10</v>
      </c>
      <c r="C26" t="s">
        <v>824</v>
      </c>
      <c r="L26" t="s">
        <v>823</v>
      </c>
      <c r="N26">
        <f>A26</f>
        <v>10</v>
      </c>
      <c r="T26" t="s">
        <v>823</v>
      </c>
      <c r="V26">
        <f t="shared" si="2"/>
        <v>10</v>
      </c>
    </row>
    <row r="27" spans="1:22" x14ac:dyDescent="0.25">
      <c r="A27">
        <f>A26+1</f>
        <v>11</v>
      </c>
      <c r="C27" t="s">
        <v>825</v>
      </c>
      <c r="L27" t="s">
        <v>823</v>
      </c>
      <c r="N27">
        <f>A27</f>
        <v>11</v>
      </c>
      <c r="T27" t="s">
        <v>823</v>
      </c>
      <c r="V27">
        <f t="shared" si="2"/>
        <v>11</v>
      </c>
    </row>
    <row r="28" spans="1:22" x14ac:dyDescent="0.25">
      <c r="A28">
        <v>12</v>
      </c>
      <c r="C28" t="s">
        <v>826</v>
      </c>
      <c r="L28" t="s">
        <v>823</v>
      </c>
      <c r="N28">
        <f>A28</f>
        <v>12</v>
      </c>
      <c r="T28" t="s">
        <v>823</v>
      </c>
      <c r="V28">
        <f t="shared" si="2"/>
        <v>12</v>
      </c>
    </row>
    <row r="29" spans="1:22" x14ac:dyDescent="0.25">
      <c r="V29">
        <f t="shared" si="2"/>
        <v>0</v>
      </c>
    </row>
    <row r="30" spans="1:22" x14ac:dyDescent="0.25">
      <c r="V30">
        <f t="shared" si="2"/>
        <v>0</v>
      </c>
    </row>
    <row r="31" spans="1:22" x14ac:dyDescent="0.25">
      <c r="A31">
        <f>A28+1</f>
        <v>13</v>
      </c>
      <c r="C31" t="s">
        <v>827</v>
      </c>
      <c r="L31" t="s">
        <v>828</v>
      </c>
      <c r="N31">
        <f>A31</f>
        <v>13</v>
      </c>
      <c r="T31" t="s">
        <v>828</v>
      </c>
      <c r="V31">
        <f t="shared" si="2"/>
        <v>13</v>
      </c>
    </row>
    <row r="32" spans="1:22" x14ac:dyDescent="0.25">
      <c r="A32">
        <f>A31+1</f>
        <v>14</v>
      </c>
      <c r="C32" t="s">
        <v>829</v>
      </c>
      <c r="L32" t="s">
        <v>828</v>
      </c>
      <c r="N32">
        <f>A32</f>
        <v>14</v>
      </c>
      <c r="T32" t="s">
        <v>828</v>
      </c>
      <c r="V32">
        <f t="shared" si="2"/>
        <v>14</v>
      </c>
    </row>
    <row r="33" spans="1:22" x14ac:dyDescent="0.25">
      <c r="A33">
        <v>15</v>
      </c>
      <c r="C33" t="s">
        <v>830</v>
      </c>
      <c r="L33" t="s">
        <v>828</v>
      </c>
      <c r="N33">
        <f>A33</f>
        <v>15</v>
      </c>
      <c r="T33" t="s">
        <v>828</v>
      </c>
      <c r="V33">
        <f t="shared" si="2"/>
        <v>15</v>
      </c>
    </row>
    <row r="34" spans="1:22" x14ac:dyDescent="0.25">
      <c r="V34">
        <f t="shared" si="2"/>
        <v>0</v>
      </c>
    </row>
    <row r="35" spans="1:22" x14ac:dyDescent="0.25">
      <c r="V35">
        <f t="shared" si="2"/>
        <v>0</v>
      </c>
    </row>
    <row r="36" spans="1:22" x14ac:dyDescent="0.25">
      <c r="A36">
        <f>A33+1</f>
        <v>16</v>
      </c>
      <c r="C36" t="s">
        <v>831</v>
      </c>
      <c r="L36" t="s">
        <v>832</v>
      </c>
      <c r="N36">
        <f>A36</f>
        <v>16</v>
      </c>
      <c r="T36" t="s">
        <v>832</v>
      </c>
      <c r="V36">
        <f t="shared" si="2"/>
        <v>16</v>
      </c>
    </row>
    <row r="37" spans="1:22" x14ac:dyDescent="0.25">
      <c r="A37">
        <f>A36+1</f>
        <v>17</v>
      </c>
      <c r="C37" t="s">
        <v>833</v>
      </c>
      <c r="L37" t="s">
        <v>832</v>
      </c>
      <c r="N37">
        <f>A37</f>
        <v>17</v>
      </c>
      <c r="T37" t="s">
        <v>832</v>
      </c>
      <c r="V37">
        <f t="shared" si="2"/>
        <v>17</v>
      </c>
    </row>
    <row r="40" spans="1:22" x14ac:dyDescent="0.25">
      <c r="A40">
        <v>18</v>
      </c>
      <c r="C40" t="s">
        <v>834</v>
      </c>
      <c r="L40" t="s">
        <v>835</v>
      </c>
      <c r="N40">
        <f>A40</f>
        <v>18</v>
      </c>
      <c r="T40" t="s">
        <v>835</v>
      </c>
      <c r="V40">
        <f t="shared" si="2"/>
        <v>18</v>
      </c>
    </row>
    <row r="41" spans="1:22" x14ac:dyDescent="0.25">
      <c r="A41">
        <f>A40+1</f>
        <v>19</v>
      </c>
      <c r="C41" t="s">
        <v>836</v>
      </c>
      <c r="L41" t="s">
        <v>835</v>
      </c>
      <c r="N41">
        <f>A41</f>
        <v>19</v>
      </c>
      <c r="T41" t="s">
        <v>835</v>
      </c>
      <c r="V41">
        <f t="shared" si="2"/>
        <v>19</v>
      </c>
    </row>
    <row r="44" spans="1:22" x14ac:dyDescent="0.25">
      <c r="A44">
        <f>A41+1</f>
        <v>20</v>
      </c>
      <c r="C44" t="s">
        <v>837</v>
      </c>
      <c r="L44" t="s">
        <v>838</v>
      </c>
      <c r="N44">
        <f>A44</f>
        <v>20</v>
      </c>
      <c r="T44" t="s">
        <v>838</v>
      </c>
      <c r="V44">
        <f t="shared" si="2"/>
        <v>20</v>
      </c>
    </row>
    <row r="47" spans="1:22" x14ac:dyDescent="0.25">
      <c r="A47">
        <f>A44+1</f>
        <v>21</v>
      </c>
      <c r="C47" t="s">
        <v>782</v>
      </c>
      <c r="L47" t="s">
        <v>839</v>
      </c>
      <c r="N47">
        <f>A47</f>
        <v>21</v>
      </c>
      <c r="T47" t="s">
        <v>839</v>
      </c>
      <c r="V47">
        <f t="shared" si="2"/>
        <v>21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1DB2F-9591-44FB-AD10-0A28A6DC1AD7}">
  <dimension ref="A1:Q59"/>
  <sheetViews>
    <sheetView workbookViewId="0"/>
  </sheetViews>
  <sheetFormatPr defaultRowHeight="15" x14ac:dyDescent="0.25"/>
  <sheetData>
    <row r="1" spans="1:17" x14ac:dyDescent="0.25">
      <c r="A1" t="s">
        <v>483</v>
      </c>
    </row>
    <row r="2" spans="1:17" x14ac:dyDescent="0.25">
      <c r="A2" t="s">
        <v>840</v>
      </c>
    </row>
    <row r="3" spans="1:17" x14ac:dyDescent="0.25">
      <c r="A3" t="s">
        <v>841</v>
      </c>
    </row>
    <row r="4" spans="1:17" x14ac:dyDescent="0.25">
      <c r="A4">
        <v>36891</v>
      </c>
    </row>
    <row r="5" spans="1:17" x14ac:dyDescent="0.25">
      <c r="A5" t="s">
        <v>511</v>
      </c>
    </row>
    <row r="6" spans="1:17" x14ac:dyDescent="0.25">
      <c r="A6" t="s">
        <v>487</v>
      </c>
    </row>
    <row r="10" spans="1:17" x14ac:dyDescent="0.25">
      <c r="K10" t="s">
        <v>489</v>
      </c>
      <c r="O10" t="s">
        <v>480</v>
      </c>
    </row>
    <row r="12" spans="1:17" x14ac:dyDescent="0.25">
      <c r="A12" t="s">
        <v>490</v>
      </c>
      <c r="K12" t="s">
        <v>513</v>
      </c>
      <c r="M12" t="s">
        <v>490</v>
      </c>
      <c r="O12" t="s">
        <v>513</v>
      </c>
      <c r="Q12" t="s">
        <v>490</v>
      </c>
    </row>
    <row r="13" spans="1:17" x14ac:dyDescent="0.25">
      <c r="A13" t="s">
        <v>491</v>
      </c>
      <c r="C13" t="s">
        <v>592</v>
      </c>
      <c r="K13" t="s">
        <v>515</v>
      </c>
      <c r="M13" t="s">
        <v>491</v>
      </c>
      <c r="O13" t="s">
        <v>515</v>
      </c>
      <c r="Q13" t="s">
        <v>491</v>
      </c>
    </row>
    <row r="15" spans="1:17" x14ac:dyDescent="0.25">
      <c r="A15">
        <v>1</v>
      </c>
      <c r="C15" t="s">
        <v>842</v>
      </c>
      <c r="M15">
        <f t="shared" ref="M15:M21" si="0">A15</f>
        <v>1</v>
      </c>
      <c r="Q15">
        <f t="shared" ref="Q15:Q21" si="1">+A15</f>
        <v>1</v>
      </c>
    </row>
    <row r="16" spans="1:17" x14ac:dyDescent="0.25">
      <c r="A16">
        <v>2</v>
      </c>
      <c r="C16" t="s">
        <v>843</v>
      </c>
      <c r="K16">
        <f>25600+13456</f>
        <v>39056</v>
      </c>
      <c r="M16">
        <f t="shared" si="0"/>
        <v>2</v>
      </c>
      <c r="O16">
        <f>26800+11656</f>
        <v>38456</v>
      </c>
      <c r="Q16">
        <f t="shared" si="1"/>
        <v>2</v>
      </c>
    </row>
    <row r="17" spans="1:17" x14ac:dyDescent="0.25">
      <c r="A17">
        <v>3</v>
      </c>
      <c r="C17" t="s">
        <v>844</v>
      </c>
      <c r="K17">
        <f>K16*0.25</f>
        <v>9764</v>
      </c>
      <c r="M17">
        <f t="shared" si="0"/>
        <v>3</v>
      </c>
      <c r="O17">
        <f>O16*0.25</f>
        <v>9614</v>
      </c>
      <c r="Q17">
        <f t="shared" si="1"/>
        <v>3</v>
      </c>
    </row>
    <row r="18" spans="1:17" x14ac:dyDescent="0.25">
      <c r="A18">
        <v>4</v>
      </c>
      <c r="C18" t="s">
        <v>845</v>
      </c>
      <c r="K18">
        <v>-200</v>
      </c>
      <c r="M18">
        <f t="shared" si="0"/>
        <v>4</v>
      </c>
      <c r="O18">
        <v>-1100</v>
      </c>
      <c r="Q18">
        <f t="shared" si="1"/>
        <v>4</v>
      </c>
    </row>
    <row r="19" spans="1:17" x14ac:dyDescent="0.25">
      <c r="A19">
        <v>5</v>
      </c>
      <c r="C19" t="s">
        <v>846</v>
      </c>
      <c r="K19">
        <v>-100</v>
      </c>
      <c r="M19">
        <f t="shared" si="0"/>
        <v>5</v>
      </c>
      <c r="O19">
        <v>0</v>
      </c>
      <c r="Q19">
        <f t="shared" si="1"/>
        <v>5</v>
      </c>
    </row>
    <row r="20" spans="1:17" x14ac:dyDescent="0.25">
      <c r="A20">
        <v>6</v>
      </c>
      <c r="C20" t="s">
        <v>847</v>
      </c>
      <c r="K20">
        <v>-688</v>
      </c>
      <c r="O20">
        <v>-904</v>
      </c>
      <c r="Q20">
        <f t="shared" si="1"/>
        <v>6</v>
      </c>
    </row>
    <row r="21" spans="1:17" x14ac:dyDescent="0.25">
      <c r="A21">
        <v>7</v>
      </c>
      <c r="C21" t="s">
        <v>848</v>
      </c>
      <c r="K21">
        <v>-2160</v>
      </c>
      <c r="M21">
        <f t="shared" si="0"/>
        <v>7</v>
      </c>
      <c r="O21">
        <v>0</v>
      </c>
      <c r="Q21">
        <f t="shared" si="1"/>
        <v>7</v>
      </c>
    </row>
    <row r="23" spans="1:17" x14ac:dyDescent="0.25">
      <c r="A23">
        <v>8</v>
      </c>
      <c r="C23" t="s">
        <v>849</v>
      </c>
      <c r="K23">
        <f>SUM(K15:K22)</f>
        <v>45672</v>
      </c>
      <c r="M23">
        <f>A23</f>
        <v>8</v>
      </c>
      <c r="O23">
        <f>SUM(O15:O22)</f>
        <v>46066</v>
      </c>
      <c r="Q23">
        <f>+A23</f>
        <v>8</v>
      </c>
    </row>
    <row r="26" spans="1:17" x14ac:dyDescent="0.25">
      <c r="A26">
        <v>9</v>
      </c>
      <c r="C26" t="s">
        <v>593</v>
      </c>
      <c r="K26">
        <f>K23</f>
        <v>45672</v>
      </c>
      <c r="M26">
        <f t="shared" ref="M26:M32" si="2">A26</f>
        <v>9</v>
      </c>
      <c r="O26">
        <f>O23</f>
        <v>46066</v>
      </c>
      <c r="Q26">
        <f t="shared" ref="Q26:Q32" si="3">+A26</f>
        <v>9</v>
      </c>
    </row>
    <row r="27" spans="1:17" x14ac:dyDescent="0.25">
      <c r="A27">
        <v>10</v>
      </c>
      <c r="C27" t="s">
        <v>429</v>
      </c>
      <c r="M27">
        <f t="shared" si="2"/>
        <v>10</v>
      </c>
      <c r="Q27">
        <f t="shared" si="3"/>
        <v>10</v>
      </c>
    </row>
    <row r="28" spans="1:17" x14ac:dyDescent="0.25">
      <c r="A28">
        <v>11</v>
      </c>
      <c r="D28" t="s">
        <v>464</v>
      </c>
      <c r="I28" t="s">
        <v>84</v>
      </c>
      <c r="M28">
        <f t="shared" si="2"/>
        <v>11</v>
      </c>
      <c r="Q28">
        <f t="shared" si="3"/>
        <v>11</v>
      </c>
    </row>
    <row r="29" spans="1:17" x14ac:dyDescent="0.25">
      <c r="A29">
        <v>12</v>
      </c>
      <c r="D29" t="s">
        <v>465</v>
      </c>
      <c r="M29">
        <f t="shared" si="2"/>
        <v>12</v>
      </c>
      <c r="Q29">
        <f t="shared" si="3"/>
        <v>12</v>
      </c>
    </row>
    <row r="30" spans="1:17" x14ac:dyDescent="0.25">
      <c r="A30">
        <v>13</v>
      </c>
      <c r="D30" t="s">
        <v>594</v>
      </c>
      <c r="M30">
        <f t="shared" si="2"/>
        <v>13</v>
      </c>
      <c r="Q30">
        <f t="shared" si="3"/>
        <v>13</v>
      </c>
    </row>
    <row r="31" spans="1:17" x14ac:dyDescent="0.25">
      <c r="A31">
        <v>14</v>
      </c>
      <c r="D31" t="s">
        <v>850</v>
      </c>
      <c r="M31">
        <f t="shared" si="2"/>
        <v>14</v>
      </c>
      <c r="Q31">
        <f t="shared" si="3"/>
        <v>14</v>
      </c>
    </row>
    <row r="32" spans="1:17" x14ac:dyDescent="0.25">
      <c r="A32">
        <v>15</v>
      </c>
      <c r="D32" t="s">
        <v>774</v>
      </c>
      <c r="K32">
        <f>SUM(K19:K21)</f>
        <v>-2948</v>
      </c>
      <c r="M32">
        <f t="shared" si="2"/>
        <v>15</v>
      </c>
      <c r="O32">
        <f>SUM(O19:O21)</f>
        <v>-904</v>
      </c>
      <c r="Q32">
        <f t="shared" si="3"/>
        <v>15</v>
      </c>
    </row>
    <row r="33" spans="1:17" x14ac:dyDescent="0.25">
      <c r="I33" t="s">
        <v>84</v>
      </c>
    </row>
    <row r="34" spans="1:17" x14ac:dyDescent="0.25">
      <c r="A34">
        <v>16</v>
      </c>
      <c r="E34" t="s">
        <v>596</v>
      </c>
      <c r="K34">
        <f>SUM(K28:K32)</f>
        <v>-2948</v>
      </c>
      <c r="M34">
        <f>A34</f>
        <v>16</v>
      </c>
      <c r="O34">
        <f>SUM(O28:O32)</f>
        <v>-904</v>
      </c>
      <c r="Q34">
        <f>+A34</f>
        <v>16</v>
      </c>
    </row>
    <row r="36" spans="1:17" x14ac:dyDescent="0.25">
      <c r="A36">
        <v>17</v>
      </c>
      <c r="C36" t="s">
        <v>597</v>
      </c>
      <c r="K36">
        <f>K26-K34</f>
        <v>48620</v>
      </c>
      <c r="M36">
        <f>A36</f>
        <v>17</v>
      </c>
      <c r="O36">
        <f>O26-O34</f>
        <v>46970</v>
      </c>
      <c r="Q36">
        <f>+A36</f>
        <v>17</v>
      </c>
    </row>
    <row r="38" spans="1:17" x14ac:dyDescent="0.25">
      <c r="A38">
        <v>18</v>
      </c>
      <c r="C38" t="s">
        <v>851</v>
      </c>
      <c r="K38">
        <f>K30</f>
        <v>0</v>
      </c>
      <c r="M38">
        <f>A38</f>
        <v>18</v>
      </c>
      <c r="O38">
        <f>O30</f>
        <v>0</v>
      </c>
      <c r="Q38">
        <f>+A38</f>
        <v>18</v>
      </c>
    </row>
    <row r="39" spans="1:17" x14ac:dyDescent="0.25">
      <c r="A39">
        <v>19</v>
      </c>
      <c r="C39" t="s">
        <v>852</v>
      </c>
      <c r="K39">
        <f>K31</f>
        <v>0</v>
      </c>
      <c r="M39">
        <f>A39</f>
        <v>19</v>
      </c>
      <c r="O39">
        <f>O31</f>
        <v>0</v>
      </c>
      <c r="Q39">
        <f>+A39</f>
        <v>19</v>
      </c>
    </row>
    <row r="41" spans="1:17" x14ac:dyDescent="0.25">
      <c r="A41">
        <v>20</v>
      </c>
      <c r="C41" t="s">
        <v>568</v>
      </c>
    </row>
    <row r="42" spans="1:17" x14ac:dyDescent="0.25">
      <c r="A42">
        <v>21</v>
      </c>
      <c r="D42" t="s">
        <v>853</v>
      </c>
      <c r="M42">
        <f>A42</f>
        <v>21</v>
      </c>
      <c r="Q42">
        <f>+A42</f>
        <v>21</v>
      </c>
    </row>
    <row r="43" spans="1:17" x14ac:dyDescent="0.25">
      <c r="A43">
        <v>22</v>
      </c>
      <c r="D43" t="s">
        <v>570</v>
      </c>
      <c r="M43">
        <f>A43</f>
        <v>22</v>
      </c>
      <c r="Q43">
        <f>+A43</f>
        <v>22</v>
      </c>
    </row>
    <row r="44" spans="1:17" x14ac:dyDescent="0.25">
      <c r="A44">
        <v>24</v>
      </c>
      <c r="D44" t="s">
        <v>572</v>
      </c>
      <c r="M44">
        <f>A44</f>
        <v>24</v>
      </c>
      <c r="Q44">
        <f>+A44</f>
        <v>24</v>
      </c>
    </row>
    <row r="45" spans="1:17" x14ac:dyDescent="0.25">
      <c r="A45">
        <v>25</v>
      </c>
      <c r="D45" t="s">
        <v>573</v>
      </c>
      <c r="M45">
        <f>A45</f>
        <v>25</v>
      </c>
      <c r="Q45">
        <f>+A45</f>
        <v>25</v>
      </c>
    </row>
    <row r="46" spans="1:17" x14ac:dyDescent="0.25">
      <c r="A46">
        <v>26</v>
      </c>
      <c r="D46" t="s">
        <v>854</v>
      </c>
      <c r="M46">
        <f>A46</f>
        <v>26</v>
      </c>
      <c r="Q46">
        <f>+A46</f>
        <v>26</v>
      </c>
    </row>
    <row r="48" spans="1:17" x14ac:dyDescent="0.25">
      <c r="A48">
        <v>27</v>
      </c>
      <c r="C48" t="s">
        <v>855</v>
      </c>
      <c r="M48">
        <f>A48</f>
        <v>27</v>
      </c>
      <c r="Q48">
        <f>+A48</f>
        <v>27</v>
      </c>
    </row>
    <row r="49" spans="1:17" x14ac:dyDescent="0.25">
      <c r="A49">
        <v>28</v>
      </c>
      <c r="C49" t="s">
        <v>856</v>
      </c>
      <c r="M49">
        <f>A49</f>
        <v>28</v>
      </c>
      <c r="Q49">
        <f>+A49</f>
        <v>28</v>
      </c>
    </row>
    <row r="51" spans="1:17" x14ac:dyDescent="0.25">
      <c r="A51">
        <v>29</v>
      </c>
      <c r="D51" t="s">
        <v>857</v>
      </c>
      <c r="K51">
        <f>SUM(K36:K50)</f>
        <v>48620</v>
      </c>
      <c r="M51">
        <f>A51</f>
        <v>29</v>
      </c>
      <c r="O51">
        <f>SUM(O36:O50)</f>
        <v>46970</v>
      </c>
      <c r="Q51">
        <f>+A51</f>
        <v>29</v>
      </c>
    </row>
    <row r="53" spans="1:17" x14ac:dyDescent="0.25">
      <c r="A53">
        <v>30</v>
      </c>
      <c r="C53" t="s">
        <v>858</v>
      </c>
      <c r="K53">
        <f>-25600-K46</f>
        <v>-25600</v>
      </c>
      <c r="M53">
        <f>A53</f>
        <v>30</v>
      </c>
      <c r="O53">
        <f>-26800-O46</f>
        <v>-26800</v>
      </c>
      <c r="Q53">
        <f>+A53</f>
        <v>30</v>
      </c>
    </row>
    <row r="55" spans="1:17" x14ac:dyDescent="0.25">
      <c r="A55">
        <v>31</v>
      </c>
      <c r="D55" t="s">
        <v>857</v>
      </c>
      <c r="K55">
        <f>SUM(K51:K53)</f>
        <v>23020</v>
      </c>
      <c r="M55">
        <f>+A55</f>
        <v>31</v>
      </c>
      <c r="O55">
        <f>SUM(O51:O53)</f>
        <v>20170</v>
      </c>
      <c r="Q55">
        <f>+A55</f>
        <v>31</v>
      </c>
    </row>
    <row r="57" spans="1:17" x14ac:dyDescent="0.25">
      <c r="A57">
        <v>32</v>
      </c>
      <c r="C57" t="s">
        <v>859</v>
      </c>
      <c r="M57">
        <f>+A57</f>
        <v>32</v>
      </c>
      <c r="Q57">
        <f>+A57</f>
        <v>32</v>
      </c>
    </row>
    <row r="59" spans="1:17" x14ac:dyDescent="0.25">
      <c r="A59">
        <v>33</v>
      </c>
      <c r="C59" t="s">
        <v>860</v>
      </c>
      <c r="K59">
        <f>+K55+K57</f>
        <v>23020</v>
      </c>
      <c r="M59">
        <f>+A59</f>
        <v>33</v>
      </c>
      <c r="O59">
        <f>+O55+O57</f>
        <v>20170</v>
      </c>
      <c r="Q59">
        <f>+A59</f>
        <v>33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3C416-786E-46B3-8179-7B9D1737269D}">
  <dimension ref="A1:Q74"/>
  <sheetViews>
    <sheetView workbookViewId="0"/>
  </sheetViews>
  <sheetFormatPr defaultRowHeight="15" x14ac:dyDescent="0.25"/>
  <sheetData>
    <row r="1" spans="1:17" x14ac:dyDescent="0.25">
      <c r="A1" t="s">
        <v>343</v>
      </c>
    </row>
    <row r="2" spans="1:17" x14ac:dyDescent="0.25">
      <c r="A2" t="s">
        <v>344</v>
      </c>
    </row>
    <row r="3" spans="1:17" x14ac:dyDescent="0.25">
      <c r="A3" t="s">
        <v>394</v>
      </c>
      <c r="I3" t="s">
        <v>84</v>
      </c>
    </row>
    <row r="4" spans="1:17" x14ac:dyDescent="0.25">
      <c r="L4" t="s">
        <v>347</v>
      </c>
      <c r="M4" t="s">
        <v>395</v>
      </c>
      <c r="N4" t="s">
        <v>396</v>
      </c>
      <c r="O4" t="s">
        <v>397</v>
      </c>
      <c r="P4" t="s">
        <v>84</v>
      </c>
      <c r="Q4" t="s">
        <v>84</v>
      </c>
    </row>
    <row r="5" spans="1:17" x14ac:dyDescent="0.25">
      <c r="H5" t="s">
        <v>398</v>
      </c>
      <c r="J5" t="s">
        <v>399</v>
      </c>
      <c r="K5" t="s">
        <v>84</v>
      </c>
      <c r="L5" t="s">
        <v>352</v>
      </c>
    </row>
    <row r="6" spans="1:17" x14ac:dyDescent="0.25">
      <c r="H6">
        <v>1999</v>
      </c>
      <c r="J6">
        <v>1999</v>
      </c>
    </row>
    <row r="8" spans="1:17" x14ac:dyDescent="0.25">
      <c r="A8" t="s">
        <v>353</v>
      </c>
    </row>
    <row r="10" spans="1:17" x14ac:dyDescent="0.25">
      <c r="A10" t="s">
        <v>354</v>
      </c>
      <c r="G10" t="s">
        <v>355</v>
      </c>
      <c r="H10">
        <v>128621</v>
      </c>
      <c r="I10">
        <f>+P10</f>
        <v>-128621</v>
      </c>
      <c r="J10">
        <f>+H10+I10</f>
        <v>0</v>
      </c>
      <c r="M10">
        <f>+L10-H10</f>
        <v>-128621</v>
      </c>
      <c r="P10">
        <f>SUM(M10:O10)</f>
        <v>-128621</v>
      </c>
    </row>
    <row r="11" spans="1:17" x14ac:dyDescent="0.25">
      <c r="H11" t="s">
        <v>84</v>
      </c>
      <c r="J11" t="s">
        <v>84</v>
      </c>
    </row>
    <row r="12" spans="1:17" x14ac:dyDescent="0.25">
      <c r="A12" t="s">
        <v>356</v>
      </c>
      <c r="H12">
        <v>29067</v>
      </c>
      <c r="I12">
        <f>+P12</f>
        <v>-8733</v>
      </c>
      <c r="J12">
        <f>+H12+I12</f>
        <v>20334</v>
      </c>
      <c r="M12">
        <v>-8733</v>
      </c>
      <c r="P12">
        <f>SUM(M12:O12)</f>
        <v>-8733</v>
      </c>
    </row>
    <row r="13" spans="1:17" x14ac:dyDescent="0.25">
      <c r="H13">
        <v>0</v>
      </c>
      <c r="J13">
        <f>+H13+I13</f>
        <v>0</v>
      </c>
    </row>
    <row r="14" spans="1:17" x14ac:dyDescent="0.25">
      <c r="A14" t="s">
        <v>357</v>
      </c>
      <c r="H14" t="s">
        <v>84</v>
      </c>
      <c r="J14" t="s">
        <v>84</v>
      </c>
    </row>
    <row r="15" spans="1:17" x14ac:dyDescent="0.25">
      <c r="B15" t="s">
        <v>358</v>
      </c>
      <c r="H15" t="s">
        <v>84</v>
      </c>
      <c r="J15" t="s">
        <v>84</v>
      </c>
    </row>
    <row r="16" spans="1:17" x14ac:dyDescent="0.25">
      <c r="C16" t="s">
        <v>359</v>
      </c>
      <c r="H16">
        <v>28399</v>
      </c>
      <c r="I16">
        <f>+P16</f>
        <v>-134</v>
      </c>
      <c r="J16">
        <f>+H16+I16</f>
        <v>28265</v>
      </c>
      <c r="L16" t="s">
        <v>84</v>
      </c>
      <c r="M16" t="s">
        <v>84</v>
      </c>
      <c r="O16">
        <f>-2134+15000-13000</f>
        <v>-134</v>
      </c>
      <c r="P16">
        <f>SUM(M16:O16)</f>
        <v>-134</v>
      </c>
    </row>
    <row r="17" spans="1:16" x14ac:dyDescent="0.25">
      <c r="C17" t="s">
        <v>360</v>
      </c>
      <c r="H17">
        <v>15020</v>
      </c>
      <c r="I17">
        <f>+P17</f>
        <v>2134</v>
      </c>
      <c r="J17">
        <f>+H17+I17</f>
        <v>17154</v>
      </c>
      <c r="L17" t="s">
        <v>84</v>
      </c>
      <c r="M17" t="s">
        <v>84</v>
      </c>
      <c r="O17">
        <v>2134</v>
      </c>
      <c r="P17">
        <f>SUM(M17:O17)</f>
        <v>2134</v>
      </c>
    </row>
    <row r="18" spans="1:16" x14ac:dyDescent="0.25">
      <c r="B18" t="s">
        <v>361</v>
      </c>
      <c r="H18">
        <v>42677</v>
      </c>
      <c r="I18">
        <f>+P18</f>
        <v>-2242</v>
      </c>
      <c r="J18">
        <f>+H18+I18</f>
        <v>40435</v>
      </c>
      <c r="L18" t="s">
        <v>84</v>
      </c>
      <c r="M18" t="s">
        <v>84</v>
      </c>
      <c r="O18">
        <f>170213-157455-15000</f>
        <v>-2242</v>
      </c>
      <c r="P18">
        <f>SUM(M18:O18)</f>
        <v>-2242</v>
      </c>
    </row>
    <row r="19" spans="1:16" x14ac:dyDescent="0.25">
      <c r="B19" t="s">
        <v>362</v>
      </c>
      <c r="H19">
        <v>0</v>
      </c>
      <c r="I19">
        <f>+P19</f>
        <v>0</v>
      </c>
      <c r="J19">
        <f>+H19+I19</f>
        <v>0</v>
      </c>
      <c r="L19" t="s">
        <v>84</v>
      </c>
    </row>
    <row r="20" spans="1:16" x14ac:dyDescent="0.25">
      <c r="B20" t="s">
        <v>70</v>
      </c>
      <c r="H20">
        <v>3202</v>
      </c>
      <c r="I20">
        <f>+P20</f>
        <v>0</v>
      </c>
      <c r="J20">
        <f>+H20+I20</f>
        <v>3202</v>
      </c>
      <c r="L20" t="s">
        <v>84</v>
      </c>
      <c r="M20" t="s">
        <v>84</v>
      </c>
      <c r="O20" t="s">
        <v>84</v>
      </c>
    </row>
    <row r="21" spans="1:16" x14ac:dyDescent="0.25">
      <c r="C21" t="s">
        <v>363</v>
      </c>
      <c r="H21">
        <f>SUM(H16:H20)</f>
        <v>89298</v>
      </c>
      <c r="J21">
        <f>SUM(J16:J20)</f>
        <v>89056</v>
      </c>
      <c r="L21" t="s">
        <v>84</v>
      </c>
    </row>
    <row r="22" spans="1:16" x14ac:dyDescent="0.25">
      <c r="L22" t="s">
        <v>84</v>
      </c>
    </row>
    <row r="23" spans="1:16" x14ac:dyDescent="0.25">
      <c r="A23" t="s">
        <v>364</v>
      </c>
      <c r="L23" t="s">
        <v>84</v>
      </c>
    </row>
    <row r="24" spans="1:16" x14ac:dyDescent="0.25">
      <c r="B24" t="s">
        <v>365</v>
      </c>
      <c r="H24">
        <v>1352</v>
      </c>
      <c r="I24">
        <f>+P24</f>
        <v>-24</v>
      </c>
      <c r="J24">
        <f>+H24+I24</f>
        <v>1328</v>
      </c>
      <c r="L24">
        <v>1328</v>
      </c>
      <c r="N24">
        <f>+L24-H24</f>
        <v>-24</v>
      </c>
      <c r="P24">
        <f>SUM(M24:O24)</f>
        <v>-24</v>
      </c>
    </row>
    <row r="25" spans="1:16" x14ac:dyDescent="0.25">
      <c r="B25" t="s">
        <v>350</v>
      </c>
      <c r="H25">
        <v>232</v>
      </c>
      <c r="I25">
        <f>+P25</f>
        <v>0</v>
      </c>
      <c r="J25">
        <f>+H25</f>
        <v>232</v>
      </c>
      <c r="P25">
        <f>SUM(M25:O25)</f>
        <v>0</v>
      </c>
    </row>
    <row r="26" spans="1:16" x14ac:dyDescent="0.25">
      <c r="C26" t="s">
        <v>366</v>
      </c>
      <c r="H26">
        <f>SUM(H24:H25)</f>
        <v>1584</v>
      </c>
      <c r="J26">
        <f>+J24+J25</f>
        <v>1560</v>
      </c>
      <c r="L26" t="s">
        <v>84</v>
      </c>
    </row>
    <row r="27" spans="1:16" x14ac:dyDescent="0.25">
      <c r="L27" t="s">
        <v>84</v>
      </c>
    </row>
    <row r="28" spans="1:16" x14ac:dyDescent="0.25">
      <c r="D28" t="s">
        <v>367</v>
      </c>
      <c r="G28" t="s">
        <v>355</v>
      </c>
      <c r="H28">
        <f>+H10+H12+H21+H26</f>
        <v>248570</v>
      </c>
      <c r="I28">
        <f>SUM(I10:I27)</f>
        <v>-137620</v>
      </c>
      <c r="J28">
        <f>+J10+J12+J21+J26</f>
        <v>110950</v>
      </c>
    </row>
    <row r="30" spans="1:16" x14ac:dyDescent="0.25">
      <c r="A30" t="s">
        <v>368</v>
      </c>
    </row>
    <row r="32" spans="1:16" x14ac:dyDescent="0.25">
      <c r="A32" t="s">
        <v>369</v>
      </c>
    </row>
    <row r="33" spans="1:16" x14ac:dyDescent="0.25">
      <c r="B33" t="s">
        <v>370</v>
      </c>
      <c r="G33" t="s">
        <v>355</v>
      </c>
      <c r="H33">
        <v>-48676</v>
      </c>
      <c r="I33">
        <f>+P33</f>
        <v>-137799</v>
      </c>
      <c r="J33">
        <f>+H33+I33</f>
        <v>-186475</v>
      </c>
      <c r="L33" t="s">
        <v>84</v>
      </c>
      <c r="M33">
        <f>+M10+M12</f>
        <v>-137354</v>
      </c>
      <c r="N33">
        <v>-24</v>
      </c>
      <c r="O33">
        <f>12758-11607-1572</f>
        <v>-421</v>
      </c>
      <c r="P33">
        <f>SUM(M33:O33)</f>
        <v>-137799</v>
      </c>
    </row>
    <row r="34" spans="1:16" x14ac:dyDescent="0.25">
      <c r="B34" t="s">
        <v>371</v>
      </c>
      <c r="H34">
        <v>0</v>
      </c>
      <c r="I34">
        <f>+P34</f>
        <v>0</v>
      </c>
      <c r="J34">
        <f>+H34+I34</f>
        <v>0</v>
      </c>
      <c r="L34" t="s">
        <v>84</v>
      </c>
      <c r="M34" t="s">
        <v>84</v>
      </c>
      <c r="O34" t="s">
        <v>84</v>
      </c>
      <c r="P34">
        <f>SUM(M34:O34)</f>
        <v>0</v>
      </c>
    </row>
    <row r="35" spans="1:16" x14ac:dyDescent="0.25">
      <c r="B35" t="s">
        <v>400</v>
      </c>
      <c r="H35">
        <v>256900</v>
      </c>
      <c r="I35">
        <f>+P35</f>
        <v>-1200</v>
      </c>
      <c r="J35">
        <f>+H35+I35</f>
        <v>255700</v>
      </c>
      <c r="L35">
        <v>0</v>
      </c>
      <c r="M35">
        <f>-M39</f>
        <v>-1200</v>
      </c>
      <c r="O35">
        <v>0</v>
      </c>
      <c r="P35">
        <f>SUM(M35:O35)</f>
        <v>-1200</v>
      </c>
    </row>
    <row r="36" spans="1:16" x14ac:dyDescent="0.25">
      <c r="D36" t="s">
        <v>373</v>
      </c>
      <c r="H36">
        <f>+H33+H35</f>
        <v>208224</v>
      </c>
      <c r="J36">
        <f>SUM(J33:J35)</f>
        <v>69225</v>
      </c>
    </row>
    <row r="38" spans="1:16" x14ac:dyDescent="0.25">
      <c r="A38" t="s">
        <v>374</v>
      </c>
    </row>
    <row r="39" spans="1:16" x14ac:dyDescent="0.25">
      <c r="B39" t="s">
        <v>378</v>
      </c>
      <c r="H39">
        <v>25600</v>
      </c>
      <c r="I39">
        <f>+P39</f>
        <v>1200</v>
      </c>
      <c r="J39">
        <f>+H39+I39</f>
        <v>26800</v>
      </c>
      <c r="L39">
        <v>26800</v>
      </c>
      <c r="M39">
        <f>+L39-H39</f>
        <v>1200</v>
      </c>
      <c r="P39">
        <f>SUM(M39:O39)</f>
        <v>1200</v>
      </c>
    </row>
    <row r="40" spans="1:16" x14ac:dyDescent="0.25">
      <c r="B40" t="s">
        <v>375</v>
      </c>
      <c r="H40">
        <v>14746</v>
      </c>
      <c r="I40">
        <f>+P40</f>
        <v>179</v>
      </c>
      <c r="J40">
        <f>+H40+I40</f>
        <v>14925</v>
      </c>
      <c r="L40" t="s">
        <v>84</v>
      </c>
      <c r="M40" t="s">
        <v>84</v>
      </c>
      <c r="O40">
        <f>115698-104091-16131+17703-13000</f>
        <v>179</v>
      </c>
      <c r="P40">
        <f>SUM(M40:O40)</f>
        <v>179</v>
      </c>
    </row>
    <row r="41" spans="1:16" x14ac:dyDescent="0.25">
      <c r="B41" t="s">
        <v>376</v>
      </c>
    </row>
    <row r="42" spans="1:16" x14ac:dyDescent="0.25">
      <c r="B42" t="s">
        <v>362</v>
      </c>
    </row>
    <row r="43" spans="1:16" x14ac:dyDescent="0.25">
      <c r="B43" t="s">
        <v>377</v>
      </c>
    </row>
    <row r="44" spans="1:16" x14ac:dyDescent="0.25">
      <c r="B44" t="s">
        <v>378</v>
      </c>
    </row>
    <row r="45" spans="1:16" x14ac:dyDescent="0.25">
      <c r="B45" t="s">
        <v>350</v>
      </c>
    </row>
    <row r="46" spans="1:16" x14ac:dyDescent="0.25">
      <c r="C46" t="s">
        <v>379</v>
      </c>
      <c r="H46">
        <f>+H39+H40</f>
        <v>40346</v>
      </c>
      <c r="J46">
        <f>+J39+J40</f>
        <v>41725</v>
      </c>
    </row>
    <row r="48" spans="1:16" x14ac:dyDescent="0.25">
      <c r="A48" t="s">
        <v>380</v>
      </c>
    </row>
    <row r="49" spans="1:17" x14ac:dyDescent="0.25">
      <c r="A49" t="s">
        <v>84</v>
      </c>
      <c r="B49" t="s">
        <v>381</v>
      </c>
    </row>
    <row r="50" spans="1:17" x14ac:dyDescent="0.25">
      <c r="B50" t="s">
        <v>350</v>
      </c>
    </row>
    <row r="51" spans="1:17" x14ac:dyDescent="0.25">
      <c r="C51" t="s">
        <v>382</v>
      </c>
    </row>
    <row r="52" spans="1:17" x14ac:dyDescent="0.25">
      <c r="D52" t="s">
        <v>383</v>
      </c>
      <c r="H52">
        <f>+H46</f>
        <v>40346</v>
      </c>
      <c r="I52" t="s">
        <v>84</v>
      </c>
      <c r="J52">
        <f>+J46+J51</f>
        <v>41725</v>
      </c>
    </row>
    <row r="54" spans="1:17" x14ac:dyDescent="0.25">
      <c r="D54" t="s">
        <v>384</v>
      </c>
      <c r="G54" t="s">
        <v>355</v>
      </c>
      <c r="H54">
        <f>+H36+H52</f>
        <v>248570</v>
      </c>
      <c r="I54">
        <f>SUM(I33:I52)</f>
        <v>-137620</v>
      </c>
      <c r="J54">
        <f>+J36+J52</f>
        <v>110950</v>
      </c>
    </row>
    <row r="57" spans="1:17" x14ac:dyDescent="0.25">
      <c r="A57" t="s">
        <v>385</v>
      </c>
    </row>
    <row r="58" spans="1:17" x14ac:dyDescent="0.25">
      <c r="B58" t="s">
        <v>386</v>
      </c>
      <c r="L58" t="s">
        <v>84</v>
      </c>
      <c r="M58" t="s">
        <v>84</v>
      </c>
      <c r="O58" t="str">
        <f>+M58</f>
        <v xml:space="preserve"> </v>
      </c>
      <c r="Q58" t="s">
        <v>84</v>
      </c>
    </row>
    <row r="59" spans="1:17" x14ac:dyDescent="0.25">
      <c r="B59" t="s">
        <v>84</v>
      </c>
      <c r="L59" t="s">
        <v>84</v>
      </c>
    </row>
    <row r="60" spans="1:17" x14ac:dyDescent="0.25">
      <c r="O60">
        <f>SUM(O6:O58)</f>
        <v>-484</v>
      </c>
    </row>
    <row r="68" spans="1:10" x14ac:dyDescent="0.25">
      <c r="A68" t="s">
        <v>401</v>
      </c>
      <c r="J68" t="s">
        <v>402</v>
      </c>
    </row>
    <row r="70" spans="1:10" x14ac:dyDescent="0.25">
      <c r="C70" t="s">
        <v>403</v>
      </c>
      <c r="H70">
        <v>1271</v>
      </c>
      <c r="I70">
        <v>6</v>
      </c>
      <c r="J70">
        <f>+H70/I70</f>
        <v>211.83333333333334</v>
      </c>
    </row>
    <row r="72" spans="1:10" x14ac:dyDescent="0.25">
      <c r="C72" t="s">
        <v>404</v>
      </c>
      <c r="H72">
        <v>1692</v>
      </c>
      <c r="I72">
        <v>1</v>
      </c>
      <c r="J72">
        <f>+H72</f>
        <v>1692</v>
      </c>
    </row>
    <row r="74" spans="1:10" x14ac:dyDescent="0.25">
      <c r="J74">
        <f>+J70+J72</f>
        <v>1903.8333333333333</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B76B5-AD9C-46E4-B077-D198D0DB2EF0}">
  <dimension ref="A1:N92"/>
  <sheetViews>
    <sheetView workbookViewId="0"/>
  </sheetViews>
  <sheetFormatPr defaultRowHeight="15" x14ac:dyDescent="0.25"/>
  <sheetData>
    <row r="1" spans="1:8" x14ac:dyDescent="0.25">
      <c r="A1" t="s">
        <v>861</v>
      </c>
    </row>
    <row r="2" spans="1:8" x14ac:dyDescent="0.25">
      <c r="A2" t="s">
        <v>861</v>
      </c>
    </row>
    <row r="3" spans="1:8" x14ac:dyDescent="0.25">
      <c r="A3" t="s">
        <v>862</v>
      </c>
    </row>
    <row r="7" spans="1:8" x14ac:dyDescent="0.25">
      <c r="H7" t="s">
        <v>863</v>
      </c>
    </row>
    <row r="8" spans="1:8" x14ac:dyDescent="0.25">
      <c r="H8" t="s">
        <v>864</v>
      </c>
    </row>
    <row r="9" spans="1:8" x14ac:dyDescent="0.25">
      <c r="A9" t="s">
        <v>865</v>
      </c>
      <c r="E9" t="s">
        <v>84</v>
      </c>
      <c r="H9" t="s">
        <v>865</v>
      </c>
    </row>
    <row r="10" spans="1:8" x14ac:dyDescent="0.25">
      <c r="A10" t="s">
        <v>864</v>
      </c>
      <c r="H10" t="s">
        <v>864</v>
      </c>
    </row>
    <row r="11" spans="1:8" x14ac:dyDescent="0.25">
      <c r="A11" t="s">
        <v>866</v>
      </c>
      <c r="H11" t="s">
        <v>866</v>
      </c>
    </row>
    <row r="12" spans="1:8" x14ac:dyDescent="0.25">
      <c r="A12" t="s">
        <v>864</v>
      </c>
      <c r="H12" t="s">
        <v>864</v>
      </c>
    </row>
    <row r="13" spans="1:8" x14ac:dyDescent="0.25">
      <c r="A13" t="s">
        <v>867</v>
      </c>
    </row>
    <row r="14" spans="1:8" x14ac:dyDescent="0.25">
      <c r="A14" t="s">
        <v>864</v>
      </c>
    </row>
    <row r="15" spans="1:8" x14ac:dyDescent="0.25">
      <c r="A15" t="s">
        <v>868</v>
      </c>
    </row>
    <row r="16" spans="1:8" x14ac:dyDescent="0.25">
      <c r="A16" t="s">
        <v>864</v>
      </c>
    </row>
    <row r="17" spans="1:11" x14ac:dyDescent="0.25">
      <c r="A17" t="s">
        <v>869</v>
      </c>
    </row>
    <row r="18" spans="1:11" x14ac:dyDescent="0.25">
      <c r="A18" t="s">
        <v>864</v>
      </c>
    </row>
    <row r="19" spans="1:11" x14ac:dyDescent="0.25">
      <c r="A19" t="s">
        <v>870</v>
      </c>
    </row>
    <row r="20" spans="1:11" x14ac:dyDescent="0.25">
      <c r="A20" t="s">
        <v>864</v>
      </c>
      <c r="H20" t="s">
        <v>871</v>
      </c>
      <c r="K20" t="s">
        <v>871</v>
      </c>
    </row>
    <row r="21" spans="1:11" x14ac:dyDescent="0.25">
      <c r="A21" t="s">
        <v>872</v>
      </c>
      <c r="H21" t="s">
        <v>873</v>
      </c>
      <c r="K21" t="s">
        <v>874</v>
      </c>
    </row>
    <row r="22" spans="1:11" x14ac:dyDescent="0.25">
      <c r="A22" t="s">
        <v>864</v>
      </c>
      <c r="H22" t="s">
        <v>875</v>
      </c>
      <c r="K22" t="s">
        <v>875</v>
      </c>
    </row>
    <row r="23" spans="1:11" x14ac:dyDescent="0.25">
      <c r="A23" t="s">
        <v>876</v>
      </c>
    </row>
    <row r="24" spans="1:11" x14ac:dyDescent="0.25">
      <c r="A24" t="s">
        <v>864</v>
      </c>
      <c r="H24" t="s">
        <v>877</v>
      </c>
      <c r="K24" t="s">
        <v>878</v>
      </c>
    </row>
    <row r="25" spans="1:11" x14ac:dyDescent="0.25">
      <c r="A25" t="s">
        <v>879</v>
      </c>
      <c r="H25" t="s">
        <v>864</v>
      </c>
      <c r="K25" t="s">
        <v>864</v>
      </c>
    </row>
    <row r="26" spans="1:11" x14ac:dyDescent="0.25">
      <c r="A26" t="s">
        <v>864</v>
      </c>
      <c r="H26" t="s">
        <v>880</v>
      </c>
      <c r="K26" t="s">
        <v>881</v>
      </c>
    </row>
    <row r="27" spans="1:11" x14ac:dyDescent="0.25">
      <c r="A27" t="s">
        <v>882</v>
      </c>
      <c r="H27" t="s">
        <v>864</v>
      </c>
      <c r="K27" t="s">
        <v>864</v>
      </c>
    </row>
    <row r="28" spans="1:11" x14ac:dyDescent="0.25">
      <c r="A28" t="s">
        <v>864</v>
      </c>
    </row>
    <row r="29" spans="1:11" x14ac:dyDescent="0.25">
      <c r="A29" t="s">
        <v>883</v>
      </c>
    </row>
    <row r="30" spans="1:11" x14ac:dyDescent="0.25">
      <c r="A30" t="s">
        <v>864</v>
      </c>
      <c r="H30" t="s">
        <v>84</v>
      </c>
    </row>
    <row r="31" spans="1:11" x14ac:dyDescent="0.25">
      <c r="A31" t="s">
        <v>884</v>
      </c>
    </row>
    <row r="32" spans="1:11" x14ac:dyDescent="0.25">
      <c r="A32" t="s">
        <v>864</v>
      </c>
    </row>
    <row r="33" spans="1:14" x14ac:dyDescent="0.25">
      <c r="A33" t="s">
        <v>885</v>
      </c>
    </row>
    <row r="34" spans="1:14" x14ac:dyDescent="0.25">
      <c r="A34" t="s">
        <v>864</v>
      </c>
    </row>
    <row r="35" spans="1:14" x14ac:dyDescent="0.25">
      <c r="A35" t="s">
        <v>886</v>
      </c>
    </row>
    <row r="36" spans="1:14" x14ac:dyDescent="0.25">
      <c r="A36" t="s">
        <v>864</v>
      </c>
    </row>
    <row r="37" spans="1:14" x14ac:dyDescent="0.25">
      <c r="A37" t="s">
        <v>887</v>
      </c>
    </row>
    <row r="38" spans="1:14" x14ac:dyDescent="0.25">
      <c r="A38" t="s">
        <v>864</v>
      </c>
    </row>
    <row r="39" spans="1:14" x14ac:dyDescent="0.25">
      <c r="A39" t="s">
        <v>888</v>
      </c>
    </row>
    <row r="40" spans="1:14" x14ac:dyDescent="0.25">
      <c r="A40" t="s">
        <v>864</v>
      </c>
    </row>
    <row r="41" spans="1:14" x14ac:dyDescent="0.25">
      <c r="A41" t="s">
        <v>889</v>
      </c>
    </row>
    <row r="42" spans="1:14" x14ac:dyDescent="0.25">
      <c r="A42" t="s">
        <v>864</v>
      </c>
    </row>
    <row r="43" spans="1:14" x14ac:dyDescent="0.25">
      <c r="A43" t="s">
        <v>890</v>
      </c>
    </row>
    <row r="44" spans="1:14" x14ac:dyDescent="0.25">
      <c r="A44" t="s">
        <v>864</v>
      </c>
    </row>
    <row r="45" spans="1:14" x14ac:dyDescent="0.25">
      <c r="A45" t="s">
        <v>891</v>
      </c>
    </row>
    <row r="46" spans="1:14" x14ac:dyDescent="0.25">
      <c r="A46" t="s">
        <v>864</v>
      </c>
    </row>
    <row r="47" spans="1:14" x14ac:dyDescent="0.25">
      <c r="A47" t="s">
        <v>892</v>
      </c>
      <c r="H47" t="s">
        <v>871</v>
      </c>
      <c r="K47" t="s">
        <v>871</v>
      </c>
      <c r="N47" t="s">
        <v>871</v>
      </c>
    </row>
    <row r="48" spans="1:14" x14ac:dyDescent="0.25">
      <c r="A48" t="s">
        <v>864</v>
      </c>
      <c r="H48" t="s">
        <v>893</v>
      </c>
      <c r="K48" t="s">
        <v>894</v>
      </c>
      <c r="N48" t="s">
        <v>895</v>
      </c>
    </row>
    <row r="49" spans="1:14" x14ac:dyDescent="0.25">
      <c r="A49" t="s">
        <v>896</v>
      </c>
      <c r="H49" t="s">
        <v>875</v>
      </c>
      <c r="K49" t="s">
        <v>875</v>
      </c>
      <c r="N49" t="s">
        <v>875</v>
      </c>
    </row>
    <row r="50" spans="1:14" x14ac:dyDescent="0.25">
      <c r="A50" t="s">
        <v>864</v>
      </c>
    </row>
    <row r="51" spans="1:14" x14ac:dyDescent="0.25">
      <c r="A51" t="s">
        <v>897</v>
      </c>
    </row>
    <row r="52" spans="1:14" x14ac:dyDescent="0.25">
      <c r="A52" t="s">
        <v>864</v>
      </c>
    </row>
    <row r="53" spans="1:14" x14ac:dyDescent="0.25">
      <c r="H53" t="s">
        <v>84</v>
      </c>
    </row>
    <row r="54" spans="1:14" x14ac:dyDescent="0.25">
      <c r="H54" t="s">
        <v>84</v>
      </c>
    </row>
    <row r="55" spans="1:14" x14ac:dyDescent="0.25">
      <c r="K55" t="s">
        <v>898</v>
      </c>
      <c r="N55" t="s">
        <v>899</v>
      </c>
    </row>
    <row r="56" spans="1:14" x14ac:dyDescent="0.25">
      <c r="K56" t="s">
        <v>864</v>
      </c>
      <c r="N56" t="s">
        <v>864</v>
      </c>
    </row>
    <row r="57" spans="1:14" x14ac:dyDescent="0.25">
      <c r="H57" t="s">
        <v>900</v>
      </c>
      <c r="K57" t="s">
        <v>901</v>
      </c>
      <c r="N57" t="s">
        <v>902</v>
      </c>
    </row>
    <row r="58" spans="1:14" x14ac:dyDescent="0.25">
      <c r="H58" t="s">
        <v>864</v>
      </c>
      <c r="K58" t="s">
        <v>864</v>
      </c>
      <c r="N58" t="s">
        <v>864</v>
      </c>
    </row>
    <row r="59" spans="1:14" x14ac:dyDescent="0.25">
      <c r="H59" t="s">
        <v>903</v>
      </c>
      <c r="K59" t="s">
        <v>904</v>
      </c>
      <c r="N59" t="s">
        <v>905</v>
      </c>
    </row>
    <row r="60" spans="1:14" x14ac:dyDescent="0.25">
      <c r="H60" t="s">
        <v>864</v>
      </c>
      <c r="K60" t="s">
        <v>864</v>
      </c>
      <c r="N60" t="s">
        <v>864</v>
      </c>
    </row>
    <row r="61" spans="1:14" x14ac:dyDescent="0.25">
      <c r="H61" t="s">
        <v>906</v>
      </c>
    </row>
    <row r="62" spans="1:14" x14ac:dyDescent="0.25">
      <c r="H62" t="s">
        <v>864</v>
      </c>
    </row>
    <row r="66" spans="1:1" x14ac:dyDescent="0.25">
      <c r="A66" t="s">
        <v>907</v>
      </c>
    </row>
    <row r="67" spans="1:1" x14ac:dyDescent="0.25">
      <c r="A67" t="s">
        <v>864</v>
      </c>
    </row>
    <row r="68" spans="1:1" x14ac:dyDescent="0.25">
      <c r="A68" t="s">
        <v>908</v>
      </c>
    </row>
    <row r="69" spans="1:1" x14ac:dyDescent="0.25">
      <c r="A69" t="s">
        <v>864</v>
      </c>
    </row>
    <row r="70" spans="1:1" x14ac:dyDescent="0.25">
      <c r="A70" t="s">
        <v>909</v>
      </c>
    </row>
    <row r="71" spans="1:1" x14ac:dyDescent="0.25">
      <c r="A71" t="s">
        <v>864</v>
      </c>
    </row>
    <row r="72" spans="1:1" x14ac:dyDescent="0.25">
      <c r="A72" t="s">
        <v>910</v>
      </c>
    </row>
    <row r="73" spans="1:1" x14ac:dyDescent="0.25">
      <c r="A73" t="s">
        <v>864</v>
      </c>
    </row>
    <row r="74" spans="1:1" x14ac:dyDescent="0.25">
      <c r="A74" t="s">
        <v>911</v>
      </c>
    </row>
    <row r="75" spans="1:1" x14ac:dyDescent="0.25">
      <c r="A75" t="s">
        <v>864</v>
      </c>
    </row>
    <row r="81" spans="1:1" x14ac:dyDescent="0.25">
      <c r="A81" t="s">
        <v>867</v>
      </c>
    </row>
    <row r="82" spans="1:1" x14ac:dyDescent="0.25">
      <c r="A82" t="s">
        <v>864</v>
      </c>
    </row>
    <row r="83" spans="1:1" x14ac:dyDescent="0.25">
      <c r="A83" t="s">
        <v>868</v>
      </c>
    </row>
    <row r="84" spans="1:1" x14ac:dyDescent="0.25">
      <c r="A84" t="s">
        <v>864</v>
      </c>
    </row>
    <row r="85" spans="1:1" x14ac:dyDescent="0.25">
      <c r="A85" t="s">
        <v>869</v>
      </c>
    </row>
    <row r="86" spans="1:1" x14ac:dyDescent="0.25">
      <c r="A86" t="s">
        <v>864</v>
      </c>
    </row>
    <row r="87" spans="1:1" x14ac:dyDescent="0.25">
      <c r="A87" t="s">
        <v>885</v>
      </c>
    </row>
    <row r="88" spans="1:1" x14ac:dyDescent="0.25">
      <c r="A88" t="s">
        <v>864</v>
      </c>
    </row>
    <row r="89" spans="1:1" x14ac:dyDescent="0.25">
      <c r="A89" t="s">
        <v>909</v>
      </c>
    </row>
    <row r="90" spans="1:1" x14ac:dyDescent="0.25">
      <c r="A90" t="s">
        <v>864</v>
      </c>
    </row>
    <row r="91" spans="1:1" x14ac:dyDescent="0.25">
      <c r="A91" t="s">
        <v>910</v>
      </c>
    </row>
    <row r="92" spans="1:1" x14ac:dyDescent="0.25">
      <c r="A92" t="s">
        <v>864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4DEB-4732-404A-8C77-6824EB43ADC0}">
  <dimension ref="A14"/>
  <sheetViews>
    <sheetView workbookViewId="0"/>
  </sheetViews>
  <sheetFormatPr defaultRowHeight="15" x14ac:dyDescent="0.25"/>
  <sheetData>
    <row r="14" spans="1:1" x14ac:dyDescent="0.25">
      <c r="A14" t="s">
        <v>912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6D3F-05F7-4F4C-8FE9-DFDCAE5ADB18}">
  <dimension ref="A1:AN138"/>
  <sheetViews>
    <sheetView workbookViewId="0"/>
  </sheetViews>
  <sheetFormatPr defaultRowHeight="15" x14ac:dyDescent="0.25"/>
  <sheetData>
    <row r="1" spans="1:40" x14ac:dyDescent="0.25">
      <c r="AD1" t="s">
        <v>483</v>
      </c>
    </row>
    <row r="2" spans="1:40" x14ac:dyDescent="0.25">
      <c r="AD2" t="s">
        <v>913</v>
      </c>
    </row>
    <row r="3" spans="1:40" x14ac:dyDescent="0.25">
      <c r="AD3" t="s">
        <v>621</v>
      </c>
    </row>
    <row r="4" spans="1:40" x14ac:dyDescent="0.25">
      <c r="AD4">
        <v>36891</v>
      </c>
    </row>
    <row r="5" spans="1:40" x14ac:dyDescent="0.25">
      <c r="AD5" t="s">
        <v>487</v>
      </c>
    </row>
    <row r="9" spans="1:40" x14ac:dyDescent="0.25">
      <c r="R9">
        <v>1998</v>
      </c>
      <c r="T9">
        <v>1999</v>
      </c>
      <c r="AL9">
        <v>1999</v>
      </c>
      <c r="AN9">
        <v>2000</v>
      </c>
    </row>
    <row r="10" spans="1:40" x14ac:dyDescent="0.25">
      <c r="P10" t="s">
        <v>914</v>
      </c>
      <c r="R10" t="s">
        <v>914</v>
      </c>
      <c r="T10" t="s">
        <v>914</v>
      </c>
      <c r="AJ10" t="s">
        <v>914</v>
      </c>
      <c r="AL10" t="s">
        <v>914</v>
      </c>
      <c r="AN10" t="s">
        <v>914</v>
      </c>
    </row>
    <row r="11" spans="1:40" x14ac:dyDescent="0.25">
      <c r="A11" t="s">
        <v>2</v>
      </c>
      <c r="L11" t="s">
        <v>489</v>
      </c>
      <c r="P11" t="s">
        <v>386</v>
      </c>
      <c r="R11" t="s">
        <v>386</v>
      </c>
      <c r="T11" t="s">
        <v>386</v>
      </c>
      <c r="AA11" t="s">
        <v>915</v>
      </c>
      <c r="AF11" t="s">
        <v>480</v>
      </c>
      <c r="AJ11" t="s">
        <v>386</v>
      </c>
      <c r="AL11" t="s">
        <v>386</v>
      </c>
      <c r="AN11" t="s">
        <v>386</v>
      </c>
    </row>
    <row r="12" spans="1:40" x14ac:dyDescent="0.25">
      <c r="A12" t="s">
        <v>660</v>
      </c>
      <c r="J12">
        <v>36160</v>
      </c>
      <c r="L12" t="s">
        <v>916</v>
      </c>
      <c r="N12">
        <v>36525</v>
      </c>
      <c r="P12" t="s">
        <v>917</v>
      </c>
      <c r="R12" t="s">
        <v>918</v>
      </c>
      <c r="T12" t="s">
        <v>918</v>
      </c>
      <c r="W12" t="s">
        <v>919</v>
      </c>
      <c r="Y12" t="s">
        <v>920</v>
      </c>
      <c r="AA12" t="s">
        <v>921</v>
      </c>
      <c r="AD12">
        <v>36525</v>
      </c>
      <c r="AF12" t="s">
        <v>916</v>
      </c>
      <c r="AH12">
        <v>36891</v>
      </c>
      <c r="AJ12" t="s">
        <v>917</v>
      </c>
      <c r="AL12" t="s">
        <v>918</v>
      </c>
      <c r="AN12" t="s">
        <v>918</v>
      </c>
    </row>
    <row r="13" spans="1:40" x14ac:dyDescent="0.25">
      <c r="C13" t="s">
        <v>922</v>
      </c>
    </row>
    <row r="14" spans="1:40" x14ac:dyDescent="0.25">
      <c r="A14">
        <v>301</v>
      </c>
      <c r="D14" t="s">
        <v>923</v>
      </c>
      <c r="J14" t="s">
        <v>84</v>
      </c>
      <c r="L14" t="s">
        <v>84</v>
      </c>
      <c r="N14" t="s">
        <v>84</v>
      </c>
      <c r="P14" t="s">
        <v>84</v>
      </c>
      <c r="R14" t="s">
        <v>84</v>
      </c>
      <c r="T14" t="str">
        <f>R14</f>
        <v xml:space="preserve"> </v>
      </c>
      <c r="AF14" t="s">
        <v>84</v>
      </c>
      <c r="AH14" t="s">
        <v>84</v>
      </c>
      <c r="AJ14" t="s">
        <v>84</v>
      </c>
      <c r="AL14" t="s">
        <v>84</v>
      </c>
      <c r="AN14" t="str">
        <f>AL14</f>
        <v xml:space="preserve"> </v>
      </c>
    </row>
    <row r="15" spans="1:40" x14ac:dyDescent="0.25">
      <c r="E15" t="s">
        <v>924</v>
      </c>
      <c r="J15">
        <f>+AC15</f>
        <v>54401</v>
      </c>
      <c r="L15">
        <v>0</v>
      </c>
      <c r="N15">
        <f>+J15+L15</f>
        <v>54401</v>
      </c>
      <c r="P15">
        <v>5</v>
      </c>
      <c r="R15">
        <f>(+J15/P15)/12*9</f>
        <v>8160.1500000000005</v>
      </c>
      <c r="T15">
        <f>+N15/P15</f>
        <v>10880.2</v>
      </c>
      <c r="W15">
        <f>26259+5442</f>
        <v>31701</v>
      </c>
      <c r="Y15">
        <v>1883</v>
      </c>
      <c r="AA15">
        <v>20817</v>
      </c>
      <c r="AC15">
        <f>SUM(W15:AA15)</f>
        <v>54401</v>
      </c>
      <c r="AD15">
        <f>+N15</f>
        <v>54401</v>
      </c>
      <c r="AF15">
        <v>0</v>
      </c>
      <c r="AH15">
        <f>+AD15+AF15</f>
        <v>54401</v>
      </c>
      <c r="AJ15">
        <v>5</v>
      </c>
      <c r="AL15">
        <f>(+AD15/AJ15)/12*9</f>
        <v>8160.1500000000005</v>
      </c>
      <c r="AN15">
        <f>+AH15/AJ15</f>
        <v>10880.2</v>
      </c>
    </row>
    <row r="16" spans="1:40" x14ac:dyDescent="0.25">
      <c r="E16" t="s">
        <v>925</v>
      </c>
      <c r="J16">
        <f>+AC16</f>
        <v>30078</v>
      </c>
      <c r="L16">
        <v>0</v>
      </c>
      <c r="N16">
        <f>+J16+L16</f>
        <v>30078</v>
      </c>
      <c r="P16">
        <v>5</v>
      </c>
      <c r="R16">
        <f>(+J16/P16)/12*9</f>
        <v>4511.7</v>
      </c>
      <c r="T16">
        <f>+N16/P16</f>
        <v>6015.6</v>
      </c>
      <c r="W16">
        <f>994+23341+5743</f>
        <v>30078</v>
      </c>
      <c r="AA16" t="s">
        <v>84</v>
      </c>
      <c r="AC16">
        <f>SUM(W16:AA16)</f>
        <v>30078</v>
      </c>
      <c r="AD16">
        <f>+N16</f>
        <v>30078</v>
      </c>
      <c r="AF16">
        <v>0</v>
      </c>
      <c r="AH16">
        <f>+AD16+AF16</f>
        <v>30078</v>
      </c>
      <c r="AJ16">
        <v>5</v>
      </c>
      <c r="AL16">
        <f>(+AD16/AJ16)/12*9</f>
        <v>4511.7</v>
      </c>
      <c r="AN16">
        <f>+AH16/AJ16</f>
        <v>6015.6</v>
      </c>
    </row>
    <row r="17" spans="1:40" x14ac:dyDescent="0.25">
      <c r="E17" t="s">
        <v>926</v>
      </c>
      <c r="J17">
        <f>+AC17</f>
        <v>7396</v>
      </c>
      <c r="L17">
        <v>0</v>
      </c>
      <c r="N17">
        <f>+J17+L17</f>
        <v>7396</v>
      </c>
      <c r="P17">
        <v>3</v>
      </c>
      <c r="R17">
        <f>(+J17/P17)/12*9</f>
        <v>1849</v>
      </c>
      <c r="T17">
        <f>+N17/P17</f>
        <v>2465.3333333333335</v>
      </c>
      <c r="W17">
        <v>7396</v>
      </c>
      <c r="AA17" t="s">
        <v>84</v>
      </c>
      <c r="AC17">
        <f>SUM(W17:AA17)</f>
        <v>7396</v>
      </c>
      <c r="AD17">
        <f>+N17</f>
        <v>7396</v>
      </c>
      <c r="AF17">
        <v>0</v>
      </c>
      <c r="AH17">
        <f>+AD17+AF17</f>
        <v>7396</v>
      </c>
      <c r="AJ17">
        <v>3</v>
      </c>
      <c r="AL17">
        <f>(+AD17/AJ17)/12*9</f>
        <v>1849</v>
      </c>
      <c r="AN17">
        <f>+AH17/AJ17</f>
        <v>2465.3333333333335</v>
      </c>
    </row>
    <row r="18" spans="1:40" x14ac:dyDescent="0.25">
      <c r="E18" t="s">
        <v>927</v>
      </c>
      <c r="J18">
        <f>+AC18</f>
        <v>28057</v>
      </c>
      <c r="L18">
        <v>0</v>
      </c>
      <c r="N18">
        <f>+J18+L18</f>
        <v>28057</v>
      </c>
      <c r="P18">
        <v>5</v>
      </c>
      <c r="R18">
        <f>(+J18/P18)/12*9</f>
        <v>4208.5499999999993</v>
      </c>
      <c r="T18">
        <f>+N18/P18</f>
        <v>5611.4</v>
      </c>
      <c r="W18">
        <v>28057</v>
      </c>
      <c r="AA18" t="s">
        <v>84</v>
      </c>
      <c r="AC18">
        <f>SUM(W18:AA18)</f>
        <v>28057</v>
      </c>
      <c r="AD18">
        <f>+N18</f>
        <v>28057</v>
      </c>
      <c r="AF18">
        <v>0</v>
      </c>
      <c r="AH18">
        <f>+AD18+AF18</f>
        <v>28057</v>
      </c>
      <c r="AJ18">
        <v>5</v>
      </c>
      <c r="AL18">
        <f>(+AD18/AJ18)/12*9</f>
        <v>4208.5499999999993</v>
      </c>
      <c r="AN18">
        <f>+AH18/AJ18</f>
        <v>5611.4</v>
      </c>
    </row>
    <row r="19" spans="1:40" x14ac:dyDescent="0.25">
      <c r="H19" t="s">
        <v>928</v>
      </c>
      <c r="J19">
        <f>SUM(J15:J18)</f>
        <v>119932</v>
      </c>
      <c r="L19">
        <f>SUM(L15:L18)</f>
        <v>0</v>
      </c>
      <c r="N19">
        <f>SUM(N15:N18)</f>
        <v>119932</v>
      </c>
      <c r="R19">
        <f>SUM(R15:R18)</f>
        <v>18729.400000000001</v>
      </c>
      <c r="T19">
        <f>SUM(T15:T18)</f>
        <v>24972.533333333333</v>
      </c>
      <c r="AD19">
        <f>SUM(AD15:AD18)</f>
        <v>119932</v>
      </c>
      <c r="AF19">
        <f>SUM(AF15:AF18)</f>
        <v>0</v>
      </c>
      <c r="AH19">
        <f>SUM(AH15:AH18)</f>
        <v>119932</v>
      </c>
      <c r="AL19">
        <f>SUM(AL15:AL18)</f>
        <v>18729.400000000001</v>
      </c>
      <c r="AN19">
        <f>SUM(AN15:AN18)</f>
        <v>24972.533333333333</v>
      </c>
    </row>
    <row r="21" spans="1:40" x14ac:dyDescent="0.25">
      <c r="A21">
        <v>303</v>
      </c>
      <c r="D21" t="s">
        <v>929</v>
      </c>
      <c r="J21" t="s">
        <v>84</v>
      </c>
      <c r="L21" t="s">
        <v>84</v>
      </c>
      <c r="N21" t="s">
        <v>84</v>
      </c>
      <c r="P21" t="s">
        <v>84</v>
      </c>
      <c r="R21" t="s">
        <v>84</v>
      </c>
      <c r="T21" t="s">
        <v>84</v>
      </c>
      <c r="AD21" t="s">
        <v>84</v>
      </c>
      <c r="AF21" t="s">
        <v>84</v>
      </c>
      <c r="AH21" t="s">
        <v>84</v>
      </c>
      <c r="AJ21" t="s">
        <v>84</v>
      </c>
      <c r="AL21" t="s">
        <v>84</v>
      </c>
      <c r="AN21" t="s">
        <v>84</v>
      </c>
    </row>
    <row r="22" spans="1:40" x14ac:dyDescent="0.25">
      <c r="E22" t="s">
        <v>930</v>
      </c>
    </row>
    <row r="23" spans="1:40" x14ac:dyDescent="0.25">
      <c r="F23" t="s">
        <v>931</v>
      </c>
      <c r="J23">
        <f>+AC23</f>
        <v>12738</v>
      </c>
      <c r="L23">
        <f>15000+1000</f>
        <v>16000</v>
      </c>
      <c r="N23">
        <f>+J23+L23</f>
        <v>28738</v>
      </c>
      <c r="P23">
        <v>6</v>
      </c>
      <c r="R23">
        <f t="shared" ref="R23:R30" si="0">(+J23/P23)/12*9</f>
        <v>1592.25</v>
      </c>
      <c r="T23">
        <f>+N23/P23</f>
        <v>4789.666666666667</v>
      </c>
      <c r="W23">
        <f>11937-W54+5000-1692</f>
        <v>11988</v>
      </c>
      <c r="Y23">
        <v>750</v>
      </c>
      <c r="AC23">
        <f>SUM(W23:AA23)</f>
        <v>12738</v>
      </c>
      <c r="AD23">
        <f t="shared" ref="AD23:AD30" si="1">+N23</f>
        <v>28738</v>
      </c>
      <c r="AF23" t="s">
        <v>208</v>
      </c>
      <c r="AH23" t="e">
        <f>+AD23+AF23</f>
        <v>#VALUE!</v>
      </c>
      <c r="AJ23">
        <v>6</v>
      </c>
      <c r="AL23">
        <f>(+AD23/AJ23)/12*9</f>
        <v>3592.25</v>
      </c>
      <c r="AN23" t="e">
        <f>+AH23/AJ23</f>
        <v>#VALUE!</v>
      </c>
    </row>
    <row r="24" spans="1:40" x14ac:dyDescent="0.25">
      <c r="F24" t="s">
        <v>932</v>
      </c>
      <c r="J24">
        <f t="shared" ref="J24:J30" si="2">+AC24</f>
        <v>59501</v>
      </c>
      <c r="L24">
        <f>29268-15000</f>
        <v>14268</v>
      </c>
      <c r="N24">
        <f t="shared" ref="N24:N30" si="3">+J24+L24</f>
        <v>73769</v>
      </c>
      <c r="P24">
        <v>6</v>
      </c>
      <c r="R24">
        <f t="shared" si="0"/>
        <v>7437.625</v>
      </c>
      <c r="T24">
        <f t="shared" ref="T24:T30" si="4">+N24/P24</f>
        <v>12294.833333333334</v>
      </c>
      <c r="W24">
        <f>58147-(+W43+W55)+5000-1271</f>
        <v>54026</v>
      </c>
      <c r="Y24">
        <v>5475</v>
      </c>
      <c r="AC24">
        <f t="shared" ref="AC24:AC30" si="5">SUM(W24:AA24)</f>
        <v>59501</v>
      </c>
      <c r="AD24">
        <f t="shared" si="1"/>
        <v>73769</v>
      </c>
      <c r="AF24" t="s">
        <v>208</v>
      </c>
      <c r="AH24" t="e">
        <f t="shared" ref="AH24:AH30" si="6">+AD24+AF24</f>
        <v>#VALUE!</v>
      </c>
      <c r="AJ24">
        <v>6</v>
      </c>
      <c r="AL24">
        <f>(+AD24/AJ24)/12*9</f>
        <v>9221.1250000000018</v>
      </c>
      <c r="AN24" t="e">
        <f t="shared" ref="AN24:AN30" si="7">+AH24/AJ24</f>
        <v>#VALUE!</v>
      </c>
    </row>
    <row r="25" spans="1:40" x14ac:dyDescent="0.25">
      <c r="F25" t="s">
        <v>933</v>
      </c>
      <c r="J25">
        <f t="shared" si="2"/>
        <v>3774</v>
      </c>
      <c r="L25">
        <v>0</v>
      </c>
      <c r="N25">
        <f t="shared" si="3"/>
        <v>3774</v>
      </c>
      <c r="P25">
        <v>6</v>
      </c>
      <c r="R25">
        <f t="shared" si="0"/>
        <v>471.75</v>
      </c>
      <c r="T25">
        <f t="shared" si="4"/>
        <v>629</v>
      </c>
      <c r="W25">
        <f>5651-W56</f>
        <v>3774</v>
      </c>
      <c r="AC25">
        <f t="shared" si="5"/>
        <v>3774</v>
      </c>
      <c r="AD25">
        <f t="shared" si="1"/>
        <v>3774</v>
      </c>
      <c r="AF25" t="s">
        <v>208</v>
      </c>
      <c r="AH25" t="e">
        <f t="shared" si="6"/>
        <v>#VALUE!</v>
      </c>
      <c r="AJ25">
        <v>6</v>
      </c>
      <c r="AL25">
        <f>(+AD25/AJ25)/12*9</f>
        <v>471.75</v>
      </c>
      <c r="AN25" t="e">
        <f t="shared" si="7"/>
        <v>#VALUE!</v>
      </c>
    </row>
    <row r="26" spans="1:40" x14ac:dyDescent="0.25">
      <c r="F26" t="s">
        <v>934</v>
      </c>
      <c r="J26">
        <v>0</v>
      </c>
      <c r="L26">
        <v>2500</v>
      </c>
      <c r="N26">
        <f t="shared" si="3"/>
        <v>2500</v>
      </c>
      <c r="P26">
        <v>6</v>
      </c>
      <c r="R26">
        <v>0</v>
      </c>
      <c r="T26">
        <f t="shared" si="4"/>
        <v>416.66666666666669</v>
      </c>
      <c r="AD26">
        <f t="shared" si="1"/>
        <v>2500</v>
      </c>
      <c r="AF26" t="s">
        <v>208</v>
      </c>
      <c r="AH26" t="e">
        <f t="shared" si="6"/>
        <v>#VALUE!</v>
      </c>
      <c r="AJ26">
        <v>6</v>
      </c>
      <c r="AL26">
        <v>0</v>
      </c>
      <c r="AN26" t="e">
        <f t="shared" si="7"/>
        <v>#VALUE!</v>
      </c>
    </row>
    <row r="27" spans="1:40" x14ac:dyDescent="0.25">
      <c r="F27" t="s">
        <v>935</v>
      </c>
      <c r="J27">
        <v>0</v>
      </c>
      <c r="L27">
        <v>680</v>
      </c>
      <c r="N27">
        <f t="shared" si="3"/>
        <v>680</v>
      </c>
      <c r="P27">
        <v>6</v>
      </c>
      <c r="R27">
        <v>0</v>
      </c>
      <c r="T27">
        <f t="shared" si="4"/>
        <v>113.33333333333333</v>
      </c>
      <c r="AD27">
        <f t="shared" si="1"/>
        <v>680</v>
      </c>
      <c r="AF27" t="s">
        <v>208</v>
      </c>
      <c r="AH27" t="e">
        <f t="shared" si="6"/>
        <v>#VALUE!</v>
      </c>
      <c r="AJ27">
        <v>6</v>
      </c>
      <c r="AL27">
        <v>0</v>
      </c>
      <c r="AN27" t="e">
        <f t="shared" si="7"/>
        <v>#VALUE!</v>
      </c>
    </row>
    <row r="28" spans="1:40" x14ac:dyDescent="0.25">
      <c r="F28" t="s">
        <v>936</v>
      </c>
      <c r="J28">
        <v>0</v>
      </c>
      <c r="L28">
        <v>1700</v>
      </c>
      <c r="N28">
        <f t="shared" si="3"/>
        <v>1700</v>
      </c>
      <c r="P28">
        <v>6</v>
      </c>
      <c r="R28">
        <v>0</v>
      </c>
      <c r="T28">
        <f t="shared" si="4"/>
        <v>283.33333333333331</v>
      </c>
      <c r="AD28">
        <f t="shared" si="1"/>
        <v>1700</v>
      </c>
      <c r="AF28" t="s">
        <v>208</v>
      </c>
      <c r="AH28" t="e">
        <f t="shared" si="6"/>
        <v>#VALUE!</v>
      </c>
      <c r="AJ28">
        <v>6</v>
      </c>
      <c r="AL28">
        <v>0</v>
      </c>
      <c r="AN28" t="e">
        <f t="shared" si="7"/>
        <v>#VALUE!</v>
      </c>
    </row>
    <row r="29" spans="1:40" x14ac:dyDescent="0.25">
      <c r="F29" t="s">
        <v>937</v>
      </c>
      <c r="J29">
        <v>0</v>
      </c>
      <c r="L29">
        <v>800</v>
      </c>
      <c r="N29">
        <f t="shared" si="3"/>
        <v>800</v>
      </c>
      <c r="P29">
        <v>6</v>
      </c>
      <c r="R29">
        <v>0</v>
      </c>
      <c r="T29">
        <f t="shared" si="4"/>
        <v>133.33333333333334</v>
      </c>
      <c r="AD29">
        <f t="shared" si="1"/>
        <v>800</v>
      </c>
      <c r="AF29" t="s">
        <v>208</v>
      </c>
      <c r="AH29" t="e">
        <f t="shared" si="6"/>
        <v>#VALUE!</v>
      </c>
      <c r="AJ29">
        <v>6</v>
      </c>
      <c r="AL29">
        <v>0</v>
      </c>
      <c r="AN29" t="e">
        <f t="shared" si="7"/>
        <v>#VALUE!</v>
      </c>
    </row>
    <row r="30" spans="1:40" x14ac:dyDescent="0.25">
      <c r="F30" t="s">
        <v>938</v>
      </c>
      <c r="J30">
        <f t="shared" si="2"/>
        <v>12</v>
      </c>
      <c r="L30">
        <v>0</v>
      </c>
      <c r="N30">
        <f t="shared" si="3"/>
        <v>12</v>
      </c>
      <c r="P30">
        <v>6</v>
      </c>
      <c r="R30">
        <f t="shared" si="0"/>
        <v>1.5</v>
      </c>
      <c r="T30">
        <f t="shared" si="4"/>
        <v>2</v>
      </c>
      <c r="W30">
        <v>12</v>
      </c>
      <c r="AC30">
        <f t="shared" si="5"/>
        <v>12</v>
      </c>
      <c r="AD30">
        <f t="shared" si="1"/>
        <v>12</v>
      </c>
      <c r="AF30" t="s">
        <v>208</v>
      </c>
      <c r="AH30" t="e">
        <f t="shared" si="6"/>
        <v>#VALUE!</v>
      </c>
      <c r="AJ30">
        <v>6</v>
      </c>
      <c r="AL30">
        <f>(+AD30/AJ30)/12*9</f>
        <v>1.5</v>
      </c>
      <c r="AN30" t="e">
        <f t="shared" si="7"/>
        <v>#VALUE!</v>
      </c>
    </row>
    <row r="31" spans="1:40" x14ac:dyDescent="0.25">
      <c r="E31" t="s">
        <v>84</v>
      </c>
      <c r="H31" t="s">
        <v>939</v>
      </c>
      <c r="J31">
        <f>SUM(J23:J30)</f>
        <v>76025</v>
      </c>
      <c r="L31">
        <f>SUM(L23:L30)</f>
        <v>35948</v>
      </c>
      <c r="N31">
        <f>SUM(N23:N30)</f>
        <v>111973</v>
      </c>
      <c r="R31">
        <f>SUM(R23:R30)</f>
        <v>9503.125</v>
      </c>
      <c r="T31">
        <f>SUM(T23:T30)</f>
        <v>18662.166666666664</v>
      </c>
      <c r="AD31">
        <f>SUM(AD23:AD30)</f>
        <v>111973</v>
      </c>
      <c r="AF31">
        <f>SUM(AF23:AF30)</f>
        <v>0</v>
      </c>
      <c r="AH31" t="e">
        <f>SUM(AH23:AH30)</f>
        <v>#VALUE!</v>
      </c>
      <c r="AL31">
        <f>SUM(AL23:AL30)</f>
        <v>13286.625000000002</v>
      </c>
      <c r="AN31" t="e">
        <f>SUM(AN23:AN30)</f>
        <v>#VALUE!</v>
      </c>
    </row>
    <row r="33" spans="1:40" x14ac:dyDescent="0.25">
      <c r="H33" t="s">
        <v>940</v>
      </c>
      <c r="J33">
        <f>J19+J31</f>
        <v>195957</v>
      </c>
      <c r="L33">
        <f>L19+L31</f>
        <v>35948</v>
      </c>
      <c r="N33">
        <f>N19+N31</f>
        <v>231905</v>
      </c>
      <c r="R33">
        <f>R31+R19</f>
        <v>28232.525000000001</v>
      </c>
      <c r="T33">
        <f>T31+T19</f>
        <v>43634.7</v>
      </c>
      <c r="AD33">
        <f>AD19+AD31</f>
        <v>231905</v>
      </c>
      <c r="AF33">
        <f>AF19+AF31</f>
        <v>0</v>
      </c>
      <c r="AH33" t="e">
        <f>AH19+AH31</f>
        <v>#VALUE!</v>
      </c>
      <c r="AL33">
        <f>AL31+AL19</f>
        <v>32016.025000000001</v>
      </c>
      <c r="AN33" t="e">
        <f>AN31+AN19</f>
        <v>#VALUE!</v>
      </c>
    </row>
    <row r="36" spans="1:40" x14ac:dyDescent="0.25">
      <c r="C36" t="s">
        <v>941</v>
      </c>
    </row>
    <row r="37" spans="1:40" x14ac:dyDescent="0.25">
      <c r="A37">
        <v>390</v>
      </c>
      <c r="D37" t="s">
        <v>942</v>
      </c>
      <c r="J37" t="s">
        <v>84</v>
      </c>
      <c r="K37" t="s">
        <v>84</v>
      </c>
      <c r="L37" t="s">
        <v>84</v>
      </c>
      <c r="N37" t="s">
        <v>84</v>
      </c>
      <c r="P37" t="s">
        <v>84</v>
      </c>
      <c r="R37" t="s">
        <v>84</v>
      </c>
      <c r="T37" t="str">
        <f>R37</f>
        <v xml:space="preserve"> </v>
      </c>
      <c r="AD37" t="s">
        <v>84</v>
      </c>
      <c r="AF37" t="s">
        <v>84</v>
      </c>
      <c r="AH37" t="s">
        <v>84</v>
      </c>
      <c r="AJ37" t="s">
        <v>84</v>
      </c>
      <c r="AL37" t="s">
        <v>84</v>
      </c>
      <c r="AN37" t="str">
        <f>AL37</f>
        <v xml:space="preserve"> </v>
      </c>
    </row>
    <row r="38" spans="1:40" x14ac:dyDescent="0.25">
      <c r="E38" t="s">
        <v>943</v>
      </c>
      <c r="J38">
        <f>+AC38</f>
        <v>9220</v>
      </c>
      <c r="L38">
        <v>1018</v>
      </c>
      <c r="N38">
        <f>+J38+L38</f>
        <v>10238</v>
      </c>
      <c r="P38">
        <v>10</v>
      </c>
      <c r="R38">
        <f>(+J38/P38)/12*9</f>
        <v>691.5</v>
      </c>
      <c r="T38">
        <f>+N38/P38</f>
        <v>1023.8</v>
      </c>
      <c r="W38">
        <v>7770</v>
      </c>
      <c r="Y38">
        <f>1546-Y49</f>
        <v>1450</v>
      </c>
      <c r="AC38">
        <f>SUM(W38:AA38)</f>
        <v>9220</v>
      </c>
      <c r="AD38">
        <f>+N38</f>
        <v>10238</v>
      </c>
      <c r="AF38">
        <v>1018</v>
      </c>
      <c r="AH38">
        <f>+AD38+AF38</f>
        <v>11256</v>
      </c>
      <c r="AJ38">
        <v>10</v>
      </c>
      <c r="AL38">
        <f>(+AD38/AJ38)/12*9</f>
        <v>767.84999999999991</v>
      </c>
      <c r="AN38">
        <f>+AH38/AJ38</f>
        <v>1125.5999999999999</v>
      </c>
    </row>
    <row r="39" spans="1:40" x14ac:dyDescent="0.25">
      <c r="E39" t="s">
        <v>84</v>
      </c>
      <c r="H39" t="s">
        <v>944</v>
      </c>
      <c r="J39">
        <f>J38</f>
        <v>9220</v>
      </c>
      <c r="L39">
        <f>L38</f>
        <v>1018</v>
      </c>
      <c r="N39">
        <f>N38</f>
        <v>10238</v>
      </c>
      <c r="R39">
        <f>R38</f>
        <v>691.5</v>
      </c>
      <c r="T39">
        <f>T38</f>
        <v>1023.8</v>
      </c>
      <c r="AD39">
        <f>AD38</f>
        <v>10238</v>
      </c>
      <c r="AF39">
        <f>AF38</f>
        <v>1018</v>
      </c>
      <c r="AH39">
        <f>AH38</f>
        <v>11256</v>
      </c>
      <c r="AL39">
        <f>AL38</f>
        <v>767.84999999999991</v>
      </c>
      <c r="AN39">
        <f>AN38</f>
        <v>1125.5999999999999</v>
      </c>
    </row>
    <row r="41" spans="1:40" x14ac:dyDescent="0.25">
      <c r="A41">
        <v>391</v>
      </c>
      <c r="D41" t="s">
        <v>945</v>
      </c>
      <c r="J41" t="s">
        <v>84</v>
      </c>
      <c r="K41" t="s">
        <v>84</v>
      </c>
      <c r="L41" t="s">
        <v>84</v>
      </c>
      <c r="M41" t="s">
        <v>84</v>
      </c>
      <c r="N41" t="s">
        <v>84</v>
      </c>
      <c r="P41" t="s">
        <v>84</v>
      </c>
      <c r="R41" t="s">
        <v>84</v>
      </c>
      <c r="T41" t="s">
        <v>84</v>
      </c>
      <c r="AD41" t="s">
        <v>84</v>
      </c>
      <c r="AF41" t="s">
        <v>84</v>
      </c>
      <c r="AG41" t="s">
        <v>84</v>
      </c>
      <c r="AH41" t="s">
        <v>84</v>
      </c>
      <c r="AJ41" t="s">
        <v>84</v>
      </c>
      <c r="AL41" t="s">
        <v>84</v>
      </c>
      <c r="AN41" t="s">
        <v>84</v>
      </c>
    </row>
    <row r="42" spans="1:40" x14ac:dyDescent="0.25">
      <c r="E42" t="s">
        <v>946</v>
      </c>
      <c r="J42" t="s">
        <v>84</v>
      </c>
    </row>
    <row r="43" spans="1:40" x14ac:dyDescent="0.25">
      <c r="F43" t="s">
        <v>947</v>
      </c>
      <c r="J43">
        <f>+AC43</f>
        <v>1380</v>
      </c>
      <c r="L43">
        <v>0</v>
      </c>
      <c r="N43">
        <f>+J43+L43</f>
        <v>1380</v>
      </c>
      <c r="P43">
        <v>6</v>
      </c>
      <c r="R43">
        <f>(+J43/P43)/12*9</f>
        <v>172.5</v>
      </c>
      <c r="T43">
        <f>+N43/P43</f>
        <v>230</v>
      </c>
      <c r="W43">
        <v>1380</v>
      </c>
      <c r="AC43">
        <f>SUM(W43:AB43)</f>
        <v>1380</v>
      </c>
      <c r="AD43">
        <f>+N43</f>
        <v>1380</v>
      </c>
      <c r="AF43">
        <v>0</v>
      </c>
      <c r="AH43">
        <f>+AD43+AF43</f>
        <v>1380</v>
      </c>
      <c r="AJ43">
        <v>6</v>
      </c>
      <c r="AL43">
        <f>(+AD43/AJ43)/12*9</f>
        <v>172.5</v>
      </c>
      <c r="AN43">
        <f>+AH43/AJ43</f>
        <v>230</v>
      </c>
    </row>
    <row r="44" spans="1:40" x14ac:dyDescent="0.25">
      <c r="F44" t="s">
        <v>948</v>
      </c>
      <c r="J44">
        <f>+AC44</f>
        <v>885</v>
      </c>
      <c r="L44">
        <v>0</v>
      </c>
      <c r="N44">
        <f>+J44+L44</f>
        <v>885</v>
      </c>
      <c r="P44">
        <v>6</v>
      </c>
      <c r="R44">
        <f>(+J44/P44)/12*9</f>
        <v>110.625</v>
      </c>
      <c r="T44">
        <f>+N44/P44</f>
        <v>147.5</v>
      </c>
      <c r="W44">
        <v>885</v>
      </c>
      <c r="AC44">
        <f>SUM(W44:AB44)</f>
        <v>885</v>
      </c>
      <c r="AD44">
        <f>+N44</f>
        <v>885</v>
      </c>
      <c r="AF44">
        <v>0</v>
      </c>
      <c r="AH44">
        <f>+AD44+AF44</f>
        <v>885</v>
      </c>
      <c r="AJ44">
        <v>6</v>
      </c>
      <c r="AL44">
        <f>(+AD44/AJ44)/12*9</f>
        <v>110.625</v>
      </c>
      <c r="AN44">
        <f>+AH44/AJ44</f>
        <v>147.5</v>
      </c>
    </row>
    <row r="45" spans="1:40" x14ac:dyDescent="0.25">
      <c r="E45" t="s">
        <v>949</v>
      </c>
      <c r="J45">
        <f>+AC45</f>
        <v>4938</v>
      </c>
      <c r="L45">
        <v>0</v>
      </c>
      <c r="N45">
        <f>+J45+L45</f>
        <v>4938</v>
      </c>
      <c r="P45">
        <v>10</v>
      </c>
      <c r="R45">
        <f>(+J45/P45)/12*9</f>
        <v>370.34999999999997</v>
      </c>
      <c r="T45">
        <f>+N45/P45</f>
        <v>493.8</v>
      </c>
      <c r="W45">
        <f>14085-W38-W44-W30-480</f>
        <v>4938</v>
      </c>
      <c r="AC45">
        <f>SUM(W45:AB45)</f>
        <v>4938</v>
      </c>
      <c r="AD45">
        <f>+N45</f>
        <v>4938</v>
      </c>
      <c r="AF45">
        <v>0</v>
      </c>
      <c r="AH45">
        <f>+AD45+AF45</f>
        <v>4938</v>
      </c>
      <c r="AJ45">
        <v>10</v>
      </c>
      <c r="AL45">
        <f>(+AD45/AJ45)/12*9</f>
        <v>370.34999999999997</v>
      </c>
      <c r="AN45">
        <f>+AH45/AJ45</f>
        <v>493.8</v>
      </c>
    </row>
    <row r="46" spans="1:40" x14ac:dyDescent="0.25">
      <c r="H46" t="s">
        <v>950</v>
      </c>
      <c r="J46">
        <f>SUM(J43:J45)</f>
        <v>7203</v>
      </c>
      <c r="L46">
        <f>SUM(L43:L45)</f>
        <v>0</v>
      </c>
      <c r="N46">
        <f>SUM(N43:N45)</f>
        <v>7203</v>
      </c>
      <c r="R46">
        <f>SUM(R43:R45)</f>
        <v>653.47499999999991</v>
      </c>
      <c r="T46">
        <f>SUM(T43:T45)</f>
        <v>871.3</v>
      </c>
      <c r="AD46">
        <f>SUM(AD43:AD45)</f>
        <v>7203</v>
      </c>
      <c r="AF46">
        <f>SUM(AF43:AF45)</f>
        <v>0</v>
      </c>
      <c r="AH46">
        <f>SUM(AH43:AH45)</f>
        <v>7203</v>
      </c>
      <c r="AL46">
        <f>SUM(AL43:AL45)</f>
        <v>653.47499999999991</v>
      </c>
      <c r="AN46">
        <f>SUM(AN43:AN45)</f>
        <v>871.3</v>
      </c>
    </row>
    <row r="48" spans="1:40" x14ac:dyDescent="0.25">
      <c r="A48">
        <v>392</v>
      </c>
      <c r="D48" t="s">
        <v>183</v>
      </c>
    </row>
    <row r="49" spans="1:40" x14ac:dyDescent="0.25">
      <c r="E49" t="s">
        <v>951</v>
      </c>
      <c r="J49">
        <f>+AC49</f>
        <v>96</v>
      </c>
      <c r="L49">
        <v>0</v>
      </c>
      <c r="N49">
        <f>+J49+L49</f>
        <v>96</v>
      </c>
      <c r="P49">
        <v>3</v>
      </c>
      <c r="R49">
        <f>(+J49/P49)/12*9</f>
        <v>24</v>
      </c>
      <c r="T49">
        <f>+N49/P49</f>
        <v>32</v>
      </c>
      <c r="Y49">
        <v>96</v>
      </c>
      <c r="AC49">
        <f>SUM(W49:AB49)</f>
        <v>96</v>
      </c>
      <c r="AD49">
        <f>+N49</f>
        <v>96</v>
      </c>
      <c r="AF49">
        <v>0</v>
      </c>
      <c r="AH49">
        <f>+AD49+AF49</f>
        <v>96</v>
      </c>
      <c r="AJ49">
        <v>3</v>
      </c>
      <c r="AL49">
        <f>(+AD49/AJ49)/12*9</f>
        <v>24</v>
      </c>
      <c r="AN49">
        <f>+AH49/AJ49</f>
        <v>32</v>
      </c>
    </row>
    <row r="52" spans="1:40" x14ac:dyDescent="0.25">
      <c r="A52">
        <v>399</v>
      </c>
      <c r="D52" t="s">
        <v>952</v>
      </c>
      <c r="P52" t="s">
        <v>84</v>
      </c>
      <c r="R52" t="s">
        <v>84</v>
      </c>
      <c r="T52" t="s">
        <v>84</v>
      </c>
      <c r="AJ52" t="s">
        <v>84</v>
      </c>
      <c r="AL52" t="s">
        <v>84</v>
      </c>
      <c r="AN52" t="s">
        <v>84</v>
      </c>
    </row>
    <row r="53" spans="1:40" x14ac:dyDescent="0.25">
      <c r="E53" t="s">
        <v>946</v>
      </c>
    </row>
    <row r="54" spans="1:40" x14ac:dyDescent="0.25">
      <c r="F54" t="s">
        <v>931</v>
      </c>
      <c r="J54">
        <f>+AC54</f>
        <v>3257</v>
      </c>
      <c r="L54">
        <v>300</v>
      </c>
      <c r="N54">
        <f>+J54+L54</f>
        <v>3557</v>
      </c>
      <c r="P54">
        <v>6</v>
      </c>
      <c r="R54">
        <f>(+J54/P54)/12*9</f>
        <v>407.125</v>
      </c>
      <c r="T54">
        <f>+N54/P54</f>
        <v>592.83333333333337</v>
      </c>
      <c r="W54">
        <v>3257</v>
      </c>
      <c r="AC54">
        <f>SUM(W54:AB54)</f>
        <v>3257</v>
      </c>
      <c r="AD54">
        <f>+N54</f>
        <v>3557</v>
      </c>
      <c r="AF54">
        <v>300</v>
      </c>
      <c r="AH54">
        <f>+AD54+AF54</f>
        <v>3857</v>
      </c>
      <c r="AJ54">
        <v>6</v>
      </c>
      <c r="AL54">
        <f>(+AD54/AJ54)/12*9</f>
        <v>444.625</v>
      </c>
      <c r="AN54">
        <f>+AH54/AJ54</f>
        <v>642.83333333333337</v>
      </c>
    </row>
    <row r="55" spans="1:40" x14ac:dyDescent="0.25">
      <c r="F55" t="s">
        <v>953</v>
      </c>
      <c r="J55">
        <f>+AC55</f>
        <v>6520</v>
      </c>
      <c r="L55">
        <f>1100+250</f>
        <v>1350</v>
      </c>
      <c r="N55">
        <f>+J55+L55</f>
        <v>7870</v>
      </c>
      <c r="P55">
        <v>6</v>
      </c>
      <c r="R55">
        <f>(+J55/P55)/12*9</f>
        <v>815</v>
      </c>
      <c r="T55">
        <f>+N55/P55</f>
        <v>1311.6666666666667</v>
      </c>
      <c r="W55">
        <f>3601+1575+1139+155</f>
        <v>6470</v>
      </c>
      <c r="Y55">
        <v>50</v>
      </c>
      <c r="AC55">
        <f>SUM(W55:AB55)</f>
        <v>6520</v>
      </c>
      <c r="AD55">
        <f>+N55</f>
        <v>7870</v>
      </c>
      <c r="AF55">
        <f>1100+250</f>
        <v>1350</v>
      </c>
      <c r="AH55">
        <f>+AD55+AF55</f>
        <v>9220</v>
      </c>
      <c r="AJ55">
        <v>6</v>
      </c>
      <c r="AL55">
        <f>(+AD55/AJ55)/12*9</f>
        <v>983.75</v>
      </c>
      <c r="AN55">
        <f>+AH55/AJ55</f>
        <v>1536.6666666666667</v>
      </c>
    </row>
    <row r="56" spans="1:40" x14ac:dyDescent="0.25">
      <c r="F56" t="s">
        <v>933</v>
      </c>
      <c r="J56">
        <f>+AC56</f>
        <v>1877</v>
      </c>
      <c r="L56">
        <v>108</v>
      </c>
      <c r="N56">
        <f>+J56+L56</f>
        <v>1985</v>
      </c>
      <c r="P56">
        <v>6</v>
      </c>
      <c r="R56">
        <f>(+J56/P56)/12*9</f>
        <v>234.625</v>
      </c>
      <c r="T56">
        <f>+N56/P56</f>
        <v>330.83333333333331</v>
      </c>
      <c r="W56">
        <v>1877</v>
      </c>
      <c r="AC56">
        <f>SUM(W56:AB56)</f>
        <v>1877</v>
      </c>
      <c r="AD56">
        <f>+N56</f>
        <v>1985</v>
      </c>
      <c r="AF56">
        <v>108</v>
      </c>
      <c r="AH56">
        <f>+AD56+AF56</f>
        <v>2093</v>
      </c>
      <c r="AJ56">
        <v>6</v>
      </c>
      <c r="AL56">
        <f>(+AD56/AJ56)/12*9</f>
        <v>248.125</v>
      </c>
      <c r="AN56">
        <f>+AH56/AJ56</f>
        <v>348.83333333333331</v>
      </c>
    </row>
    <row r="57" spans="1:40" x14ac:dyDescent="0.25">
      <c r="F57" t="s">
        <v>954</v>
      </c>
      <c r="J57">
        <f>+AC57</f>
        <v>1291</v>
      </c>
      <c r="L57">
        <v>0</v>
      </c>
      <c r="N57">
        <f>+J57+L57</f>
        <v>1291</v>
      </c>
      <c r="P57">
        <v>6</v>
      </c>
      <c r="R57">
        <f>(+J57/P57)/12*9</f>
        <v>161.37499999999997</v>
      </c>
      <c r="T57">
        <f>+N57/P57</f>
        <v>215.16666666666666</v>
      </c>
      <c r="W57">
        <v>1291</v>
      </c>
      <c r="AC57">
        <f>SUM(W57:AB57)</f>
        <v>1291</v>
      </c>
      <c r="AD57">
        <f>+N57</f>
        <v>1291</v>
      </c>
      <c r="AF57">
        <v>0</v>
      </c>
      <c r="AH57">
        <f>+AD57+AF57</f>
        <v>1291</v>
      </c>
      <c r="AJ57">
        <v>6</v>
      </c>
      <c r="AL57">
        <f>(+AD57/AJ57)/12*9</f>
        <v>161.37499999999997</v>
      </c>
      <c r="AN57">
        <f>+AH57/AJ57</f>
        <v>215.16666666666666</v>
      </c>
    </row>
    <row r="58" spans="1:40" x14ac:dyDescent="0.25">
      <c r="H58" t="s">
        <v>955</v>
      </c>
      <c r="J58">
        <f>SUM(J54:J57)</f>
        <v>12945</v>
      </c>
      <c r="L58">
        <f>SUM(L54:L57)</f>
        <v>1758</v>
      </c>
      <c r="N58">
        <f>SUM(N54:N57)</f>
        <v>14703</v>
      </c>
      <c r="R58">
        <f>SUM(R54:R57)</f>
        <v>1618.125</v>
      </c>
      <c r="T58">
        <f>SUM(T54:T57)</f>
        <v>2450.5</v>
      </c>
      <c r="AD58">
        <f>SUM(AD54:AD57)</f>
        <v>14703</v>
      </c>
      <c r="AF58">
        <f>SUM(AF54:AF57)</f>
        <v>1758</v>
      </c>
      <c r="AH58">
        <f>SUM(AH54:AH57)</f>
        <v>16461</v>
      </c>
      <c r="AL58">
        <f>SUM(AL54:AL57)</f>
        <v>1837.875</v>
      </c>
      <c r="AN58">
        <f>SUM(AN54:AN57)</f>
        <v>2743.5</v>
      </c>
    </row>
    <row r="59" spans="1:40" x14ac:dyDescent="0.25">
      <c r="R59" t="s">
        <v>84</v>
      </c>
      <c r="AL59" t="s">
        <v>84</v>
      </c>
    </row>
    <row r="60" spans="1:40" x14ac:dyDescent="0.25">
      <c r="H60" t="s">
        <v>956</v>
      </c>
      <c r="J60">
        <f>+J39+J46+J49+J58</f>
        <v>29464</v>
      </c>
      <c r="K60" t="s">
        <v>541</v>
      </c>
      <c r="L60">
        <f>+L39+L46+L49+L58</f>
        <v>2776</v>
      </c>
      <c r="M60" t="s">
        <v>541</v>
      </c>
      <c r="N60">
        <f>+N39+N46+N49+N58</f>
        <v>32240</v>
      </c>
      <c r="O60" t="s">
        <v>541</v>
      </c>
      <c r="P60" t="s">
        <v>541</v>
      </c>
      <c r="Q60" t="s">
        <v>541</v>
      </c>
      <c r="R60">
        <f>+R39+R46+R49+R58</f>
        <v>2987.1</v>
      </c>
      <c r="S60" t="s">
        <v>541</v>
      </c>
      <c r="T60">
        <f>+T39+T46+T49+T58</f>
        <v>4377.6000000000004</v>
      </c>
      <c r="U60" t="s">
        <v>541</v>
      </c>
      <c r="AD60">
        <f>+AD39+AD46+AD49+AD58</f>
        <v>32240</v>
      </c>
      <c r="AF60">
        <f>+AF39+AF46+AF49+AF58</f>
        <v>2776</v>
      </c>
      <c r="AG60" t="s">
        <v>541</v>
      </c>
      <c r="AH60">
        <f>+AH39+AH46+AH49+AH58</f>
        <v>35016</v>
      </c>
      <c r="AI60" t="s">
        <v>541</v>
      </c>
      <c r="AJ60" t="s">
        <v>541</v>
      </c>
      <c r="AK60" t="s">
        <v>541</v>
      </c>
      <c r="AL60">
        <f>+AL39+AL46+AL49+AL58</f>
        <v>3283.2</v>
      </c>
      <c r="AM60" t="s">
        <v>541</v>
      </c>
      <c r="AN60">
        <f>+AN39+AN46+AN49+AN58</f>
        <v>4772.3999999999996</v>
      </c>
    </row>
    <row r="61" spans="1:40" x14ac:dyDescent="0.25">
      <c r="J61" t="s">
        <v>541</v>
      </c>
      <c r="K61" t="s">
        <v>84</v>
      </c>
      <c r="L61" t="s">
        <v>541</v>
      </c>
      <c r="M61" t="s">
        <v>84</v>
      </c>
      <c r="N61" t="s">
        <v>541</v>
      </c>
      <c r="R61" t="s">
        <v>541</v>
      </c>
      <c r="T61" t="s">
        <v>541</v>
      </c>
      <c r="AD61" t="s">
        <v>541</v>
      </c>
      <c r="AF61" t="s">
        <v>541</v>
      </c>
      <c r="AG61" t="s">
        <v>84</v>
      </c>
      <c r="AH61" t="s">
        <v>541</v>
      </c>
      <c r="AL61" t="s">
        <v>541</v>
      </c>
      <c r="AN61" t="s">
        <v>541</v>
      </c>
    </row>
    <row r="63" spans="1:40" x14ac:dyDescent="0.25">
      <c r="E63" t="s">
        <v>957</v>
      </c>
      <c r="J63">
        <f>+J33+J60</f>
        <v>225421</v>
      </c>
      <c r="L63">
        <f>L60+L33</f>
        <v>38724</v>
      </c>
      <c r="N63">
        <f>N60+N33</f>
        <v>264145</v>
      </c>
      <c r="R63">
        <f>R60+R33</f>
        <v>31219.625</v>
      </c>
      <c r="T63">
        <f>T60+T33</f>
        <v>48012.299999999996</v>
      </c>
      <c r="W63">
        <f>SUM(W15:W61)</f>
        <v>194900</v>
      </c>
      <c r="Y63">
        <f>SUM(Y15:Y61)</f>
        <v>9704</v>
      </c>
      <c r="AA63">
        <f>SUM(AA15:AA61)</f>
        <v>20817</v>
      </c>
      <c r="AC63">
        <f>SUM(AC15:AC61)</f>
        <v>225421</v>
      </c>
      <c r="AD63">
        <f>AD60+AD33</f>
        <v>264145</v>
      </c>
      <c r="AF63">
        <f>AF60+AF33</f>
        <v>2776</v>
      </c>
      <c r="AH63" t="e">
        <f>AH60+AH33</f>
        <v>#VALUE!</v>
      </c>
      <c r="AL63">
        <f>AL60+AL33</f>
        <v>35299.224999999999</v>
      </c>
      <c r="AN63" t="e">
        <f>AN60+AN33</f>
        <v>#VALUE!</v>
      </c>
    </row>
    <row r="65" spans="3:29" x14ac:dyDescent="0.25">
      <c r="R65" t="s">
        <v>84</v>
      </c>
      <c r="V65" t="s">
        <v>84</v>
      </c>
      <c r="W65">
        <f>1271+1692+480</f>
        <v>3443</v>
      </c>
      <c r="Y65">
        <v>0</v>
      </c>
      <c r="AA65">
        <v>0</v>
      </c>
      <c r="AC65">
        <f>SUM(W65:AA65)</f>
        <v>3443</v>
      </c>
    </row>
    <row r="66" spans="3:29" x14ac:dyDescent="0.25">
      <c r="J66" t="s">
        <v>84</v>
      </c>
      <c r="L66" t="s">
        <v>84</v>
      </c>
      <c r="N66" t="s">
        <v>84</v>
      </c>
    </row>
    <row r="67" spans="3:29" x14ac:dyDescent="0.25">
      <c r="W67">
        <f>+W63+W65</f>
        <v>198343</v>
      </c>
      <c r="Y67">
        <f>+Y63+Y65</f>
        <v>9704</v>
      </c>
      <c r="AA67">
        <f>+AA63+AA65</f>
        <v>20817</v>
      </c>
      <c r="AC67">
        <f>+AC63+AC65</f>
        <v>228864</v>
      </c>
    </row>
    <row r="69" spans="3:29" x14ac:dyDescent="0.25">
      <c r="C69" t="s">
        <v>958</v>
      </c>
      <c r="D69" t="s">
        <v>959</v>
      </c>
    </row>
    <row r="70" spans="3:29" x14ac:dyDescent="0.25">
      <c r="D70" t="s">
        <v>960</v>
      </c>
    </row>
    <row r="86" spans="3:5" x14ac:dyDescent="0.25">
      <c r="C86" t="s">
        <v>961</v>
      </c>
    </row>
    <row r="87" spans="3:5" x14ac:dyDescent="0.25">
      <c r="D87" t="s">
        <v>931</v>
      </c>
    </row>
    <row r="88" spans="3:5" x14ac:dyDescent="0.25">
      <c r="D88" t="s">
        <v>962</v>
      </c>
    </row>
    <row r="89" spans="3:5" x14ac:dyDescent="0.25">
      <c r="D89" t="s">
        <v>963</v>
      </c>
    </row>
    <row r="90" spans="3:5" x14ac:dyDescent="0.25">
      <c r="D90" t="s">
        <v>947</v>
      </c>
    </row>
    <row r="91" spans="3:5" x14ac:dyDescent="0.25">
      <c r="D91" t="s">
        <v>933</v>
      </c>
    </row>
    <row r="92" spans="3:5" x14ac:dyDescent="0.25">
      <c r="D92" t="s">
        <v>954</v>
      </c>
    </row>
    <row r="93" spans="3:5" x14ac:dyDescent="0.25">
      <c r="D93" t="s">
        <v>964</v>
      </c>
    </row>
    <row r="94" spans="3:5" x14ac:dyDescent="0.25">
      <c r="D94" t="s">
        <v>965</v>
      </c>
    </row>
    <row r="95" spans="3:5" x14ac:dyDescent="0.25">
      <c r="E95" t="s">
        <v>966</v>
      </c>
    </row>
    <row r="97" spans="3:5" x14ac:dyDescent="0.25">
      <c r="C97" t="s">
        <v>949</v>
      </c>
    </row>
    <row r="98" spans="3:5" x14ac:dyDescent="0.25">
      <c r="C98" t="s">
        <v>943</v>
      </c>
    </row>
    <row r="100" spans="3:5" x14ac:dyDescent="0.25">
      <c r="C100" t="s">
        <v>967</v>
      </c>
    </row>
    <row r="101" spans="3:5" x14ac:dyDescent="0.25">
      <c r="C101" t="s">
        <v>968</v>
      </c>
    </row>
    <row r="102" spans="3:5" x14ac:dyDescent="0.25">
      <c r="E102" t="s">
        <v>969</v>
      </c>
    </row>
    <row r="104" spans="3:5" x14ac:dyDescent="0.25">
      <c r="C104" t="s">
        <v>970</v>
      </c>
    </row>
    <row r="105" spans="3:5" x14ac:dyDescent="0.25">
      <c r="D105" t="s">
        <v>931</v>
      </c>
    </row>
    <row r="106" spans="3:5" x14ac:dyDescent="0.25">
      <c r="D106" t="s">
        <v>962</v>
      </c>
    </row>
    <row r="107" spans="3:5" x14ac:dyDescent="0.25">
      <c r="D107" t="s">
        <v>963</v>
      </c>
    </row>
    <row r="108" spans="3:5" x14ac:dyDescent="0.25">
      <c r="D108" t="s">
        <v>947</v>
      </c>
    </row>
    <row r="109" spans="3:5" x14ac:dyDescent="0.25">
      <c r="D109" t="s">
        <v>933</v>
      </c>
    </row>
    <row r="110" spans="3:5" x14ac:dyDescent="0.25">
      <c r="D110" t="s">
        <v>954</v>
      </c>
    </row>
    <row r="111" spans="3:5" x14ac:dyDescent="0.25">
      <c r="D111" t="s">
        <v>964</v>
      </c>
    </row>
    <row r="112" spans="3:5" x14ac:dyDescent="0.25">
      <c r="D112" t="s">
        <v>965</v>
      </c>
    </row>
    <row r="113" spans="3:7" x14ac:dyDescent="0.25">
      <c r="E113" t="s">
        <v>971</v>
      </c>
    </row>
    <row r="115" spans="3:7" x14ac:dyDescent="0.25">
      <c r="C115" t="s">
        <v>922</v>
      </c>
    </row>
    <row r="116" spans="3:7" x14ac:dyDescent="0.25">
      <c r="D116" t="s">
        <v>972</v>
      </c>
    </row>
    <row r="117" spans="3:7" x14ac:dyDescent="0.25">
      <c r="E117" t="s">
        <v>973</v>
      </c>
    </row>
    <row r="118" spans="3:7" x14ac:dyDescent="0.25">
      <c r="E118" t="s">
        <v>974</v>
      </c>
    </row>
    <row r="119" spans="3:7" x14ac:dyDescent="0.25">
      <c r="G119" t="s">
        <v>975</v>
      </c>
    </row>
    <row r="122" spans="3:7" x14ac:dyDescent="0.25">
      <c r="C122" t="s">
        <v>976</v>
      </c>
    </row>
    <row r="123" spans="3:7" x14ac:dyDescent="0.25">
      <c r="D123" t="s">
        <v>83</v>
      </c>
    </row>
    <row r="124" spans="3:7" x14ac:dyDescent="0.25">
      <c r="D124" t="s">
        <v>977</v>
      </c>
    </row>
    <row r="126" spans="3:7" x14ac:dyDescent="0.25">
      <c r="G126" t="s">
        <v>978</v>
      </c>
    </row>
    <row r="130" spans="4:4" x14ac:dyDescent="0.25">
      <c r="D130" t="s">
        <v>31</v>
      </c>
    </row>
    <row r="131" spans="4:4" x14ac:dyDescent="0.25">
      <c r="D131" t="s">
        <v>36</v>
      </c>
    </row>
    <row r="133" spans="4:4" x14ac:dyDescent="0.25">
      <c r="D133" t="s">
        <v>199</v>
      </c>
    </row>
    <row r="134" spans="4:4" x14ac:dyDescent="0.25">
      <c r="D134" t="s">
        <v>204</v>
      </c>
    </row>
    <row r="135" spans="4:4" x14ac:dyDescent="0.25">
      <c r="D135" t="s">
        <v>979</v>
      </c>
    </row>
    <row r="136" spans="4:4" x14ac:dyDescent="0.25">
      <c r="D136" t="s">
        <v>233</v>
      </c>
    </row>
    <row r="138" spans="4:4" x14ac:dyDescent="0.25">
      <c r="D138" t="s">
        <v>980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FD76-4CDB-4BC3-AF06-DF6A2BB9346F}">
  <dimension ref="A1:AG138"/>
  <sheetViews>
    <sheetView workbookViewId="0"/>
  </sheetViews>
  <sheetFormatPr defaultRowHeight="15" x14ac:dyDescent="0.25"/>
  <sheetData>
    <row r="1" spans="1:32" x14ac:dyDescent="0.25">
      <c r="A1" t="s">
        <v>483</v>
      </c>
      <c r="AB1" t="s">
        <v>981</v>
      </c>
    </row>
    <row r="2" spans="1:32" x14ac:dyDescent="0.25">
      <c r="A2" t="s">
        <v>913</v>
      </c>
    </row>
    <row r="3" spans="1:32" x14ac:dyDescent="0.25">
      <c r="A3" t="s">
        <v>621</v>
      </c>
    </row>
    <row r="4" spans="1:32" x14ac:dyDescent="0.25">
      <c r="A4">
        <v>36891</v>
      </c>
    </row>
    <row r="5" spans="1:32" x14ac:dyDescent="0.25">
      <c r="A5" t="s">
        <v>487</v>
      </c>
    </row>
    <row r="7" spans="1:32" x14ac:dyDescent="0.25">
      <c r="R7">
        <v>1999</v>
      </c>
      <c r="T7">
        <v>2000</v>
      </c>
      <c r="AF7">
        <v>1998</v>
      </c>
    </row>
    <row r="8" spans="1:32" x14ac:dyDescent="0.25">
      <c r="A8" t="s">
        <v>861</v>
      </c>
      <c r="P8" t="s">
        <v>914</v>
      </c>
      <c r="R8" t="s">
        <v>914</v>
      </c>
      <c r="T8" t="s">
        <v>914</v>
      </c>
      <c r="AD8" t="s">
        <v>914</v>
      </c>
      <c r="AF8" t="s">
        <v>914</v>
      </c>
    </row>
    <row r="9" spans="1:32" x14ac:dyDescent="0.25">
      <c r="A9" t="s">
        <v>2</v>
      </c>
      <c r="L9" t="s">
        <v>480</v>
      </c>
      <c r="P9" t="s">
        <v>386</v>
      </c>
      <c r="R9" t="s">
        <v>386</v>
      </c>
      <c r="T9" t="s">
        <v>386</v>
      </c>
      <c r="Z9" t="s">
        <v>489</v>
      </c>
      <c r="AD9" t="s">
        <v>386</v>
      </c>
      <c r="AF9" t="s">
        <v>386</v>
      </c>
    </row>
    <row r="10" spans="1:32" x14ac:dyDescent="0.25">
      <c r="A10" t="s">
        <v>660</v>
      </c>
      <c r="J10">
        <v>36525</v>
      </c>
      <c r="L10" t="s">
        <v>916</v>
      </c>
      <c r="N10">
        <v>36891</v>
      </c>
      <c r="P10" t="s">
        <v>917</v>
      </c>
      <c r="R10" t="s">
        <v>918</v>
      </c>
      <c r="T10" t="s">
        <v>918</v>
      </c>
      <c r="X10">
        <v>36160</v>
      </c>
      <c r="Z10" t="s">
        <v>916</v>
      </c>
      <c r="AB10">
        <v>36525</v>
      </c>
      <c r="AD10" t="s">
        <v>917</v>
      </c>
      <c r="AF10" t="s">
        <v>918</v>
      </c>
    </row>
    <row r="11" spans="1:32" x14ac:dyDescent="0.25">
      <c r="C11" t="s">
        <v>922</v>
      </c>
    </row>
    <row r="12" spans="1:32" x14ac:dyDescent="0.25">
      <c r="A12">
        <v>301</v>
      </c>
      <c r="D12" t="s">
        <v>923</v>
      </c>
      <c r="J12" t="s">
        <v>84</v>
      </c>
      <c r="L12" t="s">
        <v>84</v>
      </c>
      <c r="N12" t="s">
        <v>84</v>
      </c>
      <c r="P12" t="s">
        <v>84</v>
      </c>
      <c r="R12" t="s">
        <v>84</v>
      </c>
      <c r="T12" t="str">
        <f>R12</f>
        <v xml:space="preserve"> </v>
      </c>
      <c r="X12" t="s">
        <v>84</v>
      </c>
      <c r="Z12" t="s">
        <v>84</v>
      </c>
      <c r="AB12" t="s">
        <v>84</v>
      </c>
      <c r="AD12" t="s">
        <v>84</v>
      </c>
      <c r="AF12" t="s">
        <v>84</v>
      </c>
    </row>
    <row r="13" spans="1:32" x14ac:dyDescent="0.25">
      <c r="E13" t="s">
        <v>924</v>
      </c>
      <c r="J13">
        <v>0</v>
      </c>
      <c r="L13">
        <v>0</v>
      </c>
      <c r="N13">
        <f>+J13+L13</f>
        <v>0</v>
      </c>
      <c r="P13">
        <v>5</v>
      </c>
      <c r="R13">
        <v>0</v>
      </c>
      <c r="T13">
        <f>+N13/P13</f>
        <v>0</v>
      </c>
      <c r="X13">
        <v>0</v>
      </c>
      <c r="Z13">
        <v>0</v>
      </c>
      <c r="AB13">
        <f>+X13+Z13</f>
        <v>0</v>
      </c>
      <c r="AD13">
        <v>5</v>
      </c>
      <c r="AF13">
        <v>0</v>
      </c>
    </row>
    <row r="14" spans="1:32" x14ac:dyDescent="0.25">
      <c r="E14" t="s">
        <v>925</v>
      </c>
      <c r="J14">
        <v>0</v>
      </c>
      <c r="L14">
        <v>0</v>
      </c>
      <c r="N14">
        <f>+J14+L14</f>
        <v>0</v>
      </c>
      <c r="P14">
        <v>5</v>
      </c>
      <c r="R14">
        <v>0</v>
      </c>
      <c r="T14">
        <f>+N14/P14</f>
        <v>0</v>
      </c>
      <c r="X14">
        <v>0</v>
      </c>
      <c r="Z14">
        <v>0</v>
      </c>
      <c r="AB14">
        <f>+X14+Z14</f>
        <v>0</v>
      </c>
      <c r="AD14">
        <v>5</v>
      </c>
      <c r="AF14">
        <v>0</v>
      </c>
    </row>
    <row r="15" spans="1:32" x14ac:dyDescent="0.25">
      <c r="E15" t="s">
        <v>926</v>
      </c>
      <c r="J15">
        <v>0</v>
      </c>
      <c r="L15">
        <v>0</v>
      </c>
      <c r="N15">
        <f>+J15+L15</f>
        <v>0</v>
      </c>
      <c r="P15">
        <v>3</v>
      </c>
      <c r="R15">
        <v>0</v>
      </c>
      <c r="T15">
        <f>+N15/P15</f>
        <v>0</v>
      </c>
      <c r="X15">
        <v>0</v>
      </c>
      <c r="Z15">
        <v>0</v>
      </c>
      <c r="AB15">
        <f>+X15+Z15</f>
        <v>0</v>
      </c>
      <c r="AD15">
        <v>3</v>
      </c>
      <c r="AF15">
        <v>0</v>
      </c>
    </row>
    <row r="16" spans="1:32" x14ac:dyDescent="0.25">
      <c r="E16" t="s">
        <v>927</v>
      </c>
      <c r="J16">
        <v>0</v>
      </c>
      <c r="L16">
        <v>0</v>
      </c>
      <c r="N16">
        <f>+J16+L16</f>
        <v>0</v>
      </c>
      <c r="P16">
        <v>5</v>
      </c>
      <c r="R16">
        <v>0</v>
      </c>
      <c r="T16">
        <f>+N16/P16</f>
        <v>0</v>
      </c>
      <c r="X16">
        <v>0</v>
      </c>
      <c r="Z16">
        <v>0</v>
      </c>
      <c r="AB16">
        <f>+X16+Z16</f>
        <v>0</v>
      </c>
      <c r="AD16">
        <v>5</v>
      </c>
      <c r="AF16">
        <v>0</v>
      </c>
    </row>
    <row r="17" spans="1:32" x14ac:dyDescent="0.25">
      <c r="H17" t="s">
        <v>928</v>
      </c>
      <c r="J17">
        <v>0</v>
      </c>
      <c r="L17">
        <f>SUM(L13:L16)</f>
        <v>0</v>
      </c>
      <c r="N17">
        <f>SUM(N13:N16)</f>
        <v>0</v>
      </c>
      <c r="R17">
        <f>SUM(R13:R16)</f>
        <v>0</v>
      </c>
      <c r="T17">
        <f>SUM(T13:T16)</f>
        <v>0</v>
      </c>
      <c r="X17">
        <f>SUM(X13:X16)</f>
        <v>0</v>
      </c>
      <c r="Z17">
        <f>SUM(Z13:Z16)</f>
        <v>0</v>
      </c>
      <c r="AB17">
        <f>SUM(AB13:AB16)</f>
        <v>0</v>
      </c>
      <c r="AF17">
        <f>SUM(AF13:AF16)</f>
        <v>0</v>
      </c>
    </row>
    <row r="19" spans="1:32" x14ac:dyDescent="0.25">
      <c r="A19">
        <v>303</v>
      </c>
      <c r="D19" t="s">
        <v>929</v>
      </c>
      <c r="J19" t="s">
        <v>84</v>
      </c>
      <c r="L19" t="s">
        <v>84</v>
      </c>
      <c r="N19" t="s">
        <v>84</v>
      </c>
      <c r="P19" t="s">
        <v>84</v>
      </c>
      <c r="R19" t="s">
        <v>84</v>
      </c>
      <c r="T19" t="s">
        <v>84</v>
      </c>
      <c r="X19" t="s">
        <v>84</v>
      </c>
      <c r="Z19" t="s">
        <v>84</v>
      </c>
      <c r="AB19" t="s">
        <v>84</v>
      </c>
      <c r="AD19" t="s">
        <v>84</v>
      </c>
      <c r="AF19" t="s">
        <v>84</v>
      </c>
    </row>
    <row r="20" spans="1:32" x14ac:dyDescent="0.25">
      <c r="E20" t="s">
        <v>930</v>
      </c>
    </row>
    <row r="21" spans="1:32" x14ac:dyDescent="0.25">
      <c r="F21" t="s">
        <v>931</v>
      </c>
      <c r="J21">
        <v>8436</v>
      </c>
      <c r="L21" t="s">
        <v>84</v>
      </c>
      <c r="N21" t="e">
        <f t="shared" ref="N21:N28" si="0">+J21+L21</f>
        <v>#VALUE!</v>
      </c>
      <c r="P21">
        <v>6</v>
      </c>
      <c r="R21" t="e">
        <f>(+X21/P21)+(Z21/P21*0.5)</f>
        <v>#VALUE!</v>
      </c>
      <c r="T21" t="e">
        <f>(+N21/P21)+(L21/P21*0.5)</f>
        <v>#VALUE!</v>
      </c>
      <c r="X21">
        <v>8436</v>
      </c>
      <c r="Z21" t="s">
        <v>84</v>
      </c>
      <c r="AB21" t="e">
        <f t="shared" ref="AB21:AB28" si="1">+X21+Z21</f>
        <v>#VALUE!</v>
      </c>
      <c r="AD21">
        <v>6</v>
      </c>
      <c r="AF21">
        <v>1054.5</v>
      </c>
    </row>
    <row r="22" spans="1:32" x14ac:dyDescent="0.25">
      <c r="F22" t="s">
        <v>932</v>
      </c>
      <c r="J22">
        <v>66153</v>
      </c>
      <c r="L22" t="s">
        <v>84</v>
      </c>
      <c r="N22" t="e">
        <f t="shared" si="0"/>
        <v>#VALUE!</v>
      </c>
      <c r="P22">
        <v>6</v>
      </c>
      <c r="R22" t="e">
        <f t="shared" ref="R22:R28" si="2">(+X22/P22)+(Z22/P22*0.5)</f>
        <v>#VALUE!</v>
      </c>
      <c r="T22" t="e">
        <f t="shared" ref="T22:T28" si="3">(+N22/P22)+(L22/P22*0.5)</f>
        <v>#VALUE!</v>
      </c>
      <c r="X22">
        <v>66153</v>
      </c>
      <c r="Z22" t="s">
        <v>84</v>
      </c>
      <c r="AB22" t="e">
        <f t="shared" si="1"/>
        <v>#VALUE!</v>
      </c>
      <c r="AD22">
        <v>6</v>
      </c>
      <c r="AF22">
        <v>8269.125</v>
      </c>
    </row>
    <row r="23" spans="1:32" x14ac:dyDescent="0.25">
      <c r="F23" t="s">
        <v>933</v>
      </c>
      <c r="J23">
        <v>3673</v>
      </c>
      <c r="L23" t="s">
        <v>84</v>
      </c>
      <c r="N23" t="e">
        <f t="shared" si="0"/>
        <v>#VALUE!</v>
      </c>
      <c r="P23">
        <v>6</v>
      </c>
      <c r="R23" t="e">
        <f t="shared" si="2"/>
        <v>#VALUE!</v>
      </c>
      <c r="T23" t="e">
        <f t="shared" si="3"/>
        <v>#VALUE!</v>
      </c>
      <c r="X23">
        <v>3673</v>
      </c>
      <c r="Z23" t="s">
        <v>84</v>
      </c>
      <c r="AB23" t="e">
        <f t="shared" si="1"/>
        <v>#VALUE!</v>
      </c>
      <c r="AD23">
        <v>6</v>
      </c>
      <c r="AF23">
        <v>459.125</v>
      </c>
    </row>
    <row r="24" spans="1:32" x14ac:dyDescent="0.25">
      <c r="F24" t="s">
        <v>982</v>
      </c>
      <c r="J24">
        <v>29893.4</v>
      </c>
      <c r="L24">
        <f>27003+AB78-N78</f>
        <v>26825.4</v>
      </c>
      <c r="N24">
        <f t="shared" si="0"/>
        <v>56718.8</v>
      </c>
      <c r="P24">
        <v>6</v>
      </c>
      <c r="R24">
        <f t="shared" si="2"/>
        <v>2491.1166666666668</v>
      </c>
      <c r="T24">
        <f t="shared" si="3"/>
        <v>11688.583333333334</v>
      </c>
      <c r="X24">
        <v>0</v>
      </c>
      <c r="Z24">
        <f>28638-778+X78-AB78</f>
        <v>29893.4</v>
      </c>
      <c r="AB24">
        <f t="shared" si="1"/>
        <v>29893.4</v>
      </c>
      <c r="AD24">
        <v>6</v>
      </c>
      <c r="AF24">
        <v>0</v>
      </c>
    </row>
    <row r="25" spans="1:32" x14ac:dyDescent="0.25">
      <c r="F25" t="s">
        <v>983</v>
      </c>
      <c r="J25">
        <v>6255</v>
      </c>
      <c r="L25">
        <v>10129</v>
      </c>
      <c r="N25">
        <f t="shared" si="0"/>
        <v>16384</v>
      </c>
      <c r="P25">
        <v>6</v>
      </c>
      <c r="R25">
        <f t="shared" si="2"/>
        <v>521.25</v>
      </c>
      <c r="T25">
        <f t="shared" si="3"/>
        <v>3574.75</v>
      </c>
      <c r="X25">
        <v>0</v>
      </c>
      <c r="Z25">
        <v>6255</v>
      </c>
      <c r="AB25">
        <f t="shared" si="1"/>
        <v>6255</v>
      </c>
      <c r="AD25">
        <v>6</v>
      </c>
      <c r="AF25">
        <v>0</v>
      </c>
    </row>
    <row r="26" spans="1:32" x14ac:dyDescent="0.25">
      <c r="F26" t="s">
        <v>984</v>
      </c>
      <c r="J26">
        <v>2378</v>
      </c>
      <c r="L26" t="s">
        <v>84</v>
      </c>
      <c r="N26" t="e">
        <f t="shared" si="0"/>
        <v>#VALUE!</v>
      </c>
      <c r="P26">
        <v>6</v>
      </c>
      <c r="R26">
        <f t="shared" si="2"/>
        <v>198.16666666666666</v>
      </c>
      <c r="T26" t="e">
        <f t="shared" si="3"/>
        <v>#VALUE!</v>
      </c>
      <c r="X26">
        <v>0</v>
      </c>
      <c r="Z26">
        <v>2378</v>
      </c>
      <c r="AB26">
        <f t="shared" si="1"/>
        <v>2378</v>
      </c>
      <c r="AD26">
        <v>6</v>
      </c>
      <c r="AF26">
        <v>0</v>
      </c>
    </row>
    <row r="27" spans="1:32" x14ac:dyDescent="0.25">
      <c r="F27" t="s">
        <v>937</v>
      </c>
      <c r="J27">
        <v>0</v>
      </c>
      <c r="L27" t="s">
        <v>84</v>
      </c>
      <c r="N27" t="e">
        <f t="shared" si="0"/>
        <v>#VALUE!</v>
      </c>
      <c r="P27">
        <v>6</v>
      </c>
      <c r="R27" t="e">
        <f t="shared" si="2"/>
        <v>#VALUE!</v>
      </c>
      <c r="T27" t="e">
        <f t="shared" si="3"/>
        <v>#VALUE!</v>
      </c>
      <c r="X27">
        <v>0</v>
      </c>
      <c r="Z27" t="s">
        <v>84</v>
      </c>
      <c r="AB27" t="e">
        <f t="shared" si="1"/>
        <v>#VALUE!</v>
      </c>
      <c r="AD27">
        <v>6</v>
      </c>
      <c r="AF27">
        <v>0</v>
      </c>
    </row>
    <row r="28" spans="1:32" x14ac:dyDescent="0.25">
      <c r="F28" t="s">
        <v>985</v>
      </c>
      <c r="J28">
        <v>1825</v>
      </c>
      <c r="L28" t="s">
        <v>84</v>
      </c>
      <c r="N28" t="e">
        <f t="shared" si="0"/>
        <v>#VALUE!</v>
      </c>
      <c r="P28">
        <v>6</v>
      </c>
      <c r="R28" t="e">
        <f t="shared" si="2"/>
        <v>#VALUE!</v>
      </c>
      <c r="T28" t="e">
        <f t="shared" si="3"/>
        <v>#VALUE!</v>
      </c>
      <c r="X28">
        <v>1825</v>
      </c>
      <c r="Z28" t="s">
        <v>84</v>
      </c>
      <c r="AB28" t="e">
        <f t="shared" si="1"/>
        <v>#VALUE!</v>
      </c>
      <c r="AD28">
        <v>6</v>
      </c>
      <c r="AF28">
        <v>164</v>
      </c>
    </row>
    <row r="29" spans="1:32" x14ac:dyDescent="0.25">
      <c r="E29" t="s">
        <v>84</v>
      </c>
      <c r="H29" t="s">
        <v>939</v>
      </c>
      <c r="J29">
        <f>SUM(J21:J28)</f>
        <v>118613.4</v>
      </c>
      <c r="L29">
        <f>SUM(L21:L28)</f>
        <v>36954.400000000001</v>
      </c>
      <c r="N29" t="e">
        <f>SUM(N21:N28)</f>
        <v>#VALUE!</v>
      </c>
      <c r="R29" t="e">
        <f>SUM(R21:R28)</f>
        <v>#VALUE!</v>
      </c>
      <c r="T29" t="e">
        <f>SUM(T21:T28)</f>
        <v>#VALUE!</v>
      </c>
      <c r="X29">
        <f>SUM(X21:X28)</f>
        <v>80087</v>
      </c>
      <c r="Z29">
        <f>SUM(Z21:Z28)</f>
        <v>38526.400000000001</v>
      </c>
      <c r="AB29" t="e">
        <f>SUM(AB21:AB28)</f>
        <v>#VALUE!</v>
      </c>
      <c r="AF29">
        <f>SUM(AF21:AF28)</f>
        <v>9946.75</v>
      </c>
    </row>
    <row r="31" spans="1:32" x14ac:dyDescent="0.25">
      <c r="H31" t="s">
        <v>940</v>
      </c>
      <c r="J31">
        <f>J17+J29</f>
        <v>118613.4</v>
      </c>
      <c r="L31">
        <f>L17+L29</f>
        <v>36954.400000000001</v>
      </c>
      <c r="N31" t="e">
        <f>N17+N29</f>
        <v>#VALUE!</v>
      </c>
      <c r="R31" t="e">
        <f>R29+R17</f>
        <v>#VALUE!</v>
      </c>
      <c r="T31" t="e">
        <f>T29+T17</f>
        <v>#VALUE!</v>
      </c>
      <c r="X31">
        <f>X17+X29</f>
        <v>80087</v>
      </c>
      <c r="Z31">
        <f>Z17+Z29</f>
        <v>38526.400000000001</v>
      </c>
      <c r="AB31" t="e">
        <f>AB17+AB29</f>
        <v>#VALUE!</v>
      </c>
      <c r="AF31">
        <f>AF29+AF17</f>
        <v>9946.75</v>
      </c>
    </row>
    <row r="34" spans="1:32" x14ac:dyDescent="0.25">
      <c r="C34" t="s">
        <v>941</v>
      </c>
    </row>
    <row r="35" spans="1:32" x14ac:dyDescent="0.25">
      <c r="A35">
        <v>390</v>
      </c>
      <c r="D35" t="s">
        <v>942</v>
      </c>
      <c r="J35" t="s">
        <v>84</v>
      </c>
      <c r="K35" t="s">
        <v>84</v>
      </c>
      <c r="L35" t="s">
        <v>84</v>
      </c>
      <c r="N35" t="s">
        <v>84</v>
      </c>
      <c r="P35" t="s">
        <v>84</v>
      </c>
      <c r="R35" t="s">
        <v>84</v>
      </c>
      <c r="T35" t="str">
        <f>R35</f>
        <v xml:space="preserve"> </v>
      </c>
      <c r="X35" t="s">
        <v>84</v>
      </c>
      <c r="Z35" t="s">
        <v>84</v>
      </c>
      <c r="AB35" t="s">
        <v>84</v>
      </c>
      <c r="AD35" t="s">
        <v>84</v>
      </c>
      <c r="AF35" t="s">
        <v>84</v>
      </c>
    </row>
    <row r="36" spans="1:32" x14ac:dyDescent="0.25">
      <c r="E36" t="s">
        <v>943</v>
      </c>
      <c r="J36">
        <v>11605</v>
      </c>
      <c r="L36">
        <v>2962</v>
      </c>
      <c r="N36">
        <f>+J36+L36</f>
        <v>14567</v>
      </c>
      <c r="P36">
        <v>10</v>
      </c>
      <c r="R36">
        <f>(+X36/P36)+(Z36/P36*0.5)</f>
        <v>1074.6000000000001</v>
      </c>
      <c r="T36">
        <f>(+N36/P36)+(L36/P36*0.5)</f>
        <v>1604.8</v>
      </c>
      <c r="X36">
        <v>9887</v>
      </c>
      <c r="Z36">
        <v>1718</v>
      </c>
      <c r="AB36">
        <f>+X36+Z36</f>
        <v>11605</v>
      </c>
      <c r="AD36">
        <v>10</v>
      </c>
      <c r="AF36">
        <v>723</v>
      </c>
    </row>
    <row r="37" spans="1:32" x14ac:dyDescent="0.25">
      <c r="E37" t="s">
        <v>84</v>
      </c>
      <c r="H37" t="s">
        <v>944</v>
      </c>
      <c r="J37">
        <f>J36</f>
        <v>11605</v>
      </c>
      <c r="L37">
        <f>L36</f>
        <v>2962</v>
      </c>
      <c r="N37">
        <f>N36</f>
        <v>14567</v>
      </c>
      <c r="R37">
        <f>R36</f>
        <v>1074.6000000000001</v>
      </c>
      <c r="T37">
        <f>T36</f>
        <v>1604.8</v>
      </c>
      <c r="X37">
        <f>X36</f>
        <v>9887</v>
      </c>
      <c r="Z37">
        <f>Z36</f>
        <v>1718</v>
      </c>
      <c r="AB37">
        <f>AB36</f>
        <v>11605</v>
      </c>
      <c r="AF37">
        <f>AF36</f>
        <v>723</v>
      </c>
    </row>
    <row r="39" spans="1:32" x14ac:dyDescent="0.25">
      <c r="A39">
        <v>391</v>
      </c>
      <c r="D39" t="s">
        <v>945</v>
      </c>
      <c r="J39" t="s">
        <v>84</v>
      </c>
      <c r="K39" t="s">
        <v>84</v>
      </c>
      <c r="L39" t="s">
        <v>84</v>
      </c>
      <c r="M39" t="s">
        <v>84</v>
      </c>
      <c r="N39" t="s">
        <v>84</v>
      </c>
      <c r="P39" t="s">
        <v>84</v>
      </c>
      <c r="R39" t="s">
        <v>84</v>
      </c>
      <c r="T39" t="s">
        <v>84</v>
      </c>
      <c r="X39" t="s">
        <v>84</v>
      </c>
      <c r="Z39" t="s">
        <v>84</v>
      </c>
      <c r="AA39" t="s">
        <v>84</v>
      </c>
      <c r="AB39" t="s">
        <v>84</v>
      </c>
      <c r="AD39" t="s">
        <v>84</v>
      </c>
      <c r="AF39" t="s">
        <v>84</v>
      </c>
    </row>
    <row r="40" spans="1:32" x14ac:dyDescent="0.25">
      <c r="E40" t="s">
        <v>946</v>
      </c>
      <c r="X40" t="s">
        <v>84</v>
      </c>
    </row>
    <row r="41" spans="1:32" x14ac:dyDescent="0.25">
      <c r="F41" t="s">
        <v>947</v>
      </c>
      <c r="J41">
        <v>0</v>
      </c>
      <c r="L41">
        <v>0</v>
      </c>
      <c r="N41">
        <f>+J41+L41</f>
        <v>0</v>
      </c>
      <c r="P41">
        <v>6</v>
      </c>
      <c r="R41">
        <f>(+X41/P41)+(Z41/P41*0.5)</f>
        <v>0</v>
      </c>
      <c r="T41">
        <f>(+N41/P41)+(L41/P41*0.5)</f>
        <v>0</v>
      </c>
      <c r="X41">
        <v>0</v>
      </c>
      <c r="Z41">
        <v>0</v>
      </c>
      <c r="AB41">
        <f>+X41+Z41</f>
        <v>0</v>
      </c>
      <c r="AD41">
        <v>6</v>
      </c>
      <c r="AF41">
        <v>0</v>
      </c>
    </row>
    <row r="42" spans="1:32" x14ac:dyDescent="0.25">
      <c r="F42" t="s">
        <v>948</v>
      </c>
      <c r="J42">
        <v>0</v>
      </c>
      <c r="L42">
        <v>0</v>
      </c>
      <c r="N42">
        <f>+J42+L42</f>
        <v>0</v>
      </c>
      <c r="P42">
        <v>6</v>
      </c>
      <c r="R42">
        <f>(+X42/P42)+(Z42/P42*0.5)</f>
        <v>0</v>
      </c>
      <c r="T42">
        <f>(+N42/P42)+(L42/P42*0.5)</f>
        <v>0</v>
      </c>
      <c r="X42">
        <v>0</v>
      </c>
      <c r="Z42">
        <v>0</v>
      </c>
      <c r="AB42">
        <f>+X42+Z42</f>
        <v>0</v>
      </c>
      <c r="AD42">
        <v>6</v>
      </c>
      <c r="AF42">
        <v>0</v>
      </c>
    </row>
    <row r="43" spans="1:32" x14ac:dyDescent="0.25">
      <c r="E43" t="s">
        <v>949</v>
      </c>
      <c r="J43">
        <v>4049</v>
      </c>
      <c r="L43">
        <v>0</v>
      </c>
      <c r="N43">
        <f>+J43+L43</f>
        <v>4049</v>
      </c>
      <c r="P43">
        <v>10</v>
      </c>
      <c r="R43">
        <f>(+X43/P43)+(Z43/P43*0.5)</f>
        <v>404.9</v>
      </c>
      <c r="T43">
        <f>(+N43/P43)+(L43/P43*0.5)</f>
        <v>404.9</v>
      </c>
      <c r="X43">
        <v>4049</v>
      </c>
      <c r="Z43">
        <v>0</v>
      </c>
      <c r="AB43">
        <f>+X43+Z43</f>
        <v>4049</v>
      </c>
      <c r="AD43">
        <v>10</v>
      </c>
      <c r="AF43">
        <v>282.60000000000002</v>
      </c>
    </row>
    <row r="44" spans="1:32" x14ac:dyDescent="0.25">
      <c r="H44" t="s">
        <v>950</v>
      </c>
      <c r="J44">
        <f>SUM(J41:J43)</f>
        <v>4049</v>
      </c>
      <c r="L44">
        <f>SUM(L41:L43)</f>
        <v>0</v>
      </c>
      <c r="N44">
        <f>SUM(N41:N43)</f>
        <v>4049</v>
      </c>
      <c r="R44">
        <f>SUM(R41:R43)</f>
        <v>404.9</v>
      </c>
      <c r="T44">
        <f>SUM(T41:T43)</f>
        <v>404.9</v>
      </c>
      <c r="X44">
        <f>SUM(X41:X43)</f>
        <v>4049</v>
      </c>
      <c r="Z44">
        <f>SUM(Z41:Z43)</f>
        <v>0</v>
      </c>
      <c r="AB44">
        <f>SUM(AB41:AB43)</f>
        <v>4049</v>
      </c>
      <c r="AF44">
        <f>SUM(AF41:AF43)</f>
        <v>282.60000000000002</v>
      </c>
    </row>
    <row r="46" spans="1:32" x14ac:dyDescent="0.25">
      <c r="A46">
        <v>392</v>
      </c>
      <c r="D46" t="s">
        <v>183</v>
      </c>
    </row>
    <row r="47" spans="1:32" x14ac:dyDescent="0.25">
      <c r="E47" t="s">
        <v>951</v>
      </c>
      <c r="J47">
        <v>96</v>
      </c>
      <c r="L47">
        <v>0</v>
      </c>
      <c r="N47">
        <f>+J47+L47</f>
        <v>96</v>
      </c>
      <c r="P47">
        <v>3</v>
      </c>
      <c r="R47">
        <f>(+X47/P47)+(Z47/P47*0.5)</f>
        <v>32</v>
      </c>
      <c r="T47">
        <f>(+N47/P47)+(L47/P47*0.5)</f>
        <v>32</v>
      </c>
      <c r="X47">
        <v>96</v>
      </c>
      <c r="Z47">
        <v>0</v>
      </c>
      <c r="AB47">
        <f>+X47+Z47</f>
        <v>96</v>
      </c>
      <c r="AD47">
        <v>3</v>
      </c>
      <c r="AF47">
        <v>24</v>
      </c>
    </row>
    <row r="49" spans="1:33" x14ac:dyDescent="0.25">
      <c r="A49">
        <v>397</v>
      </c>
      <c r="D49" t="s">
        <v>986</v>
      </c>
    </row>
    <row r="50" spans="1:33" x14ac:dyDescent="0.25">
      <c r="E50" t="s">
        <v>987</v>
      </c>
      <c r="J50">
        <v>39</v>
      </c>
      <c r="L50">
        <v>0</v>
      </c>
      <c r="N50">
        <f>+J50+L50</f>
        <v>39</v>
      </c>
      <c r="P50">
        <v>10</v>
      </c>
      <c r="R50">
        <f>(+X50/P50)+(Z50/P50*0.5)</f>
        <v>3.9</v>
      </c>
      <c r="T50">
        <f>(+N50/P50)+(L50/P50*0.5)</f>
        <v>3.9</v>
      </c>
      <c r="X50">
        <v>39</v>
      </c>
      <c r="Z50">
        <v>0</v>
      </c>
      <c r="AB50">
        <f>+X50+Z50</f>
        <v>39</v>
      </c>
      <c r="AF50">
        <v>1</v>
      </c>
    </row>
    <row r="53" spans="1:33" x14ac:dyDescent="0.25">
      <c r="A53">
        <v>399</v>
      </c>
      <c r="D53" t="s">
        <v>952</v>
      </c>
      <c r="P53" t="s">
        <v>84</v>
      </c>
      <c r="R53" t="s">
        <v>84</v>
      </c>
      <c r="T53" t="s">
        <v>84</v>
      </c>
      <c r="AD53" t="s">
        <v>84</v>
      </c>
      <c r="AF53" t="s">
        <v>84</v>
      </c>
    </row>
    <row r="54" spans="1:33" x14ac:dyDescent="0.25">
      <c r="E54" t="s">
        <v>946</v>
      </c>
    </row>
    <row r="55" spans="1:33" x14ac:dyDescent="0.25">
      <c r="F55" t="s">
        <v>931</v>
      </c>
      <c r="J55">
        <v>5528</v>
      </c>
      <c r="L55" t="s">
        <v>84</v>
      </c>
      <c r="N55" t="e">
        <f t="shared" ref="N55:N60" si="4">+J55+L55</f>
        <v>#VALUE!</v>
      </c>
      <c r="P55">
        <v>6</v>
      </c>
      <c r="R55" t="e">
        <f t="shared" ref="R55:R60" si="5">(+X55/P55)+(Z55/P55*0.5)</f>
        <v>#VALUE!</v>
      </c>
      <c r="T55" t="e">
        <f t="shared" ref="T55:T60" si="6">(+N55/P55)+(L55/P55*0.5)</f>
        <v>#VALUE!</v>
      </c>
      <c r="X55">
        <v>5528</v>
      </c>
      <c r="Z55" t="s">
        <v>84</v>
      </c>
      <c r="AB55" t="e">
        <f t="shared" ref="AB55:AB60" si="7">+X55+Z55</f>
        <v>#VALUE!</v>
      </c>
      <c r="AD55">
        <v>6</v>
      </c>
      <c r="AF55">
        <v>691</v>
      </c>
    </row>
    <row r="56" spans="1:33" x14ac:dyDescent="0.25">
      <c r="F56" t="s">
        <v>953</v>
      </c>
      <c r="J56">
        <v>10774</v>
      </c>
      <c r="L56" t="s">
        <v>84</v>
      </c>
      <c r="N56" t="e">
        <f t="shared" si="4"/>
        <v>#VALUE!</v>
      </c>
      <c r="P56">
        <v>6</v>
      </c>
      <c r="R56" t="e">
        <f t="shared" si="5"/>
        <v>#VALUE!</v>
      </c>
      <c r="T56" t="e">
        <f t="shared" si="6"/>
        <v>#VALUE!</v>
      </c>
      <c r="X56">
        <v>10774</v>
      </c>
      <c r="Z56" t="s">
        <v>84</v>
      </c>
      <c r="AB56" t="e">
        <f t="shared" si="7"/>
        <v>#VALUE!</v>
      </c>
      <c r="AD56">
        <v>6</v>
      </c>
      <c r="AF56">
        <v>1346.75</v>
      </c>
    </row>
    <row r="57" spans="1:33" x14ac:dyDescent="0.25">
      <c r="F57" t="s">
        <v>988</v>
      </c>
      <c r="J57">
        <v>303</v>
      </c>
      <c r="L57" t="s">
        <v>84</v>
      </c>
      <c r="N57" t="e">
        <f t="shared" si="4"/>
        <v>#VALUE!</v>
      </c>
      <c r="P57">
        <v>6</v>
      </c>
      <c r="R57" t="e">
        <f t="shared" si="5"/>
        <v>#VALUE!</v>
      </c>
      <c r="T57" t="e">
        <f t="shared" si="6"/>
        <v>#VALUE!</v>
      </c>
      <c r="X57">
        <v>303</v>
      </c>
      <c r="Z57" t="s">
        <v>84</v>
      </c>
      <c r="AB57" t="e">
        <f t="shared" si="7"/>
        <v>#VALUE!</v>
      </c>
      <c r="AF57">
        <v>37.875</v>
      </c>
    </row>
    <row r="58" spans="1:33" x14ac:dyDescent="0.25">
      <c r="F58" t="s">
        <v>933</v>
      </c>
      <c r="J58">
        <v>3698</v>
      </c>
      <c r="L58" t="s">
        <v>84</v>
      </c>
      <c r="N58" t="e">
        <f t="shared" si="4"/>
        <v>#VALUE!</v>
      </c>
      <c r="P58">
        <v>6</v>
      </c>
      <c r="R58" t="e">
        <f t="shared" si="5"/>
        <v>#VALUE!</v>
      </c>
      <c r="T58" t="e">
        <f t="shared" si="6"/>
        <v>#VALUE!</v>
      </c>
      <c r="X58">
        <v>3698</v>
      </c>
      <c r="Z58" t="s">
        <v>84</v>
      </c>
      <c r="AB58" t="e">
        <f t="shared" si="7"/>
        <v>#VALUE!</v>
      </c>
      <c r="AD58">
        <v>6</v>
      </c>
      <c r="AF58">
        <v>462.25</v>
      </c>
    </row>
    <row r="59" spans="1:33" x14ac:dyDescent="0.25">
      <c r="F59" t="s">
        <v>985</v>
      </c>
      <c r="J59">
        <v>513</v>
      </c>
      <c r="L59">
        <v>0</v>
      </c>
      <c r="N59">
        <f t="shared" si="4"/>
        <v>513</v>
      </c>
      <c r="P59">
        <v>6</v>
      </c>
      <c r="R59">
        <f t="shared" si="5"/>
        <v>42.75</v>
      </c>
      <c r="T59">
        <f t="shared" si="6"/>
        <v>85.5</v>
      </c>
      <c r="X59">
        <v>0</v>
      </c>
      <c r="Z59">
        <v>513</v>
      </c>
      <c r="AB59">
        <f t="shared" si="7"/>
        <v>513</v>
      </c>
      <c r="AF59">
        <v>0</v>
      </c>
    </row>
    <row r="60" spans="1:33" x14ac:dyDescent="0.25">
      <c r="F60" t="s">
        <v>954</v>
      </c>
      <c r="J60">
        <v>615</v>
      </c>
      <c r="L60">
        <v>0</v>
      </c>
      <c r="N60">
        <f t="shared" si="4"/>
        <v>615</v>
      </c>
      <c r="P60">
        <v>6</v>
      </c>
      <c r="R60">
        <f t="shared" si="5"/>
        <v>102.5</v>
      </c>
      <c r="T60">
        <f t="shared" si="6"/>
        <v>102.5</v>
      </c>
      <c r="X60">
        <v>615</v>
      </c>
      <c r="Z60">
        <v>0</v>
      </c>
      <c r="AB60">
        <f t="shared" si="7"/>
        <v>615</v>
      </c>
      <c r="AD60">
        <v>6</v>
      </c>
      <c r="AF60">
        <v>38</v>
      </c>
    </row>
    <row r="61" spans="1:33" x14ac:dyDescent="0.25">
      <c r="H61" t="s">
        <v>955</v>
      </c>
      <c r="J61">
        <f>SUM(J55:J60)</f>
        <v>21431</v>
      </c>
      <c r="L61">
        <f>SUM(L55:L60)</f>
        <v>0</v>
      </c>
      <c r="N61" t="e">
        <f>SUM(N55:N60)</f>
        <v>#VALUE!</v>
      </c>
      <c r="R61" t="e">
        <f>SUM(R55:R60)</f>
        <v>#VALUE!</v>
      </c>
      <c r="T61" t="e">
        <f>SUM(T55:T60)</f>
        <v>#VALUE!</v>
      </c>
      <c r="X61">
        <f>SUM(X55:X60)</f>
        <v>20918</v>
      </c>
      <c r="Z61">
        <f>SUM(Z55:Z60)</f>
        <v>513</v>
      </c>
      <c r="AB61" t="e">
        <f>SUM(AB55:AB60)</f>
        <v>#VALUE!</v>
      </c>
      <c r="AF61">
        <f>SUM(AF55:AF60)</f>
        <v>2575.875</v>
      </c>
    </row>
    <row r="62" spans="1:33" x14ac:dyDescent="0.25">
      <c r="R62" t="s">
        <v>84</v>
      </c>
      <c r="AF62" t="s">
        <v>84</v>
      </c>
    </row>
    <row r="63" spans="1:33" x14ac:dyDescent="0.25">
      <c r="H63" t="s">
        <v>956</v>
      </c>
      <c r="J63">
        <f>+J37+J44+J47+J61</f>
        <v>37181</v>
      </c>
      <c r="K63" t="s">
        <v>541</v>
      </c>
      <c r="L63">
        <f>+L37+L44+L47+L61+L50</f>
        <v>2962</v>
      </c>
      <c r="M63" t="s">
        <v>541</v>
      </c>
      <c r="N63" t="e">
        <f>+N37+N44+N47+N61+N50</f>
        <v>#VALUE!</v>
      </c>
      <c r="O63" t="s">
        <v>541</v>
      </c>
      <c r="P63" t="s">
        <v>541</v>
      </c>
      <c r="Q63" t="s">
        <v>541</v>
      </c>
      <c r="R63" t="e">
        <f>+R37+R44+R47+R61+R50</f>
        <v>#VALUE!</v>
      </c>
      <c r="S63" t="s">
        <v>541</v>
      </c>
      <c r="T63" t="e">
        <f>+T37+T44+T47+T61+T50</f>
        <v>#VALUE!</v>
      </c>
      <c r="U63" t="s">
        <v>541</v>
      </c>
      <c r="X63">
        <f>+X37+X44+X47+X61+X50</f>
        <v>34989</v>
      </c>
      <c r="Z63">
        <f>+Z37+Z44+Z47+Z61</f>
        <v>2231</v>
      </c>
      <c r="AA63" t="s">
        <v>541</v>
      </c>
      <c r="AB63" t="e">
        <f>+AB37+AB44+AB47+AB50+AB61</f>
        <v>#VALUE!</v>
      </c>
      <c r="AC63" t="s">
        <v>541</v>
      </c>
      <c r="AD63" t="s">
        <v>541</v>
      </c>
      <c r="AE63" t="s">
        <v>541</v>
      </c>
      <c r="AF63">
        <f>+AF37+AF44+AF47+AF61+AF50</f>
        <v>3606.4749999999999</v>
      </c>
      <c r="AG63" t="s">
        <v>541</v>
      </c>
    </row>
    <row r="64" spans="1:33" x14ac:dyDescent="0.25">
      <c r="J64" t="s">
        <v>541</v>
      </c>
      <c r="K64" t="s">
        <v>84</v>
      </c>
      <c r="L64" t="s">
        <v>541</v>
      </c>
      <c r="M64" t="s">
        <v>84</v>
      </c>
      <c r="N64" t="s">
        <v>541</v>
      </c>
      <c r="R64" t="s">
        <v>541</v>
      </c>
      <c r="T64" t="s">
        <v>541</v>
      </c>
      <c r="X64" t="s">
        <v>541</v>
      </c>
      <c r="Z64" t="s">
        <v>541</v>
      </c>
      <c r="AA64" t="s">
        <v>84</v>
      </c>
      <c r="AB64" t="s">
        <v>541</v>
      </c>
      <c r="AF64" t="s">
        <v>541</v>
      </c>
    </row>
    <row r="66" spans="1:32" x14ac:dyDescent="0.25">
      <c r="E66" t="s">
        <v>957</v>
      </c>
      <c r="J66">
        <f>J63+J31</f>
        <v>155794.4</v>
      </c>
      <c r="L66">
        <f>L63+L31</f>
        <v>39916.400000000001</v>
      </c>
      <c r="N66" t="e">
        <f>N63+N31</f>
        <v>#VALUE!</v>
      </c>
      <c r="R66" t="e">
        <f>R63+R31</f>
        <v>#VALUE!</v>
      </c>
      <c r="T66" t="e">
        <f>T63+T31</f>
        <v>#VALUE!</v>
      </c>
      <c r="X66">
        <f>+X31+X63</f>
        <v>115076</v>
      </c>
      <c r="Z66">
        <f>Z63+Z31</f>
        <v>40757.4</v>
      </c>
      <c r="AB66" t="e">
        <f>AB63+AB31</f>
        <v>#VALUE!</v>
      </c>
      <c r="AF66">
        <f>AF63+AF31</f>
        <v>13553.225</v>
      </c>
    </row>
    <row r="68" spans="1:32" x14ac:dyDescent="0.25">
      <c r="R68" t="s">
        <v>84</v>
      </c>
      <c r="V68" t="s">
        <v>84</v>
      </c>
      <c r="AF68" t="s">
        <v>84</v>
      </c>
    </row>
    <row r="69" spans="1:32" x14ac:dyDescent="0.25">
      <c r="C69" t="s">
        <v>958</v>
      </c>
      <c r="D69" t="s">
        <v>959</v>
      </c>
    </row>
    <row r="70" spans="1:32" x14ac:dyDescent="0.25">
      <c r="D70" t="s">
        <v>960</v>
      </c>
    </row>
    <row r="78" spans="1:32" x14ac:dyDescent="0.25">
      <c r="A78">
        <v>107</v>
      </c>
      <c r="C78" t="s">
        <v>989</v>
      </c>
      <c r="N78">
        <f>40094*0.3</f>
        <v>12028.199999999999</v>
      </c>
      <c r="X78">
        <v>13884</v>
      </c>
      <c r="AB78">
        <f>39502*0.3</f>
        <v>11850.6</v>
      </c>
    </row>
    <row r="80" spans="1:32" x14ac:dyDescent="0.25">
      <c r="N80" t="e">
        <f>+N66+N78</f>
        <v>#VALUE!</v>
      </c>
      <c r="X80">
        <f>+X66+X78</f>
        <v>128960</v>
      </c>
      <c r="Z80" t="s">
        <v>84</v>
      </c>
      <c r="AB80" t="e">
        <f>+AB66+AB78</f>
        <v>#VALUE!</v>
      </c>
    </row>
    <row r="82" spans="3:26" x14ac:dyDescent="0.25">
      <c r="Z82" t="s">
        <v>84</v>
      </c>
    </row>
    <row r="86" spans="3:26" x14ac:dyDescent="0.25">
      <c r="C86" t="s">
        <v>961</v>
      </c>
    </row>
    <row r="87" spans="3:26" x14ac:dyDescent="0.25">
      <c r="D87" t="s">
        <v>931</v>
      </c>
    </row>
    <row r="88" spans="3:26" x14ac:dyDescent="0.25">
      <c r="D88" t="s">
        <v>962</v>
      </c>
    </row>
    <row r="89" spans="3:26" x14ac:dyDescent="0.25">
      <c r="D89" t="s">
        <v>963</v>
      </c>
    </row>
    <row r="90" spans="3:26" x14ac:dyDescent="0.25">
      <c r="D90" t="s">
        <v>947</v>
      </c>
    </row>
    <row r="91" spans="3:26" x14ac:dyDescent="0.25">
      <c r="D91" t="s">
        <v>933</v>
      </c>
    </row>
    <row r="92" spans="3:26" x14ac:dyDescent="0.25">
      <c r="D92" t="s">
        <v>954</v>
      </c>
    </row>
    <row r="93" spans="3:26" x14ac:dyDescent="0.25">
      <c r="D93" t="s">
        <v>964</v>
      </c>
    </row>
    <row r="94" spans="3:26" x14ac:dyDescent="0.25">
      <c r="D94" t="s">
        <v>965</v>
      </c>
    </row>
    <row r="95" spans="3:26" x14ac:dyDescent="0.25">
      <c r="E95" t="s">
        <v>966</v>
      </c>
    </row>
    <row r="97" spans="3:5" x14ac:dyDescent="0.25">
      <c r="C97" t="s">
        <v>949</v>
      </c>
    </row>
    <row r="98" spans="3:5" x14ac:dyDescent="0.25">
      <c r="C98" t="s">
        <v>943</v>
      </c>
    </row>
    <row r="100" spans="3:5" x14ac:dyDescent="0.25">
      <c r="C100" t="s">
        <v>967</v>
      </c>
    </row>
    <row r="101" spans="3:5" x14ac:dyDescent="0.25">
      <c r="C101" t="s">
        <v>968</v>
      </c>
    </row>
    <row r="102" spans="3:5" x14ac:dyDescent="0.25">
      <c r="E102" t="s">
        <v>969</v>
      </c>
    </row>
    <row r="104" spans="3:5" x14ac:dyDescent="0.25">
      <c r="C104" t="s">
        <v>970</v>
      </c>
    </row>
    <row r="105" spans="3:5" x14ac:dyDescent="0.25">
      <c r="D105" t="s">
        <v>931</v>
      </c>
    </row>
    <row r="106" spans="3:5" x14ac:dyDescent="0.25">
      <c r="D106" t="s">
        <v>962</v>
      </c>
    </row>
    <row r="107" spans="3:5" x14ac:dyDescent="0.25">
      <c r="D107" t="s">
        <v>963</v>
      </c>
    </row>
    <row r="108" spans="3:5" x14ac:dyDescent="0.25">
      <c r="D108" t="s">
        <v>947</v>
      </c>
    </row>
    <row r="109" spans="3:5" x14ac:dyDescent="0.25">
      <c r="D109" t="s">
        <v>933</v>
      </c>
    </row>
    <row r="110" spans="3:5" x14ac:dyDescent="0.25">
      <c r="D110" t="s">
        <v>954</v>
      </c>
    </row>
    <row r="111" spans="3:5" x14ac:dyDescent="0.25">
      <c r="D111" t="s">
        <v>964</v>
      </c>
    </row>
    <row r="112" spans="3:5" x14ac:dyDescent="0.25">
      <c r="D112" t="s">
        <v>965</v>
      </c>
    </row>
    <row r="113" spans="3:7" x14ac:dyDescent="0.25">
      <c r="E113" t="s">
        <v>971</v>
      </c>
    </row>
    <row r="115" spans="3:7" x14ac:dyDescent="0.25">
      <c r="C115" t="s">
        <v>922</v>
      </c>
    </row>
    <row r="116" spans="3:7" x14ac:dyDescent="0.25">
      <c r="D116" t="s">
        <v>972</v>
      </c>
    </row>
    <row r="117" spans="3:7" x14ac:dyDescent="0.25">
      <c r="E117" t="s">
        <v>973</v>
      </c>
    </row>
    <row r="118" spans="3:7" x14ac:dyDescent="0.25">
      <c r="E118" t="s">
        <v>974</v>
      </c>
    </row>
    <row r="119" spans="3:7" x14ac:dyDescent="0.25">
      <c r="G119" t="s">
        <v>975</v>
      </c>
    </row>
    <row r="122" spans="3:7" x14ac:dyDescent="0.25">
      <c r="C122" t="s">
        <v>976</v>
      </c>
    </row>
    <row r="123" spans="3:7" x14ac:dyDescent="0.25">
      <c r="D123" t="s">
        <v>83</v>
      </c>
    </row>
    <row r="124" spans="3:7" x14ac:dyDescent="0.25">
      <c r="D124" t="s">
        <v>977</v>
      </c>
    </row>
    <row r="126" spans="3:7" x14ac:dyDescent="0.25">
      <c r="G126" t="s">
        <v>978</v>
      </c>
    </row>
    <row r="130" spans="4:4" x14ac:dyDescent="0.25">
      <c r="D130" t="s">
        <v>31</v>
      </c>
    </row>
    <row r="131" spans="4:4" x14ac:dyDescent="0.25">
      <c r="D131" t="s">
        <v>36</v>
      </c>
    </row>
    <row r="133" spans="4:4" x14ac:dyDescent="0.25">
      <c r="D133" t="s">
        <v>199</v>
      </c>
    </row>
    <row r="134" spans="4:4" x14ac:dyDescent="0.25">
      <c r="D134" t="s">
        <v>204</v>
      </c>
    </row>
    <row r="135" spans="4:4" x14ac:dyDescent="0.25">
      <c r="D135" t="s">
        <v>979</v>
      </c>
    </row>
    <row r="136" spans="4:4" x14ac:dyDescent="0.25">
      <c r="D136" t="s">
        <v>233</v>
      </c>
    </row>
    <row r="138" spans="4:4" x14ac:dyDescent="0.25">
      <c r="D138" t="s">
        <v>980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C5BF6-944F-4DDF-8EA2-A122425C9BAB}">
  <dimension ref="A1:J23"/>
  <sheetViews>
    <sheetView workbookViewId="0"/>
  </sheetViews>
  <sheetFormatPr defaultRowHeight="15" x14ac:dyDescent="0.25"/>
  <sheetData>
    <row r="1" spans="1:10" x14ac:dyDescent="0.25">
      <c r="A1" t="s">
        <v>483</v>
      </c>
    </row>
    <row r="2" spans="1:10" x14ac:dyDescent="0.25">
      <c r="A2" t="s">
        <v>990</v>
      </c>
    </row>
    <row r="3" spans="1:10" x14ac:dyDescent="0.25">
      <c r="A3" t="s">
        <v>653</v>
      </c>
    </row>
    <row r="4" spans="1:10" x14ac:dyDescent="0.25">
      <c r="A4">
        <v>36891</v>
      </c>
    </row>
    <row r="5" spans="1:10" x14ac:dyDescent="0.25">
      <c r="A5" t="s">
        <v>487</v>
      </c>
    </row>
    <row r="9" spans="1:10" x14ac:dyDescent="0.25">
      <c r="C9" t="s">
        <v>623</v>
      </c>
      <c r="J9" t="s">
        <v>480</v>
      </c>
    </row>
    <row r="12" spans="1:10" x14ac:dyDescent="0.25">
      <c r="B12" t="s">
        <v>84</v>
      </c>
      <c r="C12" t="s">
        <v>654</v>
      </c>
      <c r="H12" t="s">
        <v>489</v>
      </c>
    </row>
    <row r="14" spans="1:10" x14ac:dyDescent="0.25">
      <c r="D14" t="s">
        <v>991</v>
      </c>
      <c r="H14">
        <v>1628</v>
      </c>
      <c r="J14">
        <f>+H23</f>
        <v>1328</v>
      </c>
    </row>
    <row r="15" spans="1:10" x14ac:dyDescent="0.25">
      <c r="D15" t="s">
        <v>992</v>
      </c>
      <c r="H15" t="s">
        <v>993</v>
      </c>
      <c r="J15" t="s">
        <v>993</v>
      </c>
    </row>
    <row r="16" spans="1:10" x14ac:dyDescent="0.25">
      <c r="D16" t="s">
        <v>994</v>
      </c>
      <c r="H16">
        <v>35916</v>
      </c>
      <c r="J16">
        <v>35916</v>
      </c>
    </row>
    <row r="18" spans="2:10" x14ac:dyDescent="0.25">
      <c r="D18" t="s">
        <v>995</v>
      </c>
      <c r="H18">
        <v>12</v>
      </c>
      <c r="J18">
        <v>12</v>
      </c>
    </row>
    <row r="20" spans="2:10" x14ac:dyDescent="0.25">
      <c r="D20" t="s">
        <v>996</v>
      </c>
    </row>
    <row r="21" spans="2:10" x14ac:dyDescent="0.25">
      <c r="C21" t="s">
        <v>84</v>
      </c>
      <c r="E21" t="s">
        <v>601</v>
      </c>
      <c r="H21">
        <v>300</v>
      </c>
      <c r="J21">
        <v>260</v>
      </c>
    </row>
    <row r="23" spans="2:10" x14ac:dyDescent="0.25">
      <c r="B23" t="s">
        <v>84</v>
      </c>
      <c r="C23" t="s">
        <v>84</v>
      </c>
      <c r="E23" t="s">
        <v>997</v>
      </c>
      <c r="H23">
        <f>H14-H21</f>
        <v>1328</v>
      </c>
      <c r="J23">
        <f>J14-J21</f>
        <v>1068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A0394-CE2B-4C0B-94BE-156BC58A7104}">
  <dimension ref="A1:W323"/>
  <sheetViews>
    <sheetView workbookViewId="0"/>
  </sheetViews>
  <sheetFormatPr defaultRowHeight="15" x14ac:dyDescent="0.25"/>
  <sheetData>
    <row r="1" spans="1:23" x14ac:dyDescent="0.25">
      <c r="A1" t="s">
        <v>483</v>
      </c>
    </row>
    <row r="2" spans="1:23" x14ac:dyDescent="0.25">
      <c r="A2" t="s">
        <v>998</v>
      </c>
    </row>
    <row r="3" spans="1:23" x14ac:dyDescent="0.25">
      <c r="A3" t="s">
        <v>658</v>
      </c>
    </row>
    <row r="4" spans="1:23" x14ac:dyDescent="0.25">
      <c r="A4">
        <v>36891</v>
      </c>
    </row>
    <row r="5" spans="1:23" x14ac:dyDescent="0.25">
      <c r="A5" t="s">
        <v>487</v>
      </c>
    </row>
    <row r="9" spans="1:23" x14ac:dyDescent="0.25">
      <c r="K9">
        <v>1999</v>
      </c>
    </row>
    <row r="10" spans="1:23" x14ac:dyDescent="0.25">
      <c r="D10" t="s">
        <v>84</v>
      </c>
      <c r="Q10" t="s">
        <v>480</v>
      </c>
    </row>
    <row r="11" spans="1:23" x14ac:dyDescent="0.25">
      <c r="D11" t="s">
        <v>2</v>
      </c>
      <c r="M11" t="s">
        <v>660</v>
      </c>
      <c r="Q11" t="s">
        <v>660</v>
      </c>
    </row>
    <row r="12" spans="1:23" x14ac:dyDescent="0.25">
      <c r="B12" t="s">
        <v>999</v>
      </c>
      <c r="D12" t="s">
        <v>660</v>
      </c>
      <c r="F12" t="s">
        <v>492</v>
      </c>
      <c r="K12" t="s">
        <v>1000</v>
      </c>
      <c r="M12" t="s">
        <v>957</v>
      </c>
      <c r="O12" t="s">
        <v>1000</v>
      </c>
      <c r="Q12" t="s">
        <v>957</v>
      </c>
    </row>
    <row r="15" spans="1:23" x14ac:dyDescent="0.25">
      <c r="B15" t="s">
        <v>452</v>
      </c>
    </row>
    <row r="16" spans="1:23" x14ac:dyDescent="0.25">
      <c r="B16" t="s">
        <v>84</v>
      </c>
      <c r="D16">
        <v>560</v>
      </c>
      <c r="E16">
        <v>560</v>
      </c>
      <c r="T16" t="s">
        <v>1001</v>
      </c>
      <c r="U16" t="s">
        <v>430</v>
      </c>
      <c r="V16">
        <f>SUMIF(G$17:G$306,U16,O$17:O$306)</f>
        <v>54779</v>
      </c>
      <c r="W16" t="s">
        <v>666</v>
      </c>
    </row>
    <row r="17" spans="4:23" x14ac:dyDescent="0.25">
      <c r="E17">
        <v>560</v>
      </c>
      <c r="G17" t="s">
        <v>430</v>
      </c>
      <c r="O17">
        <v>2207</v>
      </c>
      <c r="T17" t="s">
        <v>1002</v>
      </c>
      <c r="U17" t="s">
        <v>1003</v>
      </c>
      <c r="V17">
        <f>SUMIF(G$17:G$306,U17,O$17:O$306)</f>
        <v>10946</v>
      </c>
      <c r="W17" t="s">
        <v>666</v>
      </c>
    </row>
    <row r="18" spans="4:23" x14ac:dyDescent="0.25">
      <c r="E18">
        <v>560</v>
      </c>
      <c r="G18" t="s">
        <v>433</v>
      </c>
      <c r="K18">
        <v>0</v>
      </c>
      <c r="O18">
        <v>0</v>
      </c>
      <c r="T18" t="s">
        <v>1004</v>
      </c>
      <c r="U18" t="s">
        <v>432</v>
      </c>
      <c r="V18">
        <f t="shared" ref="V18:V25" si="0">SUMIF(G$17:G$306,U18,O$17:O$306)</f>
        <v>899</v>
      </c>
      <c r="W18" t="s">
        <v>666</v>
      </c>
    </row>
    <row r="19" spans="4:23" x14ac:dyDescent="0.25">
      <c r="E19">
        <v>560</v>
      </c>
      <c r="G19" t="s">
        <v>434</v>
      </c>
      <c r="O19">
        <v>100</v>
      </c>
      <c r="T19">
        <v>4</v>
      </c>
      <c r="U19" t="s">
        <v>433</v>
      </c>
      <c r="V19">
        <f t="shared" si="0"/>
        <v>46479</v>
      </c>
      <c r="W19" t="s">
        <v>666</v>
      </c>
    </row>
    <row r="20" spans="4:23" x14ac:dyDescent="0.25">
      <c r="E20">
        <v>560</v>
      </c>
      <c r="G20" t="s">
        <v>436</v>
      </c>
      <c r="O20">
        <v>868</v>
      </c>
      <c r="T20" t="s">
        <v>1005</v>
      </c>
      <c r="U20" t="s">
        <v>434</v>
      </c>
      <c r="V20">
        <f t="shared" si="0"/>
        <v>6868</v>
      </c>
      <c r="W20" t="s">
        <v>666</v>
      </c>
    </row>
    <row r="21" spans="4:23" x14ac:dyDescent="0.25">
      <c r="E21">
        <v>560</v>
      </c>
      <c r="G21" t="s">
        <v>350</v>
      </c>
      <c r="O21">
        <v>81</v>
      </c>
      <c r="T21" t="s">
        <v>1006</v>
      </c>
      <c r="U21" t="s">
        <v>1007</v>
      </c>
      <c r="V21">
        <f t="shared" si="0"/>
        <v>6200</v>
      </c>
      <c r="W21" t="s">
        <v>666</v>
      </c>
    </row>
    <row r="22" spans="4:23" x14ac:dyDescent="0.25">
      <c r="E22">
        <v>560</v>
      </c>
      <c r="G22" t="s">
        <v>438</v>
      </c>
      <c r="K22">
        <v>0</v>
      </c>
      <c r="O22">
        <v>0</v>
      </c>
      <c r="T22" t="s">
        <v>1008</v>
      </c>
      <c r="U22" t="s">
        <v>436</v>
      </c>
      <c r="V22">
        <f>SUMIF(G$17:G$306,U22,O$17:O$306)</f>
        <v>4508</v>
      </c>
      <c r="W22" t="s">
        <v>666</v>
      </c>
    </row>
    <row r="23" spans="4:23" x14ac:dyDescent="0.25">
      <c r="I23" t="s">
        <v>1009</v>
      </c>
      <c r="M23">
        <f>SUM(K17:K22)</f>
        <v>0</v>
      </c>
      <c r="Q23">
        <f>SUM(O17:O22)</f>
        <v>3256</v>
      </c>
      <c r="T23" t="s">
        <v>1010</v>
      </c>
      <c r="U23" t="s">
        <v>350</v>
      </c>
      <c r="V23">
        <f t="shared" si="0"/>
        <v>2538</v>
      </c>
      <c r="W23" t="s">
        <v>666</v>
      </c>
    </row>
    <row r="24" spans="4:23" x14ac:dyDescent="0.25">
      <c r="T24" t="s">
        <v>1011</v>
      </c>
      <c r="U24" t="s">
        <v>437</v>
      </c>
      <c r="V24">
        <f t="shared" si="0"/>
        <v>0</v>
      </c>
      <c r="W24" t="s">
        <v>666</v>
      </c>
    </row>
    <row r="25" spans="4:23" x14ac:dyDescent="0.25">
      <c r="D25">
        <v>561</v>
      </c>
      <c r="E25">
        <v>561</v>
      </c>
      <c r="T25" t="s">
        <v>1012</v>
      </c>
      <c r="U25" t="s">
        <v>438</v>
      </c>
      <c r="V25">
        <f t="shared" si="0"/>
        <v>0</v>
      </c>
      <c r="W25" t="s">
        <v>666</v>
      </c>
    </row>
    <row r="26" spans="4:23" x14ac:dyDescent="0.25">
      <c r="E26">
        <v>561</v>
      </c>
      <c r="G26" t="s">
        <v>430</v>
      </c>
      <c r="O26">
        <v>18193</v>
      </c>
      <c r="V26">
        <f>SUM(V16:V25)</f>
        <v>133217</v>
      </c>
    </row>
    <row r="27" spans="4:23" x14ac:dyDescent="0.25">
      <c r="E27">
        <v>561</v>
      </c>
      <c r="G27" t="s">
        <v>433</v>
      </c>
      <c r="K27">
        <v>238</v>
      </c>
      <c r="O27">
        <v>1560</v>
      </c>
    </row>
    <row r="28" spans="4:23" x14ac:dyDescent="0.25">
      <c r="E28">
        <v>561</v>
      </c>
      <c r="G28" t="s">
        <v>434</v>
      </c>
      <c r="O28">
        <v>992</v>
      </c>
    </row>
    <row r="29" spans="4:23" x14ac:dyDescent="0.25">
      <c r="E29">
        <v>561</v>
      </c>
      <c r="G29" t="s">
        <v>436</v>
      </c>
      <c r="O29">
        <v>1166</v>
      </c>
    </row>
    <row r="30" spans="4:23" x14ac:dyDescent="0.25">
      <c r="E30">
        <v>561</v>
      </c>
      <c r="G30" t="s">
        <v>350</v>
      </c>
      <c r="O30">
        <v>553</v>
      </c>
    </row>
    <row r="31" spans="4:23" x14ac:dyDescent="0.25">
      <c r="I31" t="s">
        <v>1013</v>
      </c>
      <c r="M31">
        <f>SUM(K26:K30)</f>
        <v>238</v>
      </c>
      <c r="Q31">
        <f>SUM(O26:O30)</f>
        <v>22464</v>
      </c>
    </row>
    <row r="32" spans="4:23" x14ac:dyDescent="0.25">
      <c r="M32" t="s">
        <v>84</v>
      </c>
      <c r="Q32" t="s">
        <v>84</v>
      </c>
    </row>
    <row r="33" spans="4:17" x14ac:dyDescent="0.25">
      <c r="D33">
        <v>566</v>
      </c>
      <c r="E33">
        <v>566</v>
      </c>
    </row>
    <row r="34" spans="4:17" x14ac:dyDescent="0.25">
      <c r="E34">
        <v>566</v>
      </c>
      <c r="G34" t="s">
        <v>430</v>
      </c>
      <c r="K34">
        <v>0</v>
      </c>
      <c r="O34">
        <v>0</v>
      </c>
    </row>
    <row r="35" spans="4:17" x14ac:dyDescent="0.25">
      <c r="E35">
        <v>566</v>
      </c>
      <c r="G35" t="s">
        <v>436</v>
      </c>
      <c r="K35">
        <v>0</v>
      </c>
      <c r="O35">
        <v>0</v>
      </c>
    </row>
    <row r="36" spans="4:17" x14ac:dyDescent="0.25">
      <c r="E36">
        <v>566</v>
      </c>
      <c r="G36" t="s">
        <v>438</v>
      </c>
      <c r="K36">
        <v>0</v>
      </c>
      <c r="O36">
        <v>0</v>
      </c>
    </row>
    <row r="37" spans="4:17" x14ac:dyDescent="0.25">
      <c r="I37" t="s">
        <v>1014</v>
      </c>
      <c r="M37">
        <f>SUM(K34:K36)</f>
        <v>0</v>
      </c>
      <c r="Q37">
        <f>SUM(O34:O36)</f>
        <v>0</v>
      </c>
    </row>
    <row r="38" spans="4:17" x14ac:dyDescent="0.25">
      <c r="M38" t="s">
        <v>84</v>
      </c>
      <c r="Q38" t="s">
        <v>84</v>
      </c>
    </row>
    <row r="39" spans="4:17" x14ac:dyDescent="0.25">
      <c r="D39">
        <v>568</v>
      </c>
      <c r="E39">
        <v>568</v>
      </c>
    </row>
    <row r="40" spans="4:17" x14ac:dyDescent="0.25">
      <c r="E40">
        <v>568</v>
      </c>
      <c r="G40" t="s">
        <v>430</v>
      </c>
      <c r="K40">
        <f>ROUND(4590.107,0)</f>
        <v>4590</v>
      </c>
      <c r="M40" t="s">
        <v>84</v>
      </c>
      <c r="O40">
        <f>5490+83</f>
        <v>5573</v>
      </c>
      <c r="Q40" t="s">
        <v>84</v>
      </c>
    </row>
    <row r="41" spans="4:17" x14ac:dyDescent="0.25">
      <c r="E41">
        <v>568</v>
      </c>
      <c r="G41" t="s">
        <v>433</v>
      </c>
      <c r="M41" t="s">
        <v>84</v>
      </c>
      <c r="O41">
        <v>47</v>
      </c>
      <c r="Q41" t="s">
        <v>84</v>
      </c>
    </row>
    <row r="42" spans="4:17" x14ac:dyDescent="0.25">
      <c r="E42">
        <v>568</v>
      </c>
      <c r="G42" t="s">
        <v>434</v>
      </c>
      <c r="M42" t="s">
        <v>84</v>
      </c>
      <c r="O42">
        <v>1211</v>
      </c>
      <c r="Q42" t="s">
        <v>84</v>
      </c>
    </row>
    <row r="43" spans="4:17" x14ac:dyDescent="0.25">
      <c r="E43">
        <v>568</v>
      </c>
      <c r="G43" t="s">
        <v>436</v>
      </c>
      <c r="O43">
        <v>171</v>
      </c>
    </row>
    <row r="44" spans="4:17" x14ac:dyDescent="0.25">
      <c r="E44">
        <v>568</v>
      </c>
      <c r="G44" t="s">
        <v>350</v>
      </c>
      <c r="O44">
        <v>28</v>
      </c>
    </row>
    <row r="45" spans="4:17" x14ac:dyDescent="0.25">
      <c r="E45">
        <v>568</v>
      </c>
      <c r="G45" t="s">
        <v>438</v>
      </c>
      <c r="K45">
        <v>0</v>
      </c>
      <c r="O45">
        <v>0</v>
      </c>
    </row>
    <row r="46" spans="4:17" x14ac:dyDescent="0.25">
      <c r="I46" t="s">
        <v>1015</v>
      </c>
      <c r="M46">
        <f>SUM(K40:K45)</f>
        <v>4590</v>
      </c>
      <c r="Q46">
        <f>SUM(O40:O45)</f>
        <v>7030</v>
      </c>
    </row>
    <row r="47" spans="4:17" x14ac:dyDescent="0.25">
      <c r="M47" t="s">
        <v>84</v>
      </c>
      <c r="Q47" t="s">
        <v>84</v>
      </c>
    </row>
    <row r="48" spans="4:17" x14ac:dyDescent="0.25">
      <c r="D48">
        <v>920</v>
      </c>
      <c r="E48">
        <v>920</v>
      </c>
      <c r="F48" t="s">
        <v>682</v>
      </c>
    </row>
    <row r="49" spans="2:19" x14ac:dyDescent="0.25">
      <c r="E49">
        <v>920</v>
      </c>
      <c r="G49" t="s">
        <v>430</v>
      </c>
      <c r="K49">
        <v>0</v>
      </c>
      <c r="O49">
        <v>0</v>
      </c>
    </row>
    <row r="50" spans="2:19" x14ac:dyDescent="0.25">
      <c r="I50" t="s">
        <v>1016</v>
      </c>
      <c r="M50">
        <f>SUM(K49)</f>
        <v>0</v>
      </c>
      <c r="Q50">
        <f>SUM(O49)</f>
        <v>0</v>
      </c>
    </row>
    <row r="52" spans="2:19" x14ac:dyDescent="0.25">
      <c r="D52">
        <v>921</v>
      </c>
      <c r="E52">
        <v>921</v>
      </c>
      <c r="F52" t="s">
        <v>683</v>
      </c>
    </row>
    <row r="53" spans="2:19" x14ac:dyDescent="0.25">
      <c r="E53">
        <v>921</v>
      </c>
      <c r="G53" t="s">
        <v>350</v>
      </c>
      <c r="K53">
        <v>0</v>
      </c>
      <c r="O53">
        <v>0</v>
      </c>
    </row>
    <row r="54" spans="2:19" x14ac:dyDescent="0.25">
      <c r="I54" t="s">
        <v>1017</v>
      </c>
      <c r="M54">
        <f>SUM(K53)</f>
        <v>0</v>
      </c>
      <c r="Q54">
        <f>SUM(O53)</f>
        <v>0</v>
      </c>
    </row>
    <row r="56" spans="2:19" x14ac:dyDescent="0.25">
      <c r="H56" t="s">
        <v>84</v>
      </c>
      <c r="S56" t="s">
        <v>582</v>
      </c>
    </row>
    <row r="57" spans="2:19" x14ac:dyDescent="0.25">
      <c r="H57" t="s">
        <v>1018</v>
      </c>
      <c r="M57">
        <f>SUM(M17:M54)</f>
        <v>4828</v>
      </c>
      <c r="Q57">
        <f>SUM(Q17:Q54)</f>
        <v>32750</v>
      </c>
      <c r="S57">
        <f>Q57-32750</f>
        <v>0</v>
      </c>
    </row>
    <row r="60" spans="2:19" x14ac:dyDescent="0.25">
      <c r="B60" t="s">
        <v>1019</v>
      </c>
    </row>
    <row r="61" spans="2:19" x14ac:dyDescent="0.25">
      <c r="B61" t="s">
        <v>84</v>
      </c>
      <c r="D61">
        <v>901</v>
      </c>
      <c r="E61">
        <v>901</v>
      </c>
    </row>
    <row r="62" spans="2:19" x14ac:dyDescent="0.25">
      <c r="E62">
        <v>901</v>
      </c>
      <c r="G62" t="s">
        <v>430</v>
      </c>
      <c r="N62" t="s">
        <v>84</v>
      </c>
      <c r="O62">
        <v>308</v>
      </c>
    </row>
    <row r="63" spans="2:19" x14ac:dyDescent="0.25">
      <c r="E63">
        <v>901</v>
      </c>
      <c r="G63" t="s">
        <v>434</v>
      </c>
      <c r="O63">
        <v>20</v>
      </c>
    </row>
    <row r="64" spans="2:19" x14ac:dyDescent="0.25">
      <c r="E64">
        <v>901</v>
      </c>
      <c r="G64" t="s">
        <v>436</v>
      </c>
      <c r="O64">
        <v>24</v>
      </c>
    </row>
    <row r="65" spans="4:17" x14ac:dyDescent="0.25">
      <c r="E65">
        <v>901</v>
      </c>
      <c r="G65" t="s">
        <v>350</v>
      </c>
      <c r="O65">
        <v>3</v>
      </c>
    </row>
    <row r="66" spans="4:17" x14ac:dyDescent="0.25">
      <c r="H66" t="s">
        <v>84</v>
      </c>
      <c r="I66" t="s">
        <v>1020</v>
      </c>
      <c r="M66">
        <f>ROUND(SUM(K62:K65),0)</f>
        <v>0</v>
      </c>
      <c r="Q66">
        <f>ROUND(SUM(O62:O65),0)</f>
        <v>355</v>
      </c>
    </row>
    <row r="67" spans="4:17" x14ac:dyDescent="0.25">
      <c r="M67" t="s">
        <v>84</v>
      </c>
      <c r="Q67" t="s">
        <v>84</v>
      </c>
    </row>
    <row r="68" spans="4:17" x14ac:dyDescent="0.25">
      <c r="D68">
        <v>902</v>
      </c>
      <c r="E68">
        <v>902</v>
      </c>
    </row>
    <row r="69" spans="4:17" x14ac:dyDescent="0.25">
      <c r="E69">
        <v>902</v>
      </c>
      <c r="G69" t="s">
        <v>430</v>
      </c>
      <c r="O69">
        <v>0</v>
      </c>
    </row>
    <row r="70" spans="4:17" x14ac:dyDescent="0.25">
      <c r="E70">
        <v>902</v>
      </c>
      <c r="G70" t="s">
        <v>433</v>
      </c>
      <c r="O70">
        <v>0</v>
      </c>
    </row>
    <row r="71" spans="4:17" x14ac:dyDescent="0.25">
      <c r="E71">
        <v>902</v>
      </c>
      <c r="G71" t="s">
        <v>436</v>
      </c>
      <c r="O71">
        <v>0</v>
      </c>
    </row>
    <row r="72" spans="4:17" x14ac:dyDescent="0.25">
      <c r="E72">
        <v>902</v>
      </c>
      <c r="G72" t="s">
        <v>350</v>
      </c>
      <c r="O72">
        <v>0</v>
      </c>
    </row>
    <row r="73" spans="4:17" x14ac:dyDescent="0.25">
      <c r="H73" t="s">
        <v>84</v>
      </c>
      <c r="I73" t="s">
        <v>1021</v>
      </c>
      <c r="M73">
        <f>ROUND(SUM(K69:K72),0)</f>
        <v>0</v>
      </c>
      <c r="Q73">
        <f>ROUND(SUM(O69:O72),0)</f>
        <v>0</v>
      </c>
    </row>
    <row r="74" spans="4:17" x14ac:dyDescent="0.25">
      <c r="M74" t="s">
        <v>84</v>
      </c>
      <c r="Q74" t="s">
        <v>84</v>
      </c>
    </row>
    <row r="75" spans="4:17" x14ac:dyDescent="0.25">
      <c r="D75">
        <v>903</v>
      </c>
      <c r="E75">
        <v>903</v>
      </c>
    </row>
    <row r="76" spans="4:17" x14ac:dyDescent="0.25">
      <c r="E76">
        <v>903</v>
      </c>
      <c r="G76" t="s">
        <v>430</v>
      </c>
      <c r="O76">
        <v>1845</v>
      </c>
    </row>
    <row r="77" spans="4:17" x14ac:dyDescent="0.25">
      <c r="E77">
        <v>903</v>
      </c>
      <c r="G77" t="s">
        <v>433</v>
      </c>
      <c r="O77">
        <v>0</v>
      </c>
    </row>
    <row r="78" spans="4:17" x14ac:dyDescent="0.25">
      <c r="E78">
        <v>903</v>
      </c>
      <c r="G78" t="s">
        <v>434</v>
      </c>
      <c r="O78">
        <v>250</v>
      </c>
    </row>
    <row r="79" spans="4:17" x14ac:dyDescent="0.25">
      <c r="E79">
        <v>903</v>
      </c>
      <c r="G79" t="s">
        <v>436</v>
      </c>
      <c r="O79">
        <v>41</v>
      </c>
    </row>
    <row r="80" spans="4:17" x14ac:dyDescent="0.25">
      <c r="E80">
        <v>903</v>
      </c>
      <c r="G80" t="s">
        <v>350</v>
      </c>
      <c r="O80">
        <v>12</v>
      </c>
    </row>
    <row r="81" spans="4:17" x14ac:dyDescent="0.25">
      <c r="H81" t="s">
        <v>84</v>
      </c>
      <c r="I81" t="s">
        <v>1022</v>
      </c>
      <c r="M81">
        <f>ROUND(SUM(K76:K80),0)</f>
        <v>0</v>
      </c>
      <c r="Q81">
        <f>ROUND(SUM(O76:O80),0)</f>
        <v>2148</v>
      </c>
    </row>
    <row r="82" spans="4:17" x14ac:dyDescent="0.25">
      <c r="M82" t="s">
        <v>84</v>
      </c>
      <c r="Q82" t="s">
        <v>84</v>
      </c>
    </row>
    <row r="83" spans="4:17" x14ac:dyDescent="0.25">
      <c r="D83">
        <v>905</v>
      </c>
      <c r="E83">
        <v>905</v>
      </c>
    </row>
    <row r="84" spans="4:17" x14ac:dyDescent="0.25">
      <c r="E84">
        <v>905</v>
      </c>
      <c r="G84" t="s">
        <v>430</v>
      </c>
      <c r="O84">
        <v>0</v>
      </c>
    </row>
    <row r="85" spans="4:17" x14ac:dyDescent="0.25">
      <c r="E85">
        <v>905</v>
      </c>
      <c r="G85" t="s">
        <v>433</v>
      </c>
      <c r="O85">
        <v>0</v>
      </c>
    </row>
    <row r="86" spans="4:17" x14ac:dyDescent="0.25">
      <c r="E86">
        <v>905</v>
      </c>
      <c r="G86" t="s">
        <v>434</v>
      </c>
      <c r="O86">
        <v>0</v>
      </c>
    </row>
    <row r="87" spans="4:17" x14ac:dyDescent="0.25">
      <c r="E87">
        <v>905</v>
      </c>
      <c r="G87" t="s">
        <v>436</v>
      </c>
      <c r="O87">
        <v>0</v>
      </c>
    </row>
    <row r="88" spans="4:17" x14ac:dyDescent="0.25">
      <c r="E88">
        <v>905</v>
      </c>
      <c r="G88" t="s">
        <v>350</v>
      </c>
      <c r="O88">
        <v>0</v>
      </c>
    </row>
    <row r="89" spans="4:17" x14ac:dyDescent="0.25">
      <c r="H89" t="s">
        <v>84</v>
      </c>
      <c r="I89" t="s">
        <v>1023</v>
      </c>
      <c r="M89">
        <f>ROUND(SUM(K84:K88),0)</f>
        <v>0</v>
      </c>
      <c r="Q89">
        <f>ROUND(SUM(O84:O88),0)</f>
        <v>0</v>
      </c>
    </row>
    <row r="90" spans="4:17" x14ac:dyDescent="0.25">
      <c r="M90" t="s">
        <v>84</v>
      </c>
      <c r="Q90" t="s">
        <v>84</v>
      </c>
    </row>
    <row r="91" spans="4:17" x14ac:dyDescent="0.25">
      <c r="D91">
        <v>907</v>
      </c>
      <c r="E91">
        <v>907</v>
      </c>
    </row>
    <row r="92" spans="4:17" x14ac:dyDescent="0.25">
      <c r="E92">
        <v>907</v>
      </c>
      <c r="G92" t="s">
        <v>430</v>
      </c>
      <c r="K92">
        <v>0</v>
      </c>
      <c r="O92">
        <v>0</v>
      </c>
    </row>
    <row r="93" spans="4:17" x14ac:dyDescent="0.25">
      <c r="H93" t="s">
        <v>84</v>
      </c>
      <c r="I93" t="s">
        <v>1024</v>
      </c>
      <c r="M93">
        <f>SUM(K92)</f>
        <v>0</v>
      </c>
      <c r="Q93">
        <f>SUM(O92)</f>
        <v>0</v>
      </c>
    </row>
    <row r="94" spans="4:17" x14ac:dyDescent="0.25">
      <c r="M94" t="s">
        <v>84</v>
      </c>
      <c r="Q94" t="s">
        <v>84</v>
      </c>
    </row>
    <row r="95" spans="4:17" x14ac:dyDescent="0.25">
      <c r="D95">
        <v>908</v>
      </c>
      <c r="E95">
        <v>908</v>
      </c>
    </row>
    <row r="96" spans="4:17" x14ac:dyDescent="0.25">
      <c r="E96">
        <v>908</v>
      </c>
      <c r="G96" t="s">
        <v>430</v>
      </c>
      <c r="O96">
        <v>1920</v>
      </c>
    </row>
    <row r="97" spans="1:19" x14ac:dyDescent="0.25">
      <c r="E97">
        <v>908</v>
      </c>
      <c r="G97" t="s">
        <v>433</v>
      </c>
      <c r="K97">
        <v>384</v>
      </c>
      <c r="O97">
        <v>104</v>
      </c>
    </row>
    <row r="98" spans="1:19" x14ac:dyDescent="0.25">
      <c r="E98">
        <v>908</v>
      </c>
      <c r="G98" t="s">
        <v>434</v>
      </c>
      <c r="O98">
        <v>200</v>
      </c>
    </row>
    <row r="99" spans="1:19" x14ac:dyDescent="0.25">
      <c r="E99">
        <v>908</v>
      </c>
      <c r="G99" t="s">
        <v>436</v>
      </c>
      <c r="O99">
        <v>317</v>
      </c>
    </row>
    <row r="100" spans="1:19" x14ac:dyDescent="0.25">
      <c r="E100">
        <v>908</v>
      </c>
      <c r="G100" t="s">
        <v>350</v>
      </c>
      <c r="O100">
        <v>57</v>
      </c>
    </row>
    <row r="101" spans="1:19" x14ac:dyDescent="0.25">
      <c r="H101" t="s">
        <v>84</v>
      </c>
      <c r="I101" t="s">
        <v>1025</v>
      </c>
      <c r="M101">
        <f>ROUND(SUM(K96:K100),0)</f>
        <v>384</v>
      </c>
      <c r="Q101">
        <f>ROUND(SUM(O96:O100),0)</f>
        <v>2598</v>
      </c>
    </row>
    <row r="103" spans="1:19" x14ac:dyDescent="0.25">
      <c r="D103">
        <v>921</v>
      </c>
      <c r="E103">
        <v>921</v>
      </c>
      <c r="F103" t="s">
        <v>683</v>
      </c>
    </row>
    <row r="104" spans="1:19" x14ac:dyDescent="0.25">
      <c r="E104">
        <v>921</v>
      </c>
    </row>
    <row r="105" spans="1:19" x14ac:dyDescent="0.25">
      <c r="E105">
        <v>921</v>
      </c>
      <c r="G105" t="s">
        <v>433</v>
      </c>
      <c r="O105">
        <v>59</v>
      </c>
    </row>
    <row r="106" spans="1:19" x14ac:dyDescent="0.25">
      <c r="E106">
        <v>921</v>
      </c>
      <c r="G106" t="s">
        <v>436</v>
      </c>
      <c r="O106">
        <v>76</v>
      </c>
    </row>
    <row r="107" spans="1:19" x14ac:dyDescent="0.25">
      <c r="E107">
        <v>921</v>
      </c>
      <c r="G107" t="s">
        <v>350</v>
      </c>
      <c r="O107">
        <v>8</v>
      </c>
    </row>
    <row r="108" spans="1:19" x14ac:dyDescent="0.25">
      <c r="H108" t="s">
        <v>84</v>
      </c>
      <c r="I108" t="s">
        <v>1025</v>
      </c>
      <c r="M108">
        <f>ROUND(SUM(K104:K107),0)</f>
        <v>0</v>
      </c>
      <c r="Q108">
        <f>ROUND(SUM(O104:O107),0)</f>
        <v>143</v>
      </c>
    </row>
    <row r="109" spans="1:19" x14ac:dyDescent="0.25">
      <c r="S109" t="s">
        <v>582</v>
      </c>
    </row>
    <row r="110" spans="1:19" x14ac:dyDescent="0.25">
      <c r="H110" t="s">
        <v>1026</v>
      </c>
      <c r="M110">
        <f>SUM(M61:M108)</f>
        <v>384</v>
      </c>
      <c r="Q110">
        <f>SUM(Q61:Q108)</f>
        <v>5244</v>
      </c>
      <c r="S110">
        <f>+Q110-5244</f>
        <v>0</v>
      </c>
    </row>
    <row r="112" spans="1:19" x14ac:dyDescent="0.25">
      <c r="A112" t="s">
        <v>84</v>
      </c>
    </row>
    <row r="113" spans="2:17" x14ac:dyDescent="0.25">
      <c r="B113" t="s">
        <v>456</v>
      </c>
    </row>
    <row r="114" spans="2:17" x14ac:dyDescent="0.25">
      <c r="D114">
        <v>901</v>
      </c>
      <c r="E114">
        <v>901</v>
      </c>
      <c r="F114" t="s">
        <v>272</v>
      </c>
    </row>
    <row r="115" spans="2:17" x14ac:dyDescent="0.25">
      <c r="E115">
        <v>901</v>
      </c>
      <c r="G115" t="s">
        <v>430</v>
      </c>
      <c r="N115" t="s">
        <v>84</v>
      </c>
      <c r="O115">
        <v>0</v>
      </c>
    </row>
    <row r="116" spans="2:17" x14ac:dyDescent="0.25">
      <c r="E116">
        <v>901</v>
      </c>
      <c r="G116" t="s">
        <v>434</v>
      </c>
      <c r="O116">
        <v>0</v>
      </c>
    </row>
    <row r="117" spans="2:17" x14ac:dyDescent="0.25">
      <c r="E117">
        <v>901</v>
      </c>
      <c r="G117" t="s">
        <v>436</v>
      </c>
      <c r="O117">
        <v>0</v>
      </c>
    </row>
    <row r="118" spans="2:17" x14ac:dyDescent="0.25">
      <c r="E118">
        <v>901</v>
      </c>
      <c r="G118" t="s">
        <v>350</v>
      </c>
      <c r="O118">
        <v>0</v>
      </c>
    </row>
    <row r="119" spans="2:17" x14ac:dyDescent="0.25">
      <c r="H119" t="s">
        <v>84</v>
      </c>
      <c r="I119" t="s">
        <v>1020</v>
      </c>
      <c r="M119">
        <f>ROUND(SUM(K115:K118),0)</f>
        <v>0</v>
      </c>
      <c r="Q119">
        <f>ROUND(SUM(O115:O118),0)</f>
        <v>0</v>
      </c>
    </row>
    <row r="121" spans="2:17" x14ac:dyDescent="0.25">
      <c r="D121">
        <v>903</v>
      </c>
      <c r="E121">
        <v>903</v>
      </c>
      <c r="F121" t="s">
        <v>674</v>
      </c>
    </row>
    <row r="122" spans="2:17" x14ac:dyDescent="0.25">
      <c r="E122">
        <v>903</v>
      </c>
      <c r="G122" t="s">
        <v>430</v>
      </c>
      <c r="O122">
        <v>2803</v>
      </c>
    </row>
    <row r="123" spans="2:17" x14ac:dyDescent="0.25">
      <c r="E123">
        <v>903</v>
      </c>
      <c r="G123" t="s">
        <v>433</v>
      </c>
      <c r="O123">
        <v>728</v>
      </c>
    </row>
    <row r="124" spans="2:17" x14ac:dyDescent="0.25">
      <c r="E124">
        <v>903</v>
      </c>
      <c r="G124" t="s">
        <v>434</v>
      </c>
      <c r="O124">
        <v>284</v>
      </c>
    </row>
    <row r="125" spans="2:17" x14ac:dyDescent="0.25">
      <c r="E125">
        <v>903</v>
      </c>
      <c r="G125" t="s">
        <v>436</v>
      </c>
      <c r="O125">
        <v>189</v>
      </c>
    </row>
    <row r="126" spans="2:17" x14ac:dyDescent="0.25">
      <c r="E126">
        <v>903</v>
      </c>
      <c r="G126" t="s">
        <v>350</v>
      </c>
      <c r="O126">
        <v>49</v>
      </c>
    </row>
    <row r="127" spans="2:17" x14ac:dyDescent="0.25">
      <c r="H127" t="s">
        <v>84</v>
      </c>
      <c r="I127" t="s">
        <v>1022</v>
      </c>
      <c r="M127">
        <f>ROUND(SUM(K122:K126),0)</f>
        <v>0</v>
      </c>
      <c r="Q127">
        <f>ROUND(SUM(O122:O126),0)</f>
        <v>4053</v>
      </c>
    </row>
    <row r="129" spans="2:17" x14ac:dyDescent="0.25">
      <c r="D129">
        <v>905</v>
      </c>
      <c r="E129">
        <v>905</v>
      </c>
      <c r="F129" t="s">
        <v>1027</v>
      </c>
    </row>
    <row r="130" spans="2:17" x14ac:dyDescent="0.25">
      <c r="E130">
        <v>905</v>
      </c>
      <c r="G130" t="s">
        <v>430</v>
      </c>
      <c r="O130">
        <v>716</v>
      </c>
    </row>
    <row r="131" spans="2:17" x14ac:dyDescent="0.25">
      <c r="E131">
        <v>905</v>
      </c>
      <c r="G131" t="s">
        <v>433</v>
      </c>
      <c r="O131">
        <v>335</v>
      </c>
    </row>
    <row r="132" spans="2:17" x14ac:dyDescent="0.25">
      <c r="E132">
        <v>905</v>
      </c>
      <c r="G132" t="s">
        <v>434</v>
      </c>
      <c r="O132">
        <v>10</v>
      </c>
    </row>
    <row r="133" spans="2:17" x14ac:dyDescent="0.25">
      <c r="E133">
        <v>905</v>
      </c>
      <c r="G133" t="s">
        <v>436</v>
      </c>
      <c r="O133">
        <v>46</v>
      </c>
    </row>
    <row r="134" spans="2:17" x14ac:dyDescent="0.25">
      <c r="E134">
        <v>905</v>
      </c>
      <c r="G134" t="s">
        <v>350</v>
      </c>
      <c r="O134">
        <v>15</v>
      </c>
    </row>
    <row r="135" spans="2:17" x14ac:dyDescent="0.25">
      <c r="H135" t="s">
        <v>84</v>
      </c>
      <c r="I135" t="s">
        <v>1023</v>
      </c>
      <c r="M135">
        <f>SUM(K130:L134)</f>
        <v>0</v>
      </c>
      <c r="Q135">
        <f>SUM(O130:P134)</f>
        <v>1122</v>
      </c>
    </row>
    <row r="137" spans="2:17" x14ac:dyDescent="0.25">
      <c r="B137" t="s">
        <v>84</v>
      </c>
      <c r="D137">
        <v>920</v>
      </c>
      <c r="E137">
        <v>920</v>
      </c>
    </row>
    <row r="138" spans="2:17" x14ac:dyDescent="0.25">
      <c r="E138">
        <v>920</v>
      </c>
      <c r="G138" t="s">
        <v>430</v>
      </c>
      <c r="O138">
        <v>1456</v>
      </c>
    </row>
    <row r="139" spans="2:17" x14ac:dyDescent="0.25">
      <c r="H139" t="s">
        <v>1016</v>
      </c>
      <c r="M139">
        <f>SUM(K138)</f>
        <v>0</v>
      </c>
      <c r="Q139">
        <f>SUM(O138)</f>
        <v>1456</v>
      </c>
    </row>
    <row r="141" spans="2:17" x14ac:dyDescent="0.25">
      <c r="D141">
        <v>921</v>
      </c>
      <c r="E141">
        <v>921</v>
      </c>
    </row>
    <row r="142" spans="2:17" x14ac:dyDescent="0.25">
      <c r="E142">
        <v>921</v>
      </c>
      <c r="G142" t="s">
        <v>436</v>
      </c>
      <c r="O142">
        <v>109</v>
      </c>
    </row>
    <row r="143" spans="2:17" x14ac:dyDescent="0.25">
      <c r="E143">
        <v>921</v>
      </c>
      <c r="G143" t="s">
        <v>350</v>
      </c>
      <c r="O143">
        <v>170</v>
      </c>
    </row>
    <row r="144" spans="2:17" x14ac:dyDescent="0.25">
      <c r="E144">
        <v>921</v>
      </c>
      <c r="G144" t="s">
        <v>438</v>
      </c>
      <c r="K144">
        <v>0</v>
      </c>
      <c r="O144">
        <v>0</v>
      </c>
    </row>
    <row r="145" spans="4:17" x14ac:dyDescent="0.25">
      <c r="H145" t="s">
        <v>84</v>
      </c>
      <c r="I145" t="s">
        <v>1017</v>
      </c>
      <c r="M145">
        <f>SUM(K142:K144)</f>
        <v>0</v>
      </c>
      <c r="Q145">
        <f>SUM(O142:O144)</f>
        <v>279</v>
      </c>
    </row>
    <row r="146" spans="4:17" x14ac:dyDescent="0.25">
      <c r="M146" t="s">
        <v>84</v>
      </c>
      <c r="Q146" t="s">
        <v>84</v>
      </c>
    </row>
    <row r="147" spans="4:17" x14ac:dyDescent="0.25">
      <c r="D147">
        <v>923</v>
      </c>
      <c r="E147">
        <v>923</v>
      </c>
    </row>
    <row r="148" spans="4:17" x14ac:dyDescent="0.25">
      <c r="E148">
        <v>923</v>
      </c>
      <c r="G148" t="s">
        <v>433</v>
      </c>
      <c r="O148">
        <v>15</v>
      </c>
    </row>
    <row r="149" spans="4:17" x14ac:dyDescent="0.25">
      <c r="E149">
        <v>923</v>
      </c>
      <c r="G149" t="s">
        <v>434</v>
      </c>
      <c r="O149">
        <v>275</v>
      </c>
    </row>
    <row r="150" spans="4:17" x14ac:dyDescent="0.25">
      <c r="E150">
        <v>923</v>
      </c>
      <c r="G150" t="s">
        <v>1007</v>
      </c>
      <c r="O150">
        <v>1200</v>
      </c>
    </row>
    <row r="151" spans="4:17" x14ac:dyDescent="0.25">
      <c r="H151" t="s">
        <v>84</v>
      </c>
      <c r="I151" t="s">
        <v>1028</v>
      </c>
      <c r="M151">
        <f>SUM(K149:K150)</f>
        <v>0</v>
      </c>
      <c r="Q151">
        <f>SUM(O148:O150)</f>
        <v>1490</v>
      </c>
    </row>
    <row r="153" spans="4:17" x14ac:dyDescent="0.25">
      <c r="D153">
        <v>924</v>
      </c>
      <c r="E153">
        <v>924</v>
      </c>
    </row>
    <row r="154" spans="4:17" x14ac:dyDescent="0.25">
      <c r="E154">
        <v>924</v>
      </c>
      <c r="G154" t="s">
        <v>432</v>
      </c>
      <c r="O154">
        <v>899</v>
      </c>
    </row>
    <row r="155" spans="4:17" x14ac:dyDescent="0.25">
      <c r="H155" t="s">
        <v>84</v>
      </c>
      <c r="I155" t="s">
        <v>1029</v>
      </c>
      <c r="M155">
        <f>SUM(K154)</f>
        <v>0</v>
      </c>
      <c r="Q155">
        <f>SUM(O154)</f>
        <v>899</v>
      </c>
    </row>
    <row r="157" spans="4:17" x14ac:dyDescent="0.25">
      <c r="D157">
        <v>925</v>
      </c>
      <c r="E157">
        <v>925</v>
      </c>
    </row>
    <row r="158" spans="4:17" x14ac:dyDescent="0.25">
      <c r="E158">
        <v>925</v>
      </c>
      <c r="G158" t="s">
        <v>432</v>
      </c>
      <c r="O158">
        <v>0</v>
      </c>
    </row>
    <row r="159" spans="4:17" x14ac:dyDescent="0.25">
      <c r="H159" t="s">
        <v>84</v>
      </c>
      <c r="I159" t="s">
        <v>1030</v>
      </c>
      <c r="M159">
        <f>SUM(K158)</f>
        <v>0</v>
      </c>
      <c r="Q159">
        <f>SUM(O158)</f>
        <v>0</v>
      </c>
    </row>
    <row r="161" spans="2:19" x14ac:dyDescent="0.25">
      <c r="D161">
        <v>935</v>
      </c>
      <c r="E161">
        <v>935</v>
      </c>
      <c r="F161" t="s">
        <v>690</v>
      </c>
    </row>
    <row r="162" spans="2:19" x14ac:dyDescent="0.25">
      <c r="E162">
        <v>935</v>
      </c>
      <c r="G162" t="s">
        <v>350</v>
      </c>
      <c r="K162">
        <v>0</v>
      </c>
      <c r="O162">
        <v>0</v>
      </c>
    </row>
    <row r="163" spans="2:19" x14ac:dyDescent="0.25">
      <c r="I163" t="s">
        <v>1031</v>
      </c>
      <c r="M163">
        <f>SUM(K162)</f>
        <v>0</v>
      </c>
      <c r="Q163">
        <f>SUM(O162)</f>
        <v>0</v>
      </c>
    </row>
    <row r="167" spans="2:19" x14ac:dyDescent="0.25">
      <c r="H167" t="s">
        <v>1032</v>
      </c>
      <c r="M167">
        <f>SUM(M137:M165)</f>
        <v>0</v>
      </c>
      <c r="Q167">
        <f>SUM(Q114:Q163)</f>
        <v>9299</v>
      </c>
      <c r="S167" t="s">
        <v>666</v>
      </c>
    </row>
    <row r="170" spans="2:19" x14ac:dyDescent="0.25">
      <c r="B170" t="s">
        <v>1033</v>
      </c>
    </row>
    <row r="171" spans="2:19" x14ac:dyDescent="0.25">
      <c r="B171" t="s">
        <v>84</v>
      </c>
      <c r="D171">
        <v>920</v>
      </c>
      <c r="E171">
        <v>920</v>
      </c>
      <c r="F171" t="s">
        <v>682</v>
      </c>
    </row>
    <row r="172" spans="2:19" x14ac:dyDescent="0.25">
      <c r="E172">
        <v>920</v>
      </c>
      <c r="G172" t="s">
        <v>430</v>
      </c>
      <c r="O172">
        <v>3460</v>
      </c>
    </row>
    <row r="173" spans="2:19" x14ac:dyDescent="0.25">
      <c r="I173" t="s">
        <v>1016</v>
      </c>
      <c r="M173">
        <f>SUM(K172)</f>
        <v>0</v>
      </c>
      <c r="Q173">
        <f>SUM(O172)</f>
        <v>3460</v>
      </c>
    </row>
    <row r="175" spans="2:19" x14ac:dyDescent="0.25">
      <c r="D175">
        <v>921</v>
      </c>
      <c r="E175">
        <v>921</v>
      </c>
      <c r="F175" t="s">
        <v>683</v>
      </c>
    </row>
    <row r="176" spans="2:19" x14ac:dyDescent="0.25">
      <c r="E176">
        <v>921</v>
      </c>
      <c r="G176" t="s">
        <v>430</v>
      </c>
      <c r="K176">
        <f>ROUND(0,0)</f>
        <v>0</v>
      </c>
      <c r="O176">
        <f>ROUND(0,0)</f>
        <v>0</v>
      </c>
    </row>
    <row r="177" spans="2:17" x14ac:dyDescent="0.25">
      <c r="E177">
        <v>921</v>
      </c>
      <c r="G177" t="s">
        <v>436</v>
      </c>
      <c r="O177">
        <v>179</v>
      </c>
    </row>
    <row r="178" spans="2:17" x14ac:dyDescent="0.25">
      <c r="E178">
        <v>921</v>
      </c>
      <c r="G178" t="s">
        <v>350</v>
      </c>
      <c r="O178">
        <v>85</v>
      </c>
    </row>
    <row r="179" spans="2:17" x14ac:dyDescent="0.25">
      <c r="E179">
        <v>921</v>
      </c>
      <c r="G179" t="s">
        <v>438</v>
      </c>
      <c r="K179">
        <v>0</v>
      </c>
      <c r="O179">
        <v>0</v>
      </c>
    </row>
    <row r="180" spans="2:17" x14ac:dyDescent="0.25">
      <c r="I180" t="s">
        <v>1017</v>
      </c>
      <c r="M180">
        <f>SUM(K176:K179)</f>
        <v>0</v>
      </c>
      <c r="Q180">
        <f>SUM(O176:O179)</f>
        <v>264</v>
      </c>
    </row>
    <row r="182" spans="2:17" x14ac:dyDescent="0.25">
      <c r="D182">
        <v>923</v>
      </c>
      <c r="E182">
        <v>923</v>
      </c>
      <c r="F182" t="s">
        <v>684</v>
      </c>
    </row>
    <row r="183" spans="2:17" x14ac:dyDescent="0.25">
      <c r="E183">
        <v>923</v>
      </c>
      <c r="G183" t="s">
        <v>433</v>
      </c>
      <c r="K183">
        <v>0</v>
      </c>
      <c r="O183">
        <v>35</v>
      </c>
    </row>
    <row r="184" spans="2:17" x14ac:dyDescent="0.25">
      <c r="E184">
        <v>923</v>
      </c>
      <c r="G184" t="s">
        <v>434</v>
      </c>
      <c r="O184">
        <v>841</v>
      </c>
    </row>
    <row r="185" spans="2:17" x14ac:dyDescent="0.25">
      <c r="I185" t="s">
        <v>1028</v>
      </c>
      <c r="M185">
        <f>SUM(K183:K184)</f>
        <v>0</v>
      </c>
      <c r="Q185">
        <f>SUM(O183:O184)</f>
        <v>876</v>
      </c>
    </row>
    <row r="187" spans="2:17" x14ac:dyDescent="0.25">
      <c r="D187">
        <v>925</v>
      </c>
      <c r="E187">
        <v>925</v>
      </c>
      <c r="F187" t="s">
        <v>686</v>
      </c>
    </row>
    <row r="188" spans="2:17" x14ac:dyDescent="0.25">
      <c r="E188">
        <v>925</v>
      </c>
      <c r="G188" t="s">
        <v>432</v>
      </c>
      <c r="K188">
        <v>0</v>
      </c>
      <c r="O188">
        <v>0</v>
      </c>
    </row>
    <row r="189" spans="2:17" x14ac:dyDescent="0.25">
      <c r="I189" t="s">
        <v>1030</v>
      </c>
      <c r="M189">
        <f>SUM(K188)</f>
        <v>0</v>
      </c>
      <c r="Q189">
        <f>SUM(O188)</f>
        <v>0</v>
      </c>
    </row>
    <row r="191" spans="2:17" x14ac:dyDescent="0.25">
      <c r="B191" t="s">
        <v>84</v>
      </c>
      <c r="D191">
        <v>930</v>
      </c>
      <c r="E191">
        <v>930</v>
      </c>
    </row>
    <row r="192" spans="2:17" x14ac:dyDescent="0.25">
      <c r="E192">
        <v>930</v>
      </c>
      <c r="G192" t="s">
        <v>350</v>
      </c>
      <c r="O192">
        <v>29</v>
      </c>
    </row>
    <row r="193" spans="2:19" x14ac:dyDescent="0.25">
      <c r="H193" t="s">
        <v>84</v>
      </c>
      <c r="I193" t="s">
        <v>1034</v>
      </c>
      <c r="M193">
        <f>SUM(K192)</f>
        <v>0</v>
      </c>
      <c r="Q193">
        <f>SUM(O192)</f>
        <v>29</v>
      </c>
    </row>
    <row r="195" spans="2:19" x14ac:dyDescent="0.25">
      <c r="D195">
        <v>931</v>
      </c>
      <c r="E195">
        <v>931</v>
      </c>
    </row>
    <row r="196" spans="2:19" x14ac:dyDescent="0.25">
      <c r="E196">
        <v>931</v>
      </c>
      <c r="G196" t="s">
        <v>1003</v>
      </c>
      <c r="O196">
        <v>2015</v>
      </c>
    </row>
    <row r="197" spans="2:19" x14ac:dyDescent="0.25">
      <c r="H197" t="s">
        <v>84</v>
      </c>
      <c r="I197" t="s">
        <v>1035</v>
      </c>
      <c r="M197">
        <f>SUM(K196)</f>
        <v>0</v>
      </c>
      <c r="Q197">
        <f>SUM(O196)</f>
        <v>2015</v>
      </c>
    </row>
    <row r="199" spans="2:19" x14ac:dyDescent="0.25">
      <c r="D199">
        <v>935</v>
      </c>
      <c r="E199">
        <v>935</v>
      </c>
    </row>
    <row r="200" spans="2:19" x14ac:dyDescent="0.25">
      <c r="E200">
        <v>935</v>
      </c>
      <c r="G200" t="s">
        <v>1003</v>
      </c>
      <c r="O200">
        <v>2325</v>
      </c>
    </row>
    <row r="201" spans="2:19" x14ac:dyDescent="0.25">
      <c r="H201" t="s">
        <v>84</v>
      </c>
      <c r="I201" t="s">
        <v>1031</v>
      </c>
      <c r="M201">
        <f>SUM(K200)</f>
        <v>0</v>
      </c>
      <c r="Q201">
        <f>SUM(O200)</f>
        <v>2325</v>
      </c>
    </row>
    <row r="205" spans="2:19" x14ac:dyDescent="0.25">
      <c r="H205" t="s">
        <v>1036</v>
      </c>
      <c r="M205">
        <f>SUM(M171:M202)</f>
        <v>0</v>
      </c>
      <c r="Q205">
        <f>SUM(Q171:Q202)</f>
        <v>8969</v>
      </c>
      <c r="S205" t="s">
        <v>666</v>
      </c>
    </row>
    <row r="208" spans="2:19" x14ac:dyDescent="0.25">
      <c r="B208" t="s">
        <v>1037</v>
      </c>
    </row>
    <row r="209" spans="2:17" x14ac:dyDescent="0.25">
      <c r="B209" t="s">
        <v>84</v>
      </c>
      <c r="D209">
        <v>561</v>
      </c>
      <c r="E209">
        <v>561</v>
      </c>
      <c r="F209" t="s">
        <v>663</v>
      </c>
    </row>
    <row r="210" spans="2:17" x14ac:dyDescent="0.25">
      <c r="E210">
        <v>561</v>
      </c>
      <c r="G210" t="s">
        <v>1003</v>
      </c>
    </row>
    <row r="211" spans="2:17" x14ac:dyDescent="0.25">
      <c r="E211">
        <v>561</v>
      </c>
      <c r="G211" t="s">
        <v>433</v>
      </c>
      <c r="O211">
        <v>29681</v>
      </c>
    </row>
    <row r="212" spans="2:17" x14ac:dyDescent="0.25">
      <c r="I212" t="s">
        <v>1014</v>
      </c>
      <c r="M212">
        <f>SUM(K210:K211)</f>
        <v>0</v>
      </c>
      <c r="Q212">
        <f>SUM(O210:O211)</f>
        <v>29681</v>
      </c>
    </row>
    <row r="215" spans="2:17" x14ac:dyDescent="0.25">
      <c r="D215">
        <v>568</v>
      </c>
      <c r="E215">
        <v>568</v>
      </c>
      <c r="F215" t="s">
        <v>663</v>
      </c>
    </row>
    <row r="216" spans="2:17" x14ac:dyDescent="0.25">
      <c r="E216">
        <v>568</v>
      </c>
      <c r="G216" t="s">
        <v>430</v>
      </c>
      <c r="O216">
        <f>2619+30</f>
        <v>2649</v>
      </c>
    </row>
    <row r="217" spans="2:17" x14ac:dyDescent="0.25">
      <c r="E217">
        <v>568</v>
      </c>
      <c r="G217" t="s">
        <v>1003</v>
      </c>
      <c r="O217">
        <v>0</v>
      </c>
    </row>
    <row r="218" spans="2:17" x14ac:dyDescent="0.25">
      <c r="E218">
        <v>568</v>
      </c>
      <c r="G218" t="s">
        <v>433</v>
      </c>
      <c r="O218">
        <v>1710</v>
      </c>
    </row>
    <row r="219" spans="2:17" x14ac:dyDescent="0.25">
      <c r="E219">
        <v>568</v>
      </c>
      <c r="G219" t="s">
        <v>434</v>
      </c>
      <c r="O219">
        <v>262</v>
      </c>
    </row>
    <row r="220" spans="2:17" x14ac:dyDescent="0.25">
      <c r="E220">
        <v>568</v>
      </c>
      <c r="G220" t="s">
        <v>436</v>
      </c>
      <c r="O220">
        <v>316</v>
      </c>
    </row>
    <row r="221" spans="2:17" x14ac:dyDescent="0.25">
      <c r="E221">
        <v>568</v>
      </c>
      <c r="G221" t="s">
        <v>350</v>
      </c>
      <c r="O221">
        <v>32</v>
      </c>
    </row>
    <row r="222" spans="2:17" x14ac:dyDescent="0.25">
      <c r="E222">
        <v>568</v>
      </c>
      <c r="G222" t="s">
        <v>438</v>
      </c>
      <c r="O222">
        <v>0</v>
      </c>
    </row>
    <row r="223" spans="2:17" x14ac:dyDescent="0.25">
      <c r="I223" t="s">
        <v>1014</v>
      </c>
      <c r="M223">
        <f>SUM(K217:K218)</f>
        <v>0</v>
      </c>
      <c r="Q223">
        <f>SUM(O216:O222)</f>
        <v>4969</v>
      </c>
    </row>
    <row r="226" spans="4:17" x14ac:dyDescent="0.25">
      <c r="D226">
        <v>902</v>
      </c>
      <c r="E226">
        <v>902</v>
      </c>
      <c r="F226" t="s">
        <v>1038</v>
      </c>
    </row>
    <row r="227" spans="4:17" x14ac:dyDescent="0.25">
      <c r="E227">
        <v>902</v>
      </c>
      <c r="G227" t="s">
        <v>430</v>
      </c>
      <c r="O227">
        <v>1486</v>
      </c>
    </row>
    <row r="228" spans="4:17" x14ac:dyDescent="0.25">
      <c r="E228">
        <v>902</v>
      </c>
      <c r="G228" t="s">
        <v>433</v>
      </c>
      <c r="O228">
        <v>240</v>
      </c>
    </row>
    <row r="229" spans="4:17" x14ac:dyDescent="0.25">
      <c r="E229">
        <v>902</v>
      </c>
      <c r="G229" t="s">
        <v>434</v>
      </c>
      <c r="O229">
        <v>100</v>
      </c>
    </row>
    <row r="230" spans="4:17" x14ac:dyDescent="0.25">
      <c r="E230">
        <v>902</v>
      </c>
      <c r="G230" t="s">
        <v>436</v>
      </c>
      <c r="O230">
        <v>178</v>
      </c>
    </row>
    <row r="231" spans="4:17" x14ac:dyDescent="0.25">
      <c r="E231">
        <v>902</v>
      </c>
      <c r="G231" t="s">
        <v>350</v>
      </c>
      <c r="O231">
        <v>29</v>
      </c>
    </row>
    <row r="232" spans="4:17" x14ac:dyDescent="0.25">
      <c r="I232" t="s">
        <v>1021</v>
      </c>
      <c r="M232">
        <v>0</v>
      </c>
      <c r="Q232">
        <f>SUM(O227:O231)</f>
        <v>2033</v>
      </c>
    </row>
    <row r="234" spans="4:17" x14ac:dyDescent="0.25">
      <c r="D234">
        <v>908</v>
      </c>
      <c r="E234">
        <v>908</v>
      </c>
      <c r="F234" t="s">
        <v>678</v>
      </c>
    </row>
    <row r="235" spans="4:17" x14ac:dyDescent="0.25">
      <c r="E235">
        <v>908</v>
      </c>
      <c r="G235" t="s">
        <v>433</v>
      </c>
      <c r="K235">
        <v>0</v>
      </c>
      <c r="O235">
        <v>0</v>
      </c>
    </row>
    <row r="236" spans="4:17" x14ac:dyDescent="0.25">
      <c r="I236" t="s">
        <v>1025</v>
      </c>
      <c r="M236">
        <f>SUM(K235)</f>
        <v>0</v>
      </c>
      <c r="Q236">
        <f>SUM(O235)</f>
        <v>0</v>
      </c>
    </row>
    <row r="238" spans="4:17" x14ac:dyDescent="0.25">
      <c r="D238">
        <v>920</v>
      </c>
      <c r="E238">
        <v>920</v>
      </c>
      <c r="F238" t="s">
        <v>682</v>
      </c>
    </row>
    <row r="239" spans="4:17" x14ac:dyDescent="0.25">
      <c r="E239">
        <v>920</v>
      </c>
      <c r="G239" t="s">
        <v>430</v>
      </c>
      <c r="O239">
        <f>7675-325+240</f>
        <v>7590</v>
      </c>
    </row>
    <row r="240" spans="4:17" x14ac:dyDescent="0.25">
      <c r="I240" t="s">
        <v>1016</v>
      </c>
      <c r="M240">
        <f>SUM(K239)</f>
        <v>0</v>
      </c>
      <c r="Q240">
        <f>SUM(O239)</f>
        <v>7590</v>
      </c>
    </row>
    <row r="242" spans="4:17" x14ac:dyDescent="0.25">
      <c r="D242">
        <v>921</v>
      </c>
      <c r="E242">
        <v>921</v>
      </c>
      <c r="F242" t="s">
        <v>683</v>
      </c>
    </row>
    <row r="243" spans="4:17" x14ac:dyDescent="0.25">
      <c r="E243">
        <v>921</v>
      </c>
      <c r="G243" t="s">
        <v>433</v>
      </c>
      <c r="O243">
        <v>1768</v>
      </c>
    </row>
    <row r="244" spans="4:17" x14ac:dyDescent="0.25">
      <c r="E244">
        <v>921</v>
      </c>
      <c r="G244" t="s">
        <v>436</v>
      </c>
      <c r="O244">
        <v>484</v>
      </c>
    </row>
    <row r="245" spans="4:17" x14ac:dyDescent="0.25">
      <c r="E245">
        <v>921</v>
      </c>
      <c r="G245" t="s">
        <v>350</v>
      </c>
      <c r="O245">
        <v>449</v>
      </c>
    </row>
    <row r="246" spans="4:17" x14ac:dyDescent="0.25">
      <c r="E246">
        <v>921</v>
      </c>
      <c r="G246" t="s">
        <v>438</v>
      </c>
      <c r="K246">
        <v>0</v>
      </c>
      <c r="O246">
        <v>0</v>
      </c>
    </row>
    <row r="247" spans="4:17" x14ac:dyDescent="0.25">
      <c r="I247" t="s">
        <v>1017</v>
      </c>
      <c r="M247">
        <f>SUM(K243:K246)</f>
        <v>0</v>
      </c>
      <c r="Q247">
        <f>SUM(O243:O246)</f>
        <v>2701</v>
      </c>
    </row>
    <row r="249" spans="4:17" x14ac:dyDescent="0.25">
      <c r="D249">
        <v>923</v>
      </c>
      <c r="E249">
        <v>923</v>
      </c>
      <c r="F249" t="s">
        <v>684</v>
      </c>
    </row>
    <row r="250" spans="4:17" x14ac:dyDescent="0.25">
      <c r="E250">
        <v>923</v>
      </c>
      <c r="G250" t="s">
        <v>433</v>
      </c>
      <c r="O250">
        <v>324</v>
      </c>
    </row>
    <row r="251" spans="4:17" x14ac:dyDescent="0.25">
      <c r="E251">
        <v>923</v>
      </c>
      <c r="G251" t="s">
        <v>434</v>
      </c>
      <c r="O251">
        <v>842</v>
      </c>
    </row>
    <row r="252" spans="4:17" x14ac:dyDescent="0.25">
      <c r="E252">
        <v>923</v>
      </c>
      <c r="G252" t="s">
        <v>350</v>
      </c>
      <c r="K252">
        <v>0</v>
      </c>
      <c r="O252">
        <v>0</v>
      </c>
    </row>
    <row r="253" spans="4:17" x14ac:dyDescent="0.25">
      <c r="I253" t="s">
        <v>1028</v>
      </c>
      <c r="M253">
        <f>SUM(K250:K252)</f>
        <v>0</v>
      </c>
      <c r="Q253">
        <f>SUM(O250:O252)</f>
        <v>1166</v>
      </c>
    </row>
    <row r="255" spans="4:17" x14ac:dyDescent="0.25">
      <c r="D255">
        <v>931</v>
      </c>
      <c r="E255">
        <v>931</v>
      </c>
      <c r="F255" t="s">
        <v>336</v>
      </c>
    </row>
    <row r="256" spans="4:17" x14ac:dyDescent="0.25">
      <c r="E256">
        <v>931</v>
      </c>
      <c r="G256" t="s">
        <v>1003</v>
      </c>
      <c r="O256">
        <v>6606</v>
      </c>
    </row>
    <row r="257" spans="2:19" x14ac:dyDescent="0.25">
      <c r="E257">
        <v>931</v>
      </c>
      <c r="G257" t="s">
        <v>433</v>
      </c>
      <c r="O257">
        <v>6000</v>
      </c>
    </row>
    <row r="258" spans="2:19" x14ac:dyDescent="0.25">
      <c r="M258">
        <f>SUM(K256:K257)</f>
        <v>0</v>
      </c>
      <c r="Q258">
        <f>SUM(O256:O257)</f>
        <v>12606</v>
      </c>
    </row>
    <row r="260" spans="2:19" x14ac:dyDescent="0.25">
      <c r="D260">
        <v>935</v>
      </c>
      <c r="E260">
        <v>935</v>
      </c>
      <c r="F260" t="s">
        <v>690</v>
      </c>
      <c r="K260" t="s">
        <v>84</v>
      </c>
      <c r="O260" t="s">
        <v>84</v>
      </c>
    </row>
    <row r="261" spans="2:19" x14ac:dyDescent="0.25">
      <c r="E261">
        <v>935</v>
      </c>
      <c r="G261" t="s">
        <v>430</v>
      </c>
      <c r="K261">
        <v>0</v>
      </c>
      <c r="O261">
        <v>0</v>
      </c>
    </row>
    <row r="262" spans="2:19" x14ac:dyDescent="0.25">
      <c r="E262">
        <v>935</v>
      </c>
      <c r="G262" t="s">
        <v>433</v>
      </c>
      <c r="O262">
        <v>3847</v>
      </c>
    </row>
    <row r="263" spans="2:19" x14ac:dyDescent="0.25">
      <c r="I263" t="s">
        <v>1031</v>
      </c>
      <c r="M263">
        <f>SUM(K261:K262)</f>
        <v>0</v>
      </c>
      <c r="Q263">
        <f>SUM(O261:O262)</f>
        <v>3847</v>
      </c>
    </row>
    <row r="267" spans="2:19" x14ac:dyDescent="0.25">
      <c r="H267" t="s">
        <v>1039</v>
      </c>
      <c r="M267">
        <f>SUM(M209:M265)</f>
        <v>0</v>
      </c>
      <c r="Q267">
        <f>SUM(Q209:Q265)</f>
        <v>64593</v>
      </c>
      <c r="S267" t="s">
        <v>666</v>
      </c>
    </row>
    <row r="270" spans="2:19" x14ac:dyDescent="0.25">
      <c r="B270" t="s">
        <v>1040</v>
      </c>
    </row>
    <row r="271" spans="2:19" x14ac:dyDescent="0.25">
      <c r="D271">
        <v>909</v>
      </c>
      <c r="E271">
        <v>909</v>
      </c>
      <c r="F271" t="s">
        <v>679</v>
      </c>
    </row>
    <row r="272" spans="2:19" x14ac:dyDescent="0.25">
      <c r="E272">
        <v>909</v>
      </c>
      <c r="G272" t="s">
        <v>350</v>
      </c>
      <c r="K272">
        <v>0</v>
      </c>
      <c r="O272">
        <v>0</v>
      </c>
    </row>
    <row r="273" spans="2:17" x14ac:dyDescent="0.25">
      <c r="I273" t="s">
        <v>1041</v>
      </c>
      <c r="M273">
        <f>SUM(K272)</f>
        <v>0</v>
      </c>
      <c r="Q273">
        <f>SUM(O272)</f>
        <v>0</v>
      </c>
    </row>
    <row r="275" spans="2:17" x14ac:dyDescent="0.25">
      <c r="B275" t="s">
        <v>84</v>
      </c>
      <c r="D275">
        <v>920</v>
      </c>
      <c r="E275">
        <v>920</v>
      </c>
      <c r="F275" t="s">
        <v>682</v>
      </c>
    </row>
    <row r="276" spans="2:17" x14ac:dyDescent="0.25">
      <c r="E276">
        <v>920</v>
      </c>
      <c r="G276" t="s">
        <v>430</v>
      </c>
      <c r="K276">
        <f>ROUND(2997339*0.001,0)</f>
        <v>2997</v>
      </c>
      <c r="O276">
        <f>4317+256</f>
        <v>4573</v>
      </c>
    </row>
    <row r="277" spans="2:17" x14ac:dyDescent="0.25">
      <c r="I277" t="s">
        <v>1016</v>
      </c>
      <c r="M277">
        <f>SUM(K276)</f>
        <v>2997</v>
      </c>
      <c r="Q277">
        <f>SUM(O276)</f>
        <v>4573</v>
      </c>
    </row>
    <row r="279" spans="2:17" x14ac:dyDescent="0.25">
      <c r="D279">
        <v>921</v>
      </c>
      <c r="E279">
        <v>921</v>
      </c>
      <c r="F279" t="s">
        <v>683</v>
      </c>
    </row>
    <row r="280" spans="2:17" x14ac:dyDescent="0.25">
      <c r="E280">
        <v>921</v>
      </c>
      <c r="G280" t="s">
        <v>433</v>
      </c>
      <c r="K280">
        <v>0</v>
      </c>
    </row>
    <row r="281" spans="2:17" x14ac:dyDescent="0.25">
      <c r="E281">
        <v>921</v>
      </c>
      <c r="G281" t="s">
        <v>1007</v>
      </c>
      <c r="K281">
        <v>0</v>
      </c>
    </row>
    <row r="282" spans="2:17" x14ac:dyDescent="0.25">
      <c r="E282">
        <v>921</v>
      </c>
      <c r="G282" t="s">
        <v>436</v>
      </c>
      <c r="K282">
        <f>ROUND(186+85.5+158.5+2.5+5+2.3-124.5,0)</f>
        <v>315</v>
      </c>
      <c r="O282">
        <v>344</v>
      </c>
    </row>
    <row r="283" spans="2:17" x14ac:dyDescent="0.25">
      <c r="E283">
        <v>921</v>
      </c>
      <c r="G283" t="s">
        <v>350</v>
      </c>
      <c r="K283">
        <f>ROUND(33+40+42+133+17.5,0)</f>
        <v>266</v>
      </c>
      <c r="O283">
        <v>265</v>
      </c>
    </row>
    <row r="284" spans="2:17" x14ac:dyDescent="0.25">
      <c r="E284">
        <v>921</v>
      </c>
      <c r="G284" t="s">
        <v>438</v>
      </c>
      <c r="K284">
        <v>0</v>
      </c>
    </row>
    <row r="285" spans="2:17" x14ac:dyDescent="0.25">
      <c r="I285" t="s">
        <v>1017</v>
      </c>
      <c r="M285">
        <f>SUM(K280:K284)</f>
        <v>581</v>
      </c>
      <c r="Q285">
        <f>SUM(O280:O284)</f>
        <v>609</v>
      </c>
    </row>
    <row r="287" spans="2:17" x14ac:dyDescent="0.25">
      <c r="D287">
        <v>923</v>
      </c>
      <c r="E287">
        <v>923</v>
      </c>
      <c r="F287" t="s">
        <v>684</v>
      </c>
    </row>
    <row r="288" spans="2:17" x14ac:dyDescent="0.25">
      <c r="E288">
        <v>923</v>
      </c>
      <c r="G288" t="s">
        <v>434</v>
      </c>
      <c r="K288">
        <f>ROUND(520+330,0)</f>
        <v>850</v>
      </c>
      <c r="O288">
        <v>1481</v>
      </c>
    </row>
    <row r="289" spans="4:17" x14ac:dyDescent="0.25">
      <c r="E289">
        <v>923</v>
      </c>
      <c r="G289" t="s">
        <v>1007</v>
      </c>
      <c r="K289">
        <f>ROUND(1000,0)</f>
        <v>1000</v>
      </c>
      <c r="O289">
        <v>5000</v>
      </c>
    </row>
    <row r="290" spans="4:17" x14ac:dyDescent="0.25">
      <c r="I290" t="s">
        <v>1028</v>
      </c>
      <c r="M290">
        <f>SUM(K288:K289)</f>
        <v>1850</v>
      </c>
      <c r="Q290">
        <f>SUM(O288:O289)</f>
        <v>6481</v>
      </c>
    </row>
    <row r="292" spans="4:17" x14ac:dyDescent="0.25">
      <c r="D292">
        <v>928</v>
      </c>
      <c r="E292">
        <v>928</v>
      </c>
      <c r="F292" t="s">
        <v>687</v>
      </c>
    </row>
    <row r="293" spans="4:17" x14ac:dyDescent="0.25">
      <c r="E293">
        <v>928</v>
      </c>
      <c r="G293" t="s">
        <v>434</v>
      </c>
      <c r="K293">
        <v>0</v>
      </c>
      <c r="O293">
        <v>0</v>
      </c>
    </row>
    <row r="294" spans="4:17" x14ac:dyDescent="0.25">
      <c r="E294">
        <v>928</v>
      </c>
      <c r="G294" t="s">
        <v>1007</v>
      </c>
      <c r="K294">
        <v>3000</v>
      </c>
      <c r="O294">
        <v>0</v>
      </c>
    </row>
    <row r="295" spans="4:17" x14ac:dyDescent="0.25">
      <c r="E295">
        <v>928</v>
      </c>
      <c r="G295" t="s">
        <v>436</v>
      </c>
      <c r="K295">
        <v>0</v>
      </c>
      <c r="O295">
        <v>0</v>
      </c>
    </row>
    <row r="296" spans="4:17" x14ac:dyDescent="0.25">
      <c r="I296" t="s">
        <v>1042</v>
      </c>
      <c r="M296">
        <f>SUM(K293:K295)</f>
        <v>3000</v>
      </c>
      <c r="Q296">
        <f>SUM(O293:O295)</f>
        <v>0</v>
      </c>
    </row>
    <row r="298" spans="4:17" x14ac:dyDescent="0.25">
      <c r="D298">
        <v>930</v>
      </c>
      <c r="E298">
        <v>930</v>
      </c>
      <c r="F298" t="s">
        <v>688</v>
      </c>
    </row>
    <row r="299" spans="4:17" x14ac:dyDescent="0.25">
      <c r="E299">
        <v>930</v>
      </c>
      <c r="G299" t="s">
        <v>350</v>
      </c>
      <c r="K299">
        <f>ROUND(483.3,0)</f>
        <v>483</v>
      </c>
      <c r="O299">
        <v>673</v>
      </c>
    </row>
    <row r="300" spans="4:17" x14ac:dyDescent="0.25">
      <c r="E300">
        <v>930</v>
      </c>
      <c r="G300" t="s">
        <v>436</v>
      </c>
      <c r="K300">
        <f>ROUND(124.5,0)</f>
        <v>125</v>
      </c>
      <c r="O300">
        <v>0</v>
      </c>
    </row>
    <row r="301" spans="4:17" x14ac:dyDescent="0.25">
      <c r="E301">
        <v>930</v>
      </c>
      <c r="G301" t="s">
        <v>437</v>
      </c>
      <c r="K301">
        <f>ROUND(1500,0)</f>
        <v>1500</v>
      </c>
      <c r="O301">
        <v>0</v>
      </c>
    </row>
    <row r="302" spans="4:17" x14ac:dyDescent="0.25">
      <c r="M302">
        <f>SUM(K299:K301)</f>
        <v>2108</v>
      </c>
      <c r="Q302">
        <f>SUM(O299:O301)</f>
        <v>673</v>
      </c>
    </row>
    <row r="304" spans="4:17" x14ac:dyDescent="0.25">
      <c r="D304">
        <v>935</v>
      </c>
      <c r="E304">
        <v>935</v>
      </c>
      <c r="F304" t="s">
        <v>690</v>
      </c>
    </row>
    <row r="305" spans="1:19" x14ac:dyDescent="0.25">
      <c r="E305">
        <v>935</v>
      </c>
      <c r="G305" t="s">
        <v>433</v>
      </c>
      <c r="O305">
        <v>26</v>
      </c>
    </row>
    <row r="306" spans="1:19" x14ac:dyDescent="0.25">
      <c r="E306">
        <v>935</v>
      </c>
      <c r="G306" t="s">
        <v>350</v>
      </c>
      <c r="K306">
        <v>0</v>
      </c>
      <c r="O306">
        <v>0</v>
      </c>
    </row>
    <row r="307" spans="1:19" x14ac:dyDescent="0.25">
      <c r="I307" t="s">
        <v>1031</v>
      </c>
      <c r="M307">
        <f>SUM(K306)</f>
        <v>0</v>
      </c>
      <c r="Q307">
        <f>SUM(O305:O306)</f>
        <v>26</v>
      </c>
    </row>
    <row r="310" spans="1:19" x14ac:dyDescent="0.25">
      <c r="H310" t="s">
        <v>1043</v>
      </c>
      <c r="M310">
        <f>SUM(M272:M307)</f>
        <v>10536</v>
      </c>
      <c r="Q310">
        <f>SUM(Q272:Q307)</f>
        <v>12362</v>
      </c>
      <c r="S310" t="s">
        <v>666</v>
      </c>
    </row>
    <row r="313" spans="1:19" x14ac:dyDescent="0.25">
      <c r="I313" t="s">
        <v>84</v>
      </c>
    </row>
    <row r="314" spans="1:19" x14ac:dyDescent="0.25">
      <c r="I314" t="s">
        <v>1044</v>
      </c>
      <c r="K314" t="s">
        <v>84</v>
      </c>
      <c r="M314">
        <f>+M57+M110+M167+M205+M267+M310</f>
        <v>15748</v>
      </c>
      <c r="O314" t="s">
        <v>84</v>
      </c>
      <c r="Q314">
        <f>+Q57+Q110+Q167+Q205+Q267+Q310</f>
        <v>133217</v>
      </c>
    </row>
    <row r="317" spans="1:19" x14ac:dyDescent="0.25">
      <c r="A317" t="s">
        <v>84</v>
      </c>
    </row>
    <row r="323" spans="9:9" x14ac:dyDescent="0.25">
      <c r="I323" t="s">
        <v>84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8B494-E469-47A2-956F-E39E08ABAE0C}">
  <dimension ref="A1:Q74"/>
  <sheetViews>
    <sheetView workbookViewId="0"/>
  </sheetViews>
  <sheetFormatPr defaultRowHeight="15" x14ac:dyDescent="0.25"/>
  <sheetData>
    <row r="1" spans="1:15" x14ac:dyDescent="0.25">
      <c r="A1" t="s">
        <v>483</v>
      </c>
    </row>
    <row r="2" spans="1:15" x14ac:dyDescent="0.25">
      <c r="A2" t="s">
        <v>1045</v>
      </c>
    </row>
    <row r="3" spans="1:15" x14ac:dyDescent="0.25">
      <c r="A3" t="s">
        <v>1046</v>
      </c>
    </row>
    <row r="4" spans="1:15" x14ac:dyDescent="0.25">
      <c r="A4">
        <v>36891</v>
      </c>
    </row>
    <row r="5" spans="1:15" x14ac:dyDescent="0.25">
      <c r="A5" t="s">
        <v>487</v>
      </c>
    </row>
    <row r="10" spans="1:15" x14ac:dyDescent="0.25">
      <c r="J10" t="s">
        <v>489</v>
      </c>
      <c r="O10" t="s">
        <v>480</v>
      </c>
    </row>
    <row r="11" spans="1:15" x14ac:dyDescent="0.25">
      <c r="A11" t="s">
        <v>2</v>
      </c>
      <c r="B11" t="s">
        <v>84</v>
      </c>
      <c r="E11" t="s">
        <v>84</v>
      </c>
      <c r="K11" t="s">
        <v>2</v>
      </c>
      <c r="O11" t="s">
        <v>2</v>
      </c>
    </row>
    <row r="12" spans="1:15" x14ac:dyDescent="0.25">
      <c r="A12" t="s">
        <v>660</v>
      </c>
      <c r="B12" t="s">
        <v>84</v>
      </c>
      <c r="C12" t="s">
        <v>492</v>
      </c>
      <c r="E12" t="s">
        <v>999</v>
      </c>
      <c r="I12" t="s">
        <v>493</v>
      </c>
      <c r="K12" t="s">
        <v>1047</v>
      </c>
      <c r="M12" t="s">
        <v>493</v>
      </c>
      <c r="O12" t="s">
        <v>1047</v>
      </c>
    </row>
    <row r="15" spans="1:15" x14ac:dyDescent="0.25">
      <c r="A15">
        <v>560</v>
      </c>
      <c r="C15" t="s">
        <v>662</v>
      </c>
      <c r="D15" t="s">
        <v>84</v>
      </c>
    </row>
    <row r="16" spans="1:15" x14ac:dyDescent="0.25">
      <c r="E16" t="s">
        <v>452</v>
      </c>
    </row>
    <row r="17" spans="1:15" x14ac:dyDescent="0.25">
      <c r="F17" t="s">
        <v>1048</v>
      </c>
      <c r="K17">
        <f>SUM(I16)</f>
        <v>0</v>
      </c>
      <c r="O17">
        <f>SUM(M16)</f>
        <v>0</v>
      </c>
    </row>
    <row r="19" spans="1:15" x14ac:dyDescent="0.25">
      <c r="A19">
        <v>561</v>
      </c>
      <c r="C19" t="s">
        <v>663</v>
      </c>
    </row>
    <row r="20" spans="1:15" x14ac:dyDescent="0.25">
      <c r="E20" t="s">
        <v>452</v>
      </c>
    </row>
    <row r="21" spans="1:15" x14ac:dyDescent="0.25">
      <c r="F21" t="s">
        <v>1013</v>
      </c>
      <c r="K21">
        <f>SUM(I20)</f>
        <v>0</v>
      </c>
      <c r="O21">
        <f>SUM(M20)</f>
        <v>0</v>
      </c>
    </row>
    <row r="23" spans="1:15" x14ac:dyDescent="0.25">
      <c r="A23">
        <v>566</v>
      </c>
      <c r="C23" t="s">
        <v>664</v>
      </c>
    </row>
    <row r="24" spans="1:15" x14ac:dyDescent="0.25">
      <c r="E24" t="s">
        <v>452</v>
      </c>
    </row>
    <row r="25" spans="1:15" x14ac:dyDescent="0.25">
      <c r="F25" t="s">
        <v>1014</v>
      </c>
      <c r="K25">
        <f>SUM(I24)</f>
        <v>0</v>
      </c>
      <c r="O25">
        <f>SUM(M24)</f>
        <v>0</v>
      </c>
    </row>
    <row r="27" spans="1:15" x14ac:dyDescent="0.25">
      <c r="A27">
        <v>568</v>
      </c>
      <c r="C27" t="s">
        <v>668</v>
      </c>
    </row>
    <row r="28" spans="1:15" x14ac:dyDescent="0.25">
      <c r="E28" t="s">
        <v>1037</v>
      </c>
    </row>
    <row r="29" spans="1:15" x14ac:dyDescent="0.25">
      <c r="E29" t="s">
        <v>452</v>
      </c>
    </row>
    <row r="30" spans="1:15" x14ac:dyDescent="0.25">
      <c r="F30" t="s">
        <v>1015</v>
      </c>
      <c r="K30">
        <f>SUM(I29)</f>
        <v>0</v>
      </c>
      <c r="O30">
        <f>SUM(M28:M29)</f>
        <v>0</v>
      </c>
    </row>
    <row r="32" spans="1:15" x14ac:dyDescent="0.25">
      <c r="A32">
        <v>901</v>
      </c>
      <c r="C32" t="s">
        <v>272</v>
      </c>
    </row>
    <row r="33" spans="1:15" x14ac:dyDescent="0.25">
      <c r="E33" t="s">
        <v>1019</v>
      </c>
    </row>
    <row r="34" spans="1:15" x14ac:dyDescent="0.25">
      <c r="F34" t="s">
        <v>1020</v>
      </c>
      <c r="K34">
        <f>SUM(I33)</f>
        <v>0</v>
      </c>
      <c r="O34">
        <f>SUM(M33)</f>
        <v>0</v>
      </c>
    </row>
    <row r="36" spans="1:15" x14ac:dyDescent="0.25">
      <c r="A36">
        <v>902</v>
      </c>
      <c r="C36" t="s">
        <v>673</v>
      </c>
    </row>
    <row r="37" spans="1:15" x14ac:dyDescent="0.25">
      <c r="E37" t="s">
        <v>1037</v>
      </c>
    </row>
    <row r="38" spans="1:15" x14ac:dyDescent="0.25">
      <c r="E38" t="s">
        <v>1019</v>
      </c>
    </row>
    <row r="39" spans="1:15" x14ac:dyDescent="0.25">
      <c r="F39" t="s">
        <v>1021</v>
      </c>
      <c r="K39">
        <f>SUM(I38)</f>
        <v>0</v>
      </c>
      <c r="O39">
        <f>SUM(M37:M38)</f>
        <v>0</v>
      </c>
    </row>
    <row r="41" spans="1:15" x14ac:dyDescent="0.25">
      <c r="A41">
        <v>903</v>
      </c>
      <c r="C41" t="s">
        <v>674</v>
      </c>
    </row>
    <row r="42" spans="1:15" x14ac:dyDescent="0.25">
      <c r="E42" t="s">
        <v>456</v>
      </c>
    </row>
    <row r="43" spans="1:15" x14ac:dyDescent="0.25">
      <c r="E43" t="s">
        <v>1019</v>
      </c>
    </row>
    <row r="44" spans="1:15" x14ac:dyDescent="0.25">
      <c r="F44" t="s">
        <v>1022</v>
      </c>
      <c r="K44">
        <f>SUM(I43)</f>
        <v>0</v>
      </c>
      <c r="O44">
        <f>SUM(M42:M43)</f>
        <v>0</v>
      </c>
    </row>
    <row r="46" spans="1:15" x14ac:dyDescent="0.25">
      <c r="A46">
        <v>905</v>
      </c>
      <c r="C46" t="s">
        <v>675</v>
      </c>
    </row>
    <row r="47" spans="1:15" x14ac:dyDescent="0.25">
      <c r="E47" t="s">
        <v>456</v>
      </c>
    </row>
    <row r="48" spans="1:15" x14ac:dyDescent="0.25">
      <c r="E48" t="s">
        <v>1019</v>
      </c>
    </row>
    <row r="49" spans="1:15" x14ac:dyDescent="0.25">
      <c r="F49" t="s">
        <v>1023</v>
      </c>
      <c r="K49">
        <f>SUM(I48)</f>
        <v>0</v>
      </c>
      <c r="O49">
        <f>SUM(M47:M48)</f>
        <v>0</v>
      </c>
    </row>
    <row r="51" spans="1:15" x14ac:dyDescent="0.25">
      <c r="A51">
        <v>908</v>
      </c>
      <c r="C51" t="s">
        <v>678</v>
      </c>
    </row>
    <row r="52" spans="1:15" x14ac:dyDescent="0.25">
      <c r="E52" t="s">
        <v>1019</v>
      </c>
    </row>
    <row r="53" spans="1:15" x14ac:dyDescent="0.25">
      <c r="F53" t="s">
        <v>1025</v>
      </c>
      <c r="K53">
        <f>SUM(I52)</f>
        <v>0</v>
      </c>
      <c r="O53">
        <f>SUM(M52)</f>
        <v>0</v>
      </c>
    </row>
    <row r="55" spans="1:15" x14ac:dyDescent="0.25">
      <c r="A55">
        <v>920</v>
      </c>
      <c r="C55" t="s">
        <v>682</v>
      </c>
    </row>
    <row r="56" spans="1:15" x14ac:dyDescent="0.25">
      <c r="E56" t="s">
        <v>452</v>
      </c>
    </row>
    <row r="57" spans="1:15" x14ac:dyDescent="0.25">
      <c r="E57" t="s">
        <v>1019</v>
      </c>
      <c r="I57">
        <v>0</v>
      </c>
      <c r="M57">
        <v>0</v>
      </c>
    </row>
    <row r="58" spans="1:15" x14ac:dyDescent="0.25">
      <c r="E58" t="s">
        <v>456</v>
      </c>
    </row>
    <row r="59" spans="1:15" x14ac:dyDescent="0.25">
      <c r="E59" t="s">
        <v>1049</v>
      </c>
    </row>
    <row r="60" spans="1:15" x14ac:dyDescent="0.25">
      <c r="E60" t="s">
        <v>1050</v>
      </c>
    </row>
    <row r="61" spans="1:15" x14ac:dyDescent="0.25">
      <c r="E61" t="s">
        <v>1040</v>
      </c>
    </row>
    <row r="62" spans="1:15" x14ac:dyDescent="0.25">
      <c r="F62" t="s">
        <v>1016</v>
      </c>
      <c r="K62">
        <f>SUM(I56:I61)</f>
        <v>0</v>
      </c>
      <c r="O62">
        <f>SUM(M56:M61)</f>
        <v>0</v>
      </c>
    </row>
    <row r="64" spans="1:15" x14ac:dyDescent="0.25">
      <c r="A64">
        <v>921</v>
      </c>
      <c r="C64" t="s">
        <v>683</v>
      </c>
    </row>
    <row r="65" spans="1:17" x14ac:dyDescent="0.25">
      <c r="E65" t="s">
        <v>1049</v>
      </c>
    </row>
    <row r="66" spans="1:17" x14ac:dyDescent="0.25">
      <c r="F66" t="s">
        <v>1017</v>
      </c>
      <c r="K66">
        <f>SUM(I65)</f>
        <v>0</v>
      </c>
      <c r="O66">
        <f>SUM(M65)</f>
        <v>0</v>
      </c>
    </row>
    <row r="68" spans="1:17" x14ac:dyDescent="0.25">
      <c r="A68">
        <v>935</v>
      </c>
      <c r="C68" t="s">
        <v>690</v>
      </c>
    </row>
    <row r="69" spans="1:17" x14ac:dyDescent="0.25">
      <c r="E69" t="s">
        <v>1050</v>
      </c>
    </row>
    <row r="70" spans="1:17" x14ac:dyDescent="0.25">
      <c r="F70" t="s">
        <v>1031</v>
      </c>
      <c r="K70">
        <f>SUM(I69)</f>
        <v>0</v>
      </c>
      <c r="O70">
        <f>SUM(M69)</f>
        <v>0</v>
      </c>
    </row>
    <row r="73" spans="1:17" x14ac:dyDescent="0.25">
      <c r="G73" t="s">
        <v>1051</v>
      </c>
    </row>
    <row r="74" spans="1:17" x14ac:dyDescent="0.25">
      <c r="G74" t="s">
        <v>1052</v>
      </c>
      <c r="K74">
        <f>SUM(K16:K70)</f>
        <v>0</v>
      </c>
      <c r="O74">
        <f>SUM(O16:O70)</f>
        <v>0</v>
      </c>
      <c r="Q74" t="s">
        <v>1053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5A002-317A-4B71-9718-947D4404A905}">
  <dimension ref="A1:P61"/>
  <sheetViews>
    <sheetView workbookViewId="0"/>
  </sheetViews>
  <sheetFormatPr defaultRowHeight="15" x14ac:dyDescent="0.25"/>
  <sheetData>
    <row r="1" spans="1:16" x14ac:dyDescent="0.25">
      <c r="A1" t="s">
        <v>1054</v>
      </c>
      <c r="B1">
        <v>1</v>
      </c>
      <c r="C1" t="s">
        <v>1055</v>
      </c>
      <c r="D1" t="s">
        <v>1056</v>
      </c>
      <c r="E1" t="s">
        <v>1057</v>
      </c>
      <c r="F1" t="s">
        <v>1058</v>
      </c>
      <c r="G1" t="s">
        <v>1059</v>
      </c>
      <c r="H1" t="s">
        <v>861</v>
      </c>
      <c r="I1" t="s">
        <v>1060</v>
      </c>
      <c r="J1" t="s">
        <v>861</v>
      </c>
      <c r="K1" t="s">
        <v>1061</v>
      </c>
      <c r="L1" t="s">
        <v>1058</v>
      </c>
      <c r="M1" t="s">
        <v>1062</v>
      </c>
      <c r="N1" t="s">
        <v>861</v>
      </c>
      <c r="O1" t="s">
        <v>1063</v>
      </c>
      <c r="P1">
        <v>0</v>
      </c>
    </row>
    <row r="2" spans="1:16" x14ac:dyDescent="0.25">
      <c r="A2" t="s">
        <v>1064</v>
      </c>
      <c r="B2" t="s">
        <v>1065</v>
      </c>
      <c r="C2" t="s">
        <v>1066</v>
      </c>
      <c r="D2" t="s">
        <v>660</v>
      </c>
      <c r="E2" t="s">
        <v>1067</v>
      </c>
      <c r="F2" t="s">
        <v>1068</v>
      </c>
      <c r="G2" t="s">
        <v>1069</v>
      </c>
      <c r="H2" t="s">
        <v>861</v>
      </c>
      <c r="I2" t="s">
        <v>1070</v>
      </c>
      <c r="J2" t="s">
        <v>861</v>
      </c>
      <c r="K2" t="s">
        <v>1071</v>
      </c>
      <c r="L2" t="s">
        <v>1068</v>
      </c>
      <c r="M2" t="s">
        <v>1072</v>
      </c>
      <c r="N2" t="s">
        <v>861</v>
      </c>
      <c r="O2" t="s">
        <v>1073</v>
      </c>
      <c r="P2">
        <v>0</v>
      </c>
    </row>
    <row r="3" spans="1:16" x14ac:dyDescent="0.25">
      <c r="A3" t="s">
        <v>1074</v>
      </c>
      <c r="B3">
        <v>101</v>
      </c>
      <c r="C3" t="s">
        <v>1075</v>
      </c>
      <c r="D3" t="s">
        <v>1076</v>
      </c>
      <c r="E3" t="s">
        <v>1077</v>
      </c>
      <c r="F3" t="s">
        <v>1078</v>
      </c>
      <c r="G3" t="s">
        <v>1079</v>
      </c>
      <c r="H3" t="s">
        <v>1080</v>
      </c>
      <c r="I3" t="s">
        <v>1081</v>
      </c>
      <c r="J3" t="s">
        <v>1082</v>
      </c>
      <c r="K3" t="s">
        <v>1083</v>
      </c>
      <c r="L3" t="s">
        <v>1078</v>
      </c>
      <c r="M3" t="s">
        <v>1084</v>
      </c>
      <c r="N3" t="s">
        <v>861</v>
      </c>
      <c r="O3" t="s">
        <v>1085</v>
      </c>
      <c r="P3">
        <v>0</v>
      </c>
    </row>
    <row r="4" spans="1:16" x14ac:dyDescent="0.25">
      <c r="A4" t="s">
        <v>1086</v>
      </c>
      <c r="B4" t="s">
        <v>1087</v>
      </c>
      <c r="C4" t="s">
        <v>1088</v>
      </c>
      <c r="D4" t="s">
        <v>1089</v>
      </c>
      <c r="E4" t="s">
        <v>1090</v>
      </c>
      <c r="F4" t="s">
        <v>1091</v>
      </c>
      <c r="G4" t="s">
        <v>1092</v>
      </c>
      <c r="H4" t="s">
        <v>861</v>
      </c>
      <c r="I4" t="s">
        <v>1093</v>
      </c>
      <c r="J4" t="s">
        <v>861</v>
      </c>
      <c r="K4" t="s">
        <v>1094</v>
      </c>
      <c r="L4" t="s">
        <v>1091</v>
      </c>
      <c r="M4" t="s">
        <v>1095</v>
      </c>
      <c r="N4" t="s">
        <v>861</v>
      </c>
      <c r="O4" t="s">
        <v>1096</v>
      </c>
      <c r="P4">
        <v>0</v>
      </c>
    </row>
    <row r="5" spans="1:16" x14ac:dyDescent="0.25">
      <c r="A5" t="s">
        <v>1097</v>
      </c>
      <c r="B5" t="s">
        <v>414</v>
      </c>
      <c r="C5" t="s">
        <v>1098</v>
      </c>
      <c r="D5" t="s">
        <v>1099</v>
      </c>
      <c r="E5" t="s">
        <v>1100</v>
      </c>
      <c r="F5" t="s">
        <v>1101</v>
      </c>
      <c r="G5" t="s">
        <v>1102</v>
      </c>
      <c r="H5" t="s">
        <v>861</v>
      </c>
      <c r="I5" t="s">
        <v>1103</v>
      </c>
      <c r="J5" t="s">
        <v>861</v>
      </c>
      <c r="K5" t="s">
        <v>1104</v>
      </c>
      <c r="L5" t="s">
        <v>1101</v>
      </c>
      <c r="M5" t="s">
        <v>1105</v>
      </c>
      <c r="N5" t="s">
        <v>861</v>
      </c>
      <c r="O5" t="s">
        <v>1106</v>
      </c>
      <c r="P5">
        <v>0</v>
      </c>
    </row>
    <row r="6" spans="1:16" x14ac:dyDescent="0.25">
      <c r="A6" t="s">
        <v>1107</v>
      </c>
      <c r="B6" t="s">
        <v>1108</v>
      </c>
    </row>
    <row r="7" spans="1:16" x14ac:dyDescent="0.25">
      <c r="A7" t="s">
        <v>1109</v>
      </c>
      <c r="B7">
        <v>101</v>
      </c>
    </row>
    <row r="8" spans="1:16" x14ac:dyDescent="0.25">
      <c r="A8" t="s">
        <v>1110</v>
      </c>
      <c r="B8">
        <v>20477</v>
      </c>
    </row>
    <row r="9" spans="1:16" x14ac:dyDescent="0.25">
      <c r="A9" t="s">
        <v>1111</v>
      </c>
      <c r="B9" t="s">
        <v>1112</v>
      </c>
    </row>
    <row r="10" spans="1:16" x14ac:dyDescent="0.25">
      <c r="A10" t="s">
        <v>1113</v>
      </c>
      <c r="B10" t="s">
        <v>1114</v>
      </c>
    </row>
    <row r="11" spans="1:16" x14ac:dyDescent="0.25">
      <c r="A11" t="s">
        <v>1115</v>
      </c>
      <c r="B11" t="s">
        <v>1116</v>
      </c>
    </row>
    <row r="12" spans="1:16" x14ac:dyDescent="0.25">
      <c r="A12" t="s">
        <v>1117</v>
      </c>
      <c r="B12">
        <v>5</v>
      </c>
    </row>
    <row r="13" spans="1:16" x14ac:dyDescent="0.25">
      <c r="A13" t="s">
        <v>1118</v>
      </c>
      <c r="B13" t="s">
        <v>1119</v>
      </c>
    </row>
    <row r="14" spans="1:16" x14ac:dyDescent="0.25">
      <c r="A14" t="s">
        <v>1120</v>
      </c>
      <c r="B14" t="s">
        <v>1065</v>
      </c>
    </row>
    <row r="15" spans="1:16" x14ac:dyDescent="0.25">
      <c r="A15" t="s">
        <v>1121</v>
      </c>
      <c r="B15">
        <v>1000</v>
      </c>
    </row>
    <row r="16" spans="1:16" x14ac:dyDescent="0.25">
      <c r="A16" t="s">
        <v>1122</v>
      </c>
      <c r="B16" t="s">
        <v>1123</v>
      </c>
    </row>
    <row r="17" spans="1:2" x14ac:dyDescent="0.25">
      <c r="A17" t="s">
        <v>1124</v>
      </c>
      <c r="B17" t="s">
        <v>1125</v>
      </c>
    </row>
    <row r="18" spans="1:2" x14ac:dyDescent="0.25">
      <c r="A18" t="s">
        <v>1126</v>
      </c>
      <c r="B18">
        <v>1</v>
      </c>
    </row>
    <row r="19" spans="1:2" x14ac:dyDescent="0.25">
      <c r="A19" t="s">
        <v>1127</v>
      </c>
      <c r="B19" t="s">
        <v>1128</v>
      </c>
    </row>
    <row r="20" spans="1:2" x14ac:dyDescent="0.25">
      <c r="A20" t="s">
        <v>1129</v>
      </c>
      <c r="B20">
        <v>12</v>
      </c>
    </row>
    <row r="21" spans="1:2" x14ac:dyDescent="0.25">
      <c r="A21" t="s">
        <v>1130</v>
      </c>
      <c r="B21">
        <v>2000</v>
      </c>
    </row>
    <row r="22" spans="1:2" x14ac:dyDescent="0.25">
      <c r="A22" t="s">
        <v>1131</v>
      </c>
      <c r="B22">
        <v>12</v>
      </c>
    </row>
    <row r="23" spans="1:2" x14ac:dyDescent="0.25">
      <c r="A23" t="s">
        <v>1132</v>
      </c>
      <c r="B23">
        <v>1180</v>
      </c>
    </row>
    <row r="26" spans="1:2" x14ac:dyDescent="0.25">
      <c r="A26" t="s">
        <v>1133</v>
      </c>
      <c r="B26">
        <v>1</v>
      </c>
    </row>
    <row r="27" spans="1:2" x14ac:dyDescent="0.25">
      <c r="A27" t="s">
        <v>1134</v>
      </c>
      <c r="B27">
        <v>0</v>
      </c>
    </row>
    <row r="28" spans="1:2" x14ac:dyDescent="0.25">
      <c r="A28" t="s">
        <v>1135</v>
      </c>
      <c r="B28" t="s">
        <v>1068</v>
      </c>
    </row>
    <row r="29" spans="1:2" x14ac:dyDescent="0.25">
      <c r="A29" t="s">
        <v>1136</v>
      </c>
      <c r="B29" t="s">
        <v>1137</v>
      </c>
    </row>
    <row r="30" spans="1:2" x14ac:dyDescent="0.25">
      <c r="A30" t="s">
        <v>1138</v>
      </c>
      <c r="B30" t="s">
        <v>1139</v>
      </c>
    </row>
    <row r="31" spans="1:2" x14ac:dyDescent="0.25">
      <c r="A31" t="s">
        <v>1140</v>
      </c>
      <c r="B31" t="s">
        <v>1141</v>
      </c>
    </row>
    <row r="32" spans="1:2" x14ac:dyDescent="0.25">
      <c r="A32" t="s">
        <v>1142</v>
      </c>
      <c r="B32">
        <v>1214</v>
      </c>
    </row>
    <row r="33" spans="1:2" x14ac:dyDescent="0.25">
      <c r="A33" t="s">
        <v>1143</v>
      </c>
      <c r="B33" t="s">
        <v>1139</v>
      </c>
    </row>
    <row r="34" spans="1:2" x14ac:dyDescent="0.25">
      <c r="A34" t="s">
        <v>1144</v>
      </c>
      <c r="B34" t="s">
        <v>1145</v>
      </c>
    </row>
    <row r="35" spans="1:2" x14ac:dyDescent="0.25">
      <c r="A35" t="s">
        <v>1146</v>
      </c>
      <c r="B35" t="s">
        <v>1147</v>
      </c>
    </row>
    <row r="36" spans="1:2" x14ac:dyDescent="0.25">
      <c r="A36" t="s">
        <v>1148</v>
      </c>
      <c r="B36" t="s">
        <v>1149</v>
      </c>
    </row>
    <row r="37" spans="1:2" x14ac:dyDescent="0.25">
      <c r="A37" t="s">
        <v>1150</v>
      </c>
      <c r="B37" t="s">
        <v>1112</v>
      </c>
    </row>
    <row r="38" spans="1:2" x14ac:dyDescent="0.25">
      <c r="A38" t="s">
        <v>1151</v>
      </c>
      <c r="B38" t="s">
        <v>1152</v>
      </c>
    </row>
    <row r="39" spans="1:2" x14ac:dyDescent="0.25">
      <c r="A39" t="s">
        <v>1153</v>
      </c>
      <c r="B39" t="s">
        <v>1154</v>
      </c>
    </row>
    <row r="41" spans="1:2" x14ac:dyDescent="0.25">
      <c r="A41" t="s">
        <v>1155</v>
      </c>
      <c r="B41" t="s">
        <v>1156</v>
      </c>
    </row>
    <row r="42" spans="1:2" x14ac:dyDescent="0.25">
      <c r="A42" t="s">
        <v>1157</v>
      </c>
      <c r="B42" t="s">
        <v>1139</v>
      </c>
    </row>
    <row r="44" spans="1:2" x14ac:dyDescent="0.25">
      <c r="A44" t="s">
        <v>1158</v>
      </c>
      <c r="B44" t="s">
        <v>1159</v>
      </c>
    </row>
    <row r="45" spans="1:2" x14ac:dyDescent="0.25">
      <c r="A45" t="s">
        <v>1160</v>
      </c>
      <c r="B45">
        <v>-1</v>
      </c>
    </row>
    <row r="46" spans="1:2" x14ac:dyDescent="0.25">
      <c r="A46" t="s">
        <v>1161</v>
      </c>
      <c r="B46">
        <v>-1</v>
      </c>
    </row>
    <row r="47" spans="1:2" x14ac:dyDescent="0.25">
      <c r="A47" t="s">
        <v>1162</v>
      </c>
      <c r="B47">
        <v>-1</v>
      </c>
    </row>
    <row r="48" spans="1:2" x14ac:dyDescent="0.25">
      <c r="A48" t="s">
        <v>1163</v>
      </c>
      <c r="B48">
        <v>-1</v>
      </c>
    </row>
    <row r="49" spans="1:2" x14ac:dyDescent="0.25">
      <c r="A49" t="s">
        <v>1164</v>
      </c>
      <c r="B49">
        <v>-1</v>
      </c>
    </row>
    <row r="50" spans="1:2" x14ac:dyDescent="0.25">
      <c r="A50" t="s">
        <v>1165</v>
      </c>
      <c r="B50">
        <v>36</v>
      </c>
    </row>
    <row r="51" spans="1:2" x14ac:dyDescent="0.25">
      <c r="A51" t="s">
        <v>1166</v>
      </c>
      <c r="B51">
        <v>16</v>
      </c>
    </row>
    <row r="52" spans="1:2" x14ac:dyDescent="0.25">
      <c r="A52" t="s">
        <v>1167</v>
      </c>
      <c r="B52">
        <v>1</v>
      </c>
    </row>
    <row r="53" spans="1:2" x14ac:dyDescent="0.25">
      <c r="A53" t="s">
        <v>1168</v>
      </c>
      <c r="B53">
        <v>40</v>
      </c>
    </row>
    <row r="54" spans="1:2" x14ac:dyDescent="0.25">
      <c r="A54" t="s">
        <v>1169</v>
      </c>
      <c r="B54">
        <v>2</v>
      </c>
    </row>
    <row r="55" spans="1:2" x14ac:dyDescent="0.25">
      <c r="A55" t="s">
        <v>1170</v>
      </c>
      <c r="B55">
        <v>5</v>
      </c>
    </row>
    <row r="56" spans="1:2" x14ac:dyDescent="0.25">
      <c r="A56" t="s">
        <v>1171</v>
      </c>
      <c r="B56">
        <v>2</v>
      </c>
    </row>
    <row r="57" spans="1:2" x14ac:dyDescent="0.25">
      <c r="A57" t="s">
        <v>1172</v>
      </c>
      <c r="B57">
        <v>-1</v>
      </c>
    </row>
    <row r="58" spans="1:2" x14ac:dyDescent="0.25">
      <c r="A58" t="s">
        <v>1173</v>
      </c>
      <c r="B58" t="b">
        <v>0</v>
      </c>
    </row>
    <row r="59" spans="1:2" x14ac:dyDescent="0.25">
      <c r="A59" t="s">
        <v>1174</v>
      </c>
      <c r="B59">
        <v>12</v>
      </c>
    </row>
    <row r="60" spans="1:2" x14ac:dyDescent="0.25">
      <c r="A60" t="s">
        <v>1175</v>
      </c>
      <c r="B60">
        <v>2000</v>
      </c>
    </row>
    <row r="61" spans="1:2" x14ac:dyDescent="0.25">
      <c r="A61" t="s">
        <v>1176</v>
      </c>
      <c r="B61">
        <v>2000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328BF-04DE-45F3-9FE6-B419E39857E1}">
  <dimension ref="A1:Q57"/>
  <sheetViews>
    <sheetView workbookViewId="0"/>
  </sheetViews>
  <sheetFormatPr defaultRowHeight="15" x14ac:dyDescent="0.25"/>
  <sheetData>
    <row r="1" spans="1:15" x14ac:dyDescent="0.25">
      <c r="A1" t="s">
        <v>483</v>
      </c>
    </row>
    <row r="2" spans="1:15" x14ac:dyDescent="0.25">
      <c r="A2" t="s">
        <v>1045</v>
      </c>
    </row>
    <row r="3" spans="1:15" x14ac:dyDescent="0.25">
      <c r="A3" t="s">
        <v>1046</v>
      </c>
    </row>
    <row r="4" spans="1:15" x14ac:dyDescent="0.25">
      <c r="A4">
        <v>36891</v>
      </c>
    </row>
    <row r="5" spans="1:15" x14ac:dyDescent="0.25">
      <c r="A5" t="s">
        <v>487</v>
      </c>
    </row>
    <row r="9" spans="1:15" x14ac:dyDescent="0.25">
      <c r="I9">
        <v>1999</v>
      </c>
    </row>
    <row r="11" spans="1:15" x14ac:dyDescent="0.25">
      <c r="C11" t="s">
        <v>2</v>
      </c>
      <c r="E11" t="s">
        <v>84</v>
      </c>
      <c r="K11" t="s">
        <v>999</v>
      </c>
      <c r="M11">
        <v>2000</v>
      </c>
      <c r="O11" t="s">
        <v>999</v>
      </c>
    </row>
    <row r="12" spans="1:15" x14ac:dyDescent="0.25">
      <c r="A12" t="s">
        <v>999</v>
      </c>
      <c r="C12" t="s">
        <v>660</v>
      </c>
      <c r="E12" t="s">
        <v>492</v>
      </c>
      <c r="I12" t="s">
        <v>493</v>
      </c>
      <c r="J12" t="s">
        <v>84</v>
      </c>
      <c r="K12" t="s">
        <v>500</v>
      </c>
      <c r="M12" t="s">
        <v>493</v>
      </c>
      <c r="N12" t="s">
        <v>84</v>
      </c>
      <c r="O12" t="s">
        <v>500</v>
      </c>
    </row>
    <row r="15" spans="1:15" x14ac:dyDescent="0.25">
      <c r="A15" t="s">
        <v>452</v>
      </c>
      <c r="E15" t="s">
        <v>84</v>
      </c>
    </row>
    <row r="16" spans="1:15" x14ac:dyDescent="0.25">
      <c r="C16">
        <v>560</v>
      </c>
      <c r="E16" t="s">
        <v>662</v>
      </c>
    </row>
    <row r="17" spans="1:15" x14ac:dyDescent="0.25">
      <c r="C17">
        <v>561</v>
      </c>
      <c r="E17" t="s">
        <v>663</v>
      </c>
    </row>
    <row r="18" spans="1:15" x14ac:dyDescent="0.25">
      <c r="C18">
        <v>566</v>
      </c>
      <c r="E18" t="s">
        <v>664</v>
      </c>
    </row>
    <row r="19" spans="1:15" x14ac:dyDescent="0.25">
      <c r="C19">
        <v>568</v>
      </c>
      <c r="E19" t="s">
        <v>668</v>
      </c>
    </row>
    <row r="20" spans="1:15" x14ac:dyDescent="0.25">
      <c r="C20">
        <v>920</v>
      </c>
      <c r="E20" t="s">
        <v>682</v>
      </c>
    </row>
    <row r="21" spans="1:15" x14ac:dyDescent="0.25">
      <c r="F21" t="s">
        <v>1177</v>
      </c>
      <c r="K21">
        <f>SUM(I16:I20)</f>
        <v>0</v>
      </c>
      <c r="O21">
        <f>SUM(M16:M20)</f>
        <v>0</v>
      </c>
    </row>
    <row r="23" spans="1:15" x14ac:dyDescent="0.25">
      <c r="A23" t="s">
        <v>1019</v>
      </c>
    </row>
    <row r="24" spans="1:15" x14ac:dyDescent="0.25">
      <c r="C24">
        <v>901</v>
      </c>
      <c r="E24" t="s">
        <v>272</v>
      </c>
    </row>
    <row r="25" spans="1:15" x14ac:dyDescent="0.25">
      <c r="C25">
        <v>902</v>
      </c>
      <c r="E25" t="s">
        <v>673</v>
      </c>
    </row>
    <row r="26" spans="1:15" x14ac:dyDescent="0.25">
      <c r="C26">
        <v>903</v>
      </c>
      <c r="E26" t="s">
        <v>674</v>
      </c>
    </row>
    <row r="27" spans="1:15" x14ac:dyDescent="0.25">
      <c r="C27">
        <v>905</v>
      </c>
      <c r="E27" t="s">
        <v>675</v>
      </c>
    </row>
    <row r="28" spans="1:15" x14ac:dyDescent="0.25">
      <c r="C28">
        <v>907</v>
      </c>
      <c r="E28" t="s">
        <v>272</v>
      </c>
    </row>
    <row r="29" spans="1:15" x14ac:dyDescent="0.25">
      <c r="C29">
        <v>908</v>
      </c>
      <c r="E29" t="s">
        <v>678</v>
      </c>
    </row>
    <row r="30" spans="1:15" x14ac:dyDescent="0.25">
      <c r="C30">
        <v>920</v>
      </c>
      <c r="E30" t="s">
        <v>682</v>
      </c>
      <c r="I30">
        <v>0</v>
      </c>
      <c r="M30">
        <v>0</v>
      </c>
    </row>
    <row r="31" spans="1:15" x14ac:dyDescent="0.25">
      <c r="F31" t="s">
        <v>1178</v>
      </c>
      <c r="K31">
        <f>SUM(I24:I30)</f>
        <v>0</v>
      </c>
      <c r="O31">
        <f>SUM(M24:M30)</f>
        <v>0</v>
      </c>
    </row>
    <row r="33" spans="1:15" x14ac:dyDescent="0.25">
      <c r="A33" t="s">
        <v>456</v>
      </c>
    </row>
    <row r="34" spans="1:15" x14ac:dyDescent="0.25">
      <c r="C34">
        <v>903</v>
      </c>
      <c r="E34" t="s">
        <v>674</v>
      </c>
    </row>
    <row r="35" spans="1:15" x14ac:dyDescent="0.25">
      <c r="C35">
        <v>905</v>
      </c>
      <c r="E35" t="s">
        <v>1027</v>
      </c>
    </row>
    <row r="36" spans="1:15" x14ac:dyDescent="0.25">
      <c r="C36">
        <v>920</v>
      </c>
      <c r="E36" t="s">
        <v>682</v>
      </c>
    </row>
    <row r="37" spans="1:15" x14ac:dyDescent="0.25">
      <c r="F37" t="s">
        <v>1179</v>
      </c>
      <c r="K37">
        <f>SUM(I36)</f>
        <v>0</v>
      </c>
      <c r="O37">
        <f>SUM(M34:M36)</f>
        <v>0</v>
      </c>
    </row>
    <row r="39" spans="1:15" x14ac:dyDescent="0.25">
      <c r="A39" t="s">
        <v>1049</v>
      </c>
    </row>
    <row r="40" spans="1:15" x14ac:dyDescent="0.25">
      <c r="C40">
        <v>920</v>
      </c>
      <c r="E40" t="s">
        <v>682</v>
      </c>
    </row>
    <row r="41" spans="1:15" x14ac:dyDescent="0.25">
      <c r="C41">
        <v>921</v>
      </c>
      <c r="E41" t="s">
        <v>683</v>
      </c>
    </row>
    <row r="42" spans="1:15" x14ac:dyDescent="0.25">
      <c r="F42" t="s">
        <v>1180</v>
      </c>
      <c r="K42">
        <f>SUM(I40:I41)</f>
        <v>0</v>
      </c>
      <c r="O42">
        <f>SUM(M40:M41)</f>
        <v>0</v>
      </c>
    </row>
    <row r="44" spans="1:15" x14ac:dyDescent="0.25">
      <c r="A44" t="s">
        <v>1037</v>
      </c>
    </row>
    <row r="45" spans="1:15" x14ac:dyDescent="0.25">
      <c r="C45">
        <v>568</v>
      </c>
      <c r="E45" t="s">
        <v>663</v>
      </c>
    </row>
    <row r="46" spans="1:15" x14ac:dyDescent="0.25">
      <c r="C46">
        <v>902</v>
      </c>
      <c r="E46" t="s">
        <v>1038</v>
      </c>
    </row>
    <row r="47" spans="1:15" x14ac:dyDescent="0.25">
      <c r="C47">
        <v>920</v>
      </c>
      <c r="E47" t="s">
        <v>682</v>
      </c>
    </row>
    <row r="48" spans="1:15" x14ac:dyDescent="0.25">
      <c r="C48">
        <v>935</v>
      </c>
      <c r="E48" t="s">
        <v>690</v>
      </c>
    </row>
    <row r="49" spans="1:17" x14ac:dyDescent="0.25">
      <c r="F49" t="s">
        <v>1181</v>
      </c>
      <c r="K49">
        <f>SUM(I47:I48)</f>
        <v>0</v>
      </c>
      <c r="O49">
        <f>SUM(M45:M48)</f>
        <v>0</v>
      </c>
    </row>
    <row r="51" spans="1:17" x14ac:dyDescent="0.25">
      <c r="A51" t="s">
        <v>1182</v>
      </c>
    </row>
    <row r="52" spans="1:17" x14ac:dyDescent="0.25">
      <c r="C52">
        <v>920</v>
      </c>
      <c r="E52" t="s">
        <v>682</v>
      </c>
    </row>
    <row r="53" spans="1:17" x14ac:dyDescent="0.25">
      <c r="F53" t="s">
        <v>1183</v>
      </c>
      <c r="K53">
        <f>SUM(I52)</f>
        <v>0</v>
      </c>
      <c r="O53">
        <f>SUM(M52)</f>
        <v>0</v>
      </c>
    </row>
    <row r="55" spans="1:17" x14ac:dyDescent="0.25">
      <c r="A55" t="s">
        <v>84</v>
      </c>
    </row>
    <row r="56" spans="1:17" x14ac:dyDescent="0.25">
      <c r="G56" t="s">
        <v>1184</v>
      </c>
    </row>
    <row r="57" spans="1:17" x14ac:dyDescent="0.25">
      <c r="G57" t="s">
        <v>1185</v>
      </c>
      <c r="K57">
        <f>SUM(K16:K53)</f>
        <v>0</v>
      </c>
      <c r="O57">
        <f>SUM(O16:O53)</f>
        <v>0</v>
      </c>
      <c r="Q57" t="s">
        <v>1053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46FB-6F38-4CC4-9E0E-B9A696E2D303}">
  <dimension ref="A1:BM58"/>
  <sheetViews>
    <sheetView workbookViewId="0"/>
  </sheetViews>
  <sheetFormatPr defaultRowHeight="15" x14ac:dyDescent="0.25"/>
  <sheetData>
    <row r="1" spans="1:65" x14ac:dyDescent="0.25">
      <c r="A1" t="s">
        <v>483</v>
      </c>
    </row>
    <row r="2" spans="1:65" x14ac:dyDescent="0.25">
      <c r="A2" t="s">
        <v>1186</v>
      </c>
    </row>
    <row r="3" spans="1:65" x14ac:dyDescent="0.25">
      <c r="A3" t="s">
        <v>658</v>
      </c>
    </row>
    <row r="4" spans="1:65" x14ac:dyDescent="0.25">
      <c r="A4" t="s">
        <v>486</v>
      </c>
    </row>
    <row r="5" spans="1:65" x14ac:dyDescent="0.25">
      <c r="A5" t="s">
        <v>487</v>
      </c>
      <c r="W5" t="s">
        <v>489</v>
      </c>
    </row>
    <row r="7" spans="1:65" x14ac:dyDescent="0.25">
      <c r="I7" t="s">
        <v>1187</v>
      </c>
      <c r="W7" t="s">
        <v>1188</v>
      </c>
      <c r="AX7" t="s">
        <v>1188</v>
      </c>
    </row>
    <row r="8" spans="1:65" x14ac:dyDescent="0.25">
      <c r="N8" t="s">
        <v>500</v>
      </c>
      <c r="Q8" t="s">
        <v>1189</v>
      </c>
      <c r="S8" t="s">
        <v>1190</v>
      </c>
      <c r="W8" t="s">
        <v>1191</v>
      </c>
      <c r="Y8" t="s">
        <v>1192</v>
      </c>
      <c r="Z8" t="s">
        <v>84</v>
      </c>
      <c r="AC8" t="s">
        <v>1193</v>
      </c>
      <c r="AO8" t="s">
        <v>500</v>
      </c>
      <c r="AR8" t="s">
        <v>1189</v>
      </c>
      <c r="AT8" t="s">
        <v>1190</v>
      </c>
      <c r="AX8" t="s">
        <v>1191</v>
      </c>
      <c r="AZ8" t="s">
        <v>1192</v>
      </c>
      <c r="BA8" t="s">
        <v>84</v>
      </c>
      <c r="BD8" t="s">
        <v>1193</v>
      </c>
    </row>
    <row r="9" spans="1:65" x14ac:dyDescent="0.25">
      <c r="A9" t="s">
        <v>490</v>
      </c>
      <c r="C9" t="s">
        <v>2</v>
      </c>
      <c r="N9" t="s">
        <v>1194</v>
      </c>
      <c r="Q9" t="s">
        <v>1195</v>
      </c>
      <c r="S9" t="s">
        <v>1196</v>
      </c>
      <c r="W9" t="s">
        <v>1197</v>
      </c>
      <c r="Y9" t="s">
        <v>1198</v>
      </c>
      <c r="AA9" t="s">
        <v>1199</v>
      </c>
      <c r="AC9" t="s">
        <v>1200</v>
      </c>
      <c r="AG9" t="s">
        <v>2</v>
      </c>
      <c r="AI9" t="s">
        <v>500</v>
      </c>
      <c r="AK9" t="s">
        <v>490</v>
      </c>
      <c r="AO9" t="s">
        <v>1194</v>
      </c>
      <c r="AR9" t="s">
        <v>1195</v>
      </c>
      <c r="AT9" t="s">
        <v>1196</v>
      </c>
      <c r="AX9" t="s">
        <v>1197</v>
      </c>
      <c r="AZ9" t="s">
        <v>1198</v>
      </c>
      <c r="BB9" t="s">
        <v>1199</v>
      </c>
      <c r="BD9" t="s">
        <v>1200</v>
      </c>
      <c r="BH9" t="s">
        <v>2</v>
      </c>
      <c r="BJ9" t="s">
        <v>500</v>
      </c>
      <c r="BL9" t="s">
        <v>490</v>
      </c>
    </row>
    <row r="10" spans="1:65" x14ac:dyDescent="0.25">
      <c r="A10" t="s">
        <v>491</v>
      </c>
      <c r="C10" t="s">
        <v>660</v>
      </c>
      <c r="E10" t="s">
        <v>492</v>
      </c>
      <c r="N10" t="s">
        <v>2</v>
      </c>
      <c r="Q10" t="s">
        <v>1201</v>
      </c>
      <c r="S10" t="s">
        <v>1202</v>
      </c>
      <c r="U10" t="s">
        <v>432</v>
      </c>
      <c r="W10" t="s">
        <v>1203</v>
      </c>
      <c r="Y10" t="s">
        <v>1204</v>
      </c>
      <c r="AA10" t="s">
        <v>1205</v>
      </c>
      <c r="AC10" t="s">
        <v>1206</v>
      </c>
      <c r="AE10" t="s">
        <v>350</v>
      </c>
      <c r="AG10" t="s">
        <v>1207</v>
      </c>
      <c r="AI10" t="s">
        <v>418</v>
      </c>
      <c r="AK10" t="s">
        <v>491</v>
      </c>
      <c r="AO10" t="s">
        <v>2</v>
      </c>
      <c r="AR10" t="s">
        <v>1201</v>
      </c>
      <c r="AT10" t="s">
        <v>1202</v>
      </c>
      <c r="AV10" t="s">
        <v>432</v>
      </c>
      <c r="AX10" t="s">
        <v>1203</v>
      </c>
      <c r="AZ10" t="s">
        <v>1204</v>
      </c>
      <c r="BB10" t="s">
        <v>1205</v>
      </c>
      <c r="BD10" t="s">
        <v>1206</v>
      </c>
      <c r="BF10" t="s">
        <v>350</v>
      </c>
      <c r="BH10" t="s">
        <v>1207</v>
      </c>
      <c r="BJ10" t="s">
        <v>418</v>
      </c>
      <c r="BL10" t="s">
        <v>491</v>
      </c>
    </row>
    <row r="13" spans="1:65" x14ac:dyDescent="0.25">
      <c r="E13" t="s">
        <v>1208</v>
      </c>
    </row>
    <row r="15" spans="1:65" x14ac:dyDescent="0.25">
      <c r="A15">
        <v>1</v>
      </c>
      <c r="C15">
        <v>560</v>
      </c>
      <c r="E15" t="s">
        <v>662</v>
      </c>
      <c r="S15">
        <v>0</v>
      </c>
      <c r="U15">
        <v>0</v>
      </c>
      <c r="W15">
        <v>0</v>
      </c>
      <c r="AA15">
        <v>0</v>
      </c>
      <c r="AG15">
        <v>0</v>
      </c>
      <c r="AI15">
        <f>SUM(Q15:AG15)</f>
        <v>0</v>
      </c>
      <c r="AK15">
        <f>A15</f>
        <v>1</v>
      </c>
      <c r="AL15">
        <f>SUM(Q15:AG15)</f>
        <v>0</v>
      </c>
      <c r="AT15">
        <v>0</v>
      </c>
      <c r="AV15">
        <v>0</v>
      </c>
      <c r="AX15">
        <v>0</v>
      </c>
      <c r="BB15">
        <v>0</v>
      </c>
      <c r="BH15">
        <v>0</v>
      </c>
      <c r="BJ15">
        <f>SUM(AR15:BH15)</f>
        <v>0</v>
      </c>
      <c r="BL15">
        <f>+A15</f>
        <v>1</v>
      </c>
      <c r="BM15">
        <f>SUM(AR15:BH15)</f>
        <v>0</v>
      </c>
    </row>
    <row r="16" spans="1:65" x14ac:dyDescent="0.25">
      <c r="A16">
        <v>2</v>
      </c>
      <c r="C16">
        <v>561</v>
      </c>
      <c r="E16" t="s">
        <v>663</v>
      </c>
      <c r="S16">
        <v>1200</v>
      </c>
      <c r="U16">
        <v>0</v>
      </c>
      <c r="W16">
        <f>ROUND(31964+89+2.5+100+1+45,0)</f>
        <v>32202</v>
      </c>
      <c r="Y16">
        <f>ROUND(1750+1+2.5+5+2,0)-1</f>
        <v>1760</v>
      </c>
      <c r="AA16">
        <v>0</v>
      </c>
      <c r="AC16">
        <f>ROUND(689+37+148.5+44.9+144+11.5+1,0)</f>
        <v>1076</v>
      </c>
      <c r="AE16">
        <f>ROUND(33.5+16+21.25+11.4+72.65+7.9,0)</f>
        <v>163</v>
      </c>
      <c r="AG16">
        <v>0</v>
      </c>
      <c r="AI16">
        <f>SUM(Q16:AG16)</f>
        <v>36401</v>
      </c>
      <c r="AK16">
        <f>A16</f>
        <v>2</v>
      </c>
      <c r="AL16">
        <f>SUM(Q16:AG16)</f>
        <v>36401</v>
      </c>
      <c r="AV16">
        <v>0</v>
      </c>
      <c r="BB16">
        <v>0</v>
      </c>
      <c r="BH16">
        <v>0</v>
      </c>
      <c r="BJ16">
        <f>SUM(AR16:BH16)</f>
        <v>0</v>
      </c>
      <c r="BL16">
        <f>+A16</f>
        <v>2</v>
      </c>
      <c r="BM16">
        <f>SUM(AR16:BH16)</f>
        <v>0</v>
      </c>
    </row>
    <row r="17" spans="1:65" x14ac:dyDescent="0.25">
      <c r="A17">
        <v>3</v>
      </c>
      <c r="C17">
        <v>566</v>
      </c>
      <c r="E17" t="s">
        <v>664</v>
      </c>
      <c r="S17">
        <v>0</v>
      </c>
      <c r="U17">
        <v>0</v>
      </c>
      <c r="W17">
        <v>0</v>
      </c>
      <c r="Y17">
        <v>0</v>
      </c>
      <c r="AA17">
        <v>0</v>
      </c>
      <c r="AC17">
        <v>0</v>
      </c>
      <c r="AE17">
        <v>0</v>
      </c>
      <c r="AG17">
        <v>0</v>
      </c>
      <c r="AI17">
        <f>SUM(Q17:AG17)</f>
        <v>0</v>
      </c>
      <c r="AK17">
        <f>A17</f>
        <v>3</v>
      </c>
      <c r="AL17">
        <f>SUM(Q17:AG17)</f>
        <v>0</v>
      </c>
      <c r="AT17">
        <v>0</v>
      </c>
      <c r="AV17">
        <v>0</v>
      </c>
      <c r="AX17">
        <v>0</v>
      </c>
      <c r="AZ17">
        <v>0</v>
      </c>
      <c r="BB17">
        <v>0</v>
      </c>
      <c r="BF17">
        <v>0</v>
      </c>
      <c r="BH17">
        <v>0</v>
      </c>
      <c r="BJ17">
        <f>SUM(AR17:BH17)</f>
        <v>0</v>
      </c>
      <c r="BL17">
        <f>+A17</f>
        <v>3</v>
      </c>
      <c r="BM17">
        <f>SUM(AR17:BH17)</f>
        <v>0</v>
      </c>
    </row>
    <row r="18" spans="1:65" x14ac:dyDescent="0.25">
      <c r="A18">
        <v>5</v>
      </c>
      <c r="C18">
        <v>568</v>
      </c>
      <c r="E18" t="s">
        <v>668</v>
      </c>
      <c r="S18">
        <v>0</v>
      </c>
      <c r="U18">
        <v>0</v>
      </c>
      <c r="W18">
        <f>ROUND(1350.737,0)</f>
        <v>1351</v>
      </c>
      <c r="Y18">
        <f>ROUND(354.9,0)</f>
        <v>355</v>
      </c>
      <c r="AA18">
        <v>0</v>
      </c>
      <c r="AC18">
        <f>ROUND(231.206,0)</f>
        <v>231</v>
      </c>
      <c r="AE18">
        <f>ROUND(35.82,0)</f>
        <v>36</v>
      </c>
      <c r="AG18">
        <v>0</v>
      </c>
      <c r="AI18">
        <f>SUM(Q18:AG18)</f>
        <v>1973</v>
      </c>
      <c r="AK18">
        <f>A18</f>
        <v>5</v>
      </c>
      <c r="AL18">
        <f>SUM(Q18:AG18)</f>
        <v>1973</v>
      </c>
      <c r="AV18">
        <v>0</v>
      </c>
      <c r="BB18">
        <v>0</v>
      </c>
      <c r="BH18">
        <v>0</v>
      </c>
      <c r="BJ18">
        <f>SUM(AR18:BH18)</f>
        <v>0</v>
      </c>
      <c r="BL18">
        <f>+A18</f>
        <v>5</v>
      </c>
      <c r="BM18">
        <f>SUM(AR18:BH18)</f>
        <v>0</v>
      </c>
    </row>
    <row r="19" spans="1:65" x14ac:dyDescent="0.25">
      <c r="A19">
        <v>6</v>
      </c>
      <c r="G19" t="s">
        <v>670</v>
      </c>
      <c r="N19">
        <f>SUM(N15:N18)</f>
        <v>0</v>
      </c>
      <c r="Q19">
        <f>SUM(Q15:Q18)</f>
        <v>0</v>
      </c>
      <c r="S19">
        <f>SUM(S15:S18)</f>
        <v>1200</v>
      </c>
      <c r="U19">
        <f>SUM(U15:U18)</f>
        <v>0</v>
      </c>
      <c r="W19">
        <f>SUM(W15:W18)</f>
        <v>33553</v>
      </c>
      <c r="Y19">
        <f>SUM(Y15:Y18)</f>
        <v>2115</v>
      </c>
      <c r="AA19">
        <f>SUM(AA15:AA18)</f>
        <v>0</v>
      </c>
      <c r="AC19">
        <f>SUM(AC15:AC18)</f>
        <v>1307</v>
      </c>
      <c r="AE19">
        <f>SUM(AE15:AE18)</f>
        <v>199</v>
      </c>
      <c r="AG19">
        <f>SUM(AG15:AG18)</f>
        <v>0</v>
      </c>
      <c r="AI19">
        <f>SUM(AI15:AI18)</f>
        <v>38374</v>
      </c>
      <c r="AK19">
        <f>A19</f>
        <v>6</v>
      </c>
      <c r="AO19">
        <f>SUM(AO15:AO18)</f>
        <v>0</v>
      </c>
      <c r="AR19">
        <f>SUM(AR15:AR18)</f>
        <v>0</v>
      </c>
      <c r="AT19">
        <f>SUM(AT15:AT18)</f>
        <v>0</v>
      </c>
      <c r="AV19">
        <f>SUM(AV15:AV18)</f>
        <v>0</v>
      </c>
      <c r="AX19">
        <f>SUM(AX15:AX18)</f>
        <v>0</v>
      </c>
      <c r="AZ19">
        <f>SUM(AZ15:AZ18)</f>
        <v>0</v>
      </c>
      <c r="BB19">
        <f>SUM(BB15:BB18)</f>
        <v>0</v>
      </c>
      <c r="BD19">
        <f>SUM(BD15:BD18)</f>
        <v>0</v>
      </c>
      <c r="BF19">
        <f>SUM(BF15:BF18)</f>
        <v>0</v>
      </c>
      <c r="BH19">
        <f>SUM(BH15:BH18)</f>
        <v>0</v>
      </c>
      <c r="BJ19">
        <f>SUM(BJ15:BJ18)</f>
        <v>0</v>
      </c>
      <c r="BL19">
        <f>+A19</f>
        <v>6</v>
      </c>
    </row>
    <row r="22" spans="1:65" x14ac:dyDescent="0.25">
      <c r="E22" t="s">
        <v>1209</v>
      </c>
    </row>
    <row r="24" spans="1:65" x14ac:dyDescent="0.25">
      <c r="A24">
        <v>7</v>
      </c>
      <c r="C24">
        <v>901</v>
      </c>
      <c r="E24" t="s">
        <v>272</v>
      </c>
      <c r="S24">
        <v>0</v>
      </c>
      <c r="U24">
        <v>0</v>
      </c>
      <c r="W24">
        <v>0</v>
      </c>
      <c r="Y24">
        <v>20</v>
      </c>
      <c r="AA24">
        <v>0</v>
      </c>
      <c r="AC24">
        <v>13</v>
      </c>
      <c r="AE24">
        <v>3</v>
      </c>
      <c r="AG24">
        <v>0</v>
      </c>
      <c r="AI24">
        <f>SUM(Q24:AG24)</f>
        <v>36</v>
      </c>
      <c r="AK24">
        <f>A24</f>
        <v>7</v>
      </c>
      <c r="AL24">
        <f>SUM(Q24:AG24)</f>
        <v>36</v>
      </c>
      <c r="AT24">
        <v>0</v>
      </c>
      <c r="AV24">
        <v>0</v>
      </c>
      <c r="AX24">
        <v>0</v>
      </c>
      <c r="BB24">
        <v>0</v>
      </c>
      <c r="BH24">
        <v>0</v>
      </c>
      <c r="BJ24">
        <f>SUM(AR24:BH24)</f>
        <v>0</v>
      </c>
      <c r="BL24">
        <f>+A24</f>
        <v>7</v>
      </c>
      <c r="BM24">
        <f>SUM(AR24:BH24)</f>
        <v>0</v>
      </c>
    </row>
    <row r="25" spans="1:65" x14ac:dyDescent="0.25">
      <c r="A25">
        <f>A24+1</f>
        <v>8</v>
      </c>
      <c r="C25">
        <v>902</v>
      </c>
      <c r="E25" t="s">
        <v>673</v>
      </c>
      <c r="S25">
        <v>0</v>
      </c>
      <c r="U25">
        <v>0</v>
      </c>
      <c r="W25">
        <v>335</v>
      </c>
      <c r="Y25">
        <v>0</v>
      </c>
      <c r="AA25">
        <v>0</v>
      </c>
      <c r="AC25">
        <v>199</v>
      </c>
      <c r="AE25">
        <v>29</v>
      </c>
      <c r="AG25">
        <v>0</v>
      </c>
      <c r="AI25">
        <f>SUM(Q25:AG25)</f>
        <v>563</v>
      </c>
      <c r="AK25">
        <f>A25</f>
        <v>8</v>
      </c>
      <c r="AL25">
        <f>SUM(Q25:AG25)</f>
        <v>563</v>
      </c>
      <c r="AT25">
        <v>0</v>
      </c>
      <c r="AV25">
        <v>0</v>
      </c>
      <c r="BB25">
        <v>0</v>
      </c>
      <c r="BH25">
        <v>0</v>
      </c>
      <c r="BJ25">
        <f>SUM(AR25:BH25)</f>
        <v>0</v>
      </c>
      <c r="BL25">
        <f>+A25</f>
        <v>8</v>
      </c>
      <c r="BM25">
        <f>SUM(AR25:BH25)</f>
        <v>0</v>
      </c>
    </row>
    <row r="26" spans="1:65" x14ac:dyDescent="0.25">
      <c r="A26">
        <v>9</v>
      </c>
      <c r="C26">
        <v>903</v>
      </c>
      <c r="E26" t="s">
        <v>674</v>
      </c>
      <c r="S26">
        <v>0</v>
      </c>
      <c r="U26">
        <v>0</v>
      </c>
      <c r="W26">
        <f>606+606+100</f>
        <v>1312</v>
      </c>
      <c r="Y26">
        <f>500+250</f>
        <v>750</v>
      </c>
      <c r="AA26">
        <v>0</v>
      </c>
      <c r="AC26">
        <f>30+80+80+131</f>
        <v>321</v>
      </c>
      <c r="AE26">
        <f>ROUND(7.5+21.5+21.5+34,0)</f>
        <v>85</v>
      </c>
      <c r="AG26">
        <v>0</v>
      </c>
      <c r="AI26">
        <f>SUM(Q26:AG26)</f>
        <v>2468</v>
      </c>
      <c r="AL26">
        <f>SUM(Q26:AG26)</f>
        <v>2468</v>
      </c>
      <c r="AT26">
        <v>0</v>
      </c>
      <c r="AV26">
        <v>0</v>
      </c>
      <c r="BB26">
        <v>0</v>
      </c>
      <c r="BH26">
        <v>0</v>
      </c>
      <c r="BJ26">
        <f>SUM(AR26:BH26)</f>
        <v>0</v>
      </c>
      <c r="BL26">
        <f>+A26</f>
        <v>9</v>
      </c>
      <c r="BM26">
        <f>SUM(AR26:BH26)</f>
        <v>0</v>
      </c>
    </row>
    <row r="27" spans="1:65" x14ac:dyDescent="0.25">
      <c r="A27">
        <v>10</v>
      </c>
      <c r="C27">
        <v>905</v>
      </c>
      <c r="E27" t="s">
        <v>675</v>
      </c>
      <c r="S27">
        <v>0</v>
      </c>
      <c r="U27">
        <v>0</v>
      </c>
      <c r="W27">
        <f>ROUND(333.635,0)</f>
        <v>334</v>
      </c>
      <c r="Y27">
        <f>ROUND(9.5,0)</f>
        <v>10</v>
      </c>
      <c r="AA27">
        <v>0</v>
      </c>
      <c r="AC27">
        <v>50</v>
      </c>
      <c r="AE27">
        <v>16</v>
      </c>
      <c r="AG27">
        <v>0</v>
      </c>
      <c r="AI27">
        <f>SUM(Q27:AG27)</f>
        <v>410</v>
      </c>
      <c r="AK27">
        <f>A27</f>
        <v>10</v>
      </c>
      <c r="AL27">
        <f>SUM(Q27:AG27)</f>
        <v>410</v>
      </c>
      <c r="AT27">
        <v>0</v>
      </c>
      <c r="AV27">
        <v>0</v>
      </c>
      <c r="BB27">
        <v>0</v>
      </c>
      <c r="BH27">
        <v>0</v>
      </c>
      <c r="BJ27">
        <f>SUM(AR27:BH27)</f>
        <v>0</v>
      </c>
      <c r="BL27">
        <f>+A27</f>
        <v>10</v>
      </c>
      <c r="BM27">
        <f>SUM(AR27:BH27)</f>
        <v>0</v>
      </c>
    </row>
    <row r="28" spans="1:65" x14ac:dyDescent="0.25">
      <c r="A28">
        <v>11</v>
      </c>
      <c r="F28" t="s">
        <v>676</v>
      </c>
      <c r="N28">
        <f>SUM(N24:N27)</f>
        <v>0</v>
      </c>
      <c r="Q28">
        <f>SUM(Q24:Q27)</f>
        <v>0</v>
      </c>
      <c r="S28">
        <f>SUM(S24:S27)</f>
        <v>0</v>
      </c>
      <c r="U28">
        <f>SUM(U24:U27)</f>
        <v>0</v>
      </c>
      <c r="W28">
        <f>SUM(W24:W27)</f>
        <v>1981</v>
      </c>
      <c r="Y28">
        <f>SUM(Y24:Y27)</f>
        <v>780</v>
      </c>
      <c r="AA28">
        <f>SUM(AA24:AA27)</f>
        <v>0</v>
      </c>
      <c r="AC28">
        <f>SUM(AC24:AC27)</f>
        <v>583</v>
      </c>
      <c r="AE28">
        <f>SUM(AE24:AE27)</f>
        <v>133</v>
      </c>
      <c r="AG28">
        <f>SUM(AG24:AG27)</f>
        <v>0</v>
      </c>
      <c r="AI28">
        <f>SUM(AI24:AI27)</f>
        <v>3477</v>
      </c>
      <c r="AK28">
        <f>A28</f>
        <v>11</v>
      </c>
      <c r="AO28">
        <f>SUM(AO24:AO27)</f>
        <v>0</v>
      </c>
      <c r="AR28">
        <f>SUM(AR24:AR27)</f>
        <v>0</v>
      </c>
      <c r="AT28">
        <f>SUM(AT24:AT27)</f>
        <v>0</v>
      </c>
      <c r="AV28">
        <f>SUM(AV24:AV27)</f>
        <v>0</v>
      </c>
      <c r="AX28">
        <f>SUM(AX24:AX27)</f>
        <v>0</v>
      </c>
      <c r="AZ28">
        <f>SUM(AZ24:AZ27)</f>
        <v>0</v>
      </c>
      <c r="BB28">
        <f>SUM(BB24:BB27)</f>
        <v>0</v>
      </c>
      <c r="BD28">
        <f>SUM(BD24:BD27)</f>
        <v>0</v>
      </c>
      <c r="BF28">
        <f>SUM(BF24:BF27)</f>
        <v>0</v>
      </c>
      <c r="BH28">
        <f>SUM(BH24:BH27)</f>
        <v>0</v>
      </c>
      <c r="BJ28">
        <f>SUM(BJ24:BJ27)</f>
        <v>0</v>
      </c>
      <c r="BL28">
        <f>+A28</f>
        <v>11</v>
      </c>
    </row>
    <row r="31" spans="1:65" x14ac:dyDescent="0.25">
      <c r="E31" t="s">
        <v>498</v>
      </c>
    </row>
    <row r="33" spans="1:65" x14ac:dyDescent="0.25">
      <c r="A33">
        <v>12</v>
      </c>
      <c r="C33">
        <v>907</v>
      </c>
      <c r="E33" t="s">
        <v>272</v>
      </c>
      <c r="S33">
        <v>0</v>
      </c>
      <c r="U33">
        <v>0</v>
      </c>
      <c r="W33">
        <v>0</v>
      </c>
      <c r="Y33">
        <v>0</v>
      </c>
      <c r="AA33">
        <v>0</v>
      </c>
      <c r="AC33">
        <v>0</v>
      </c>
      <c r="AE33">
        <v>0</v>
      </c>
      <c r="AG33">
        <v>0</v>
      </c>
      <c r="AI33">
        <f>SUM(Q33:AG33)</f>
        <v>0</v>
      </c>
      <c r="AK33">
        <f>A33</f>
        <v>12</v>
      </c>
      <c r="AT33">
        <v>0</v>
      </c>
      <c r="AV33">
        <v>0</v>
      </c>
      <c r="AX33">
        <v>0</v>
      </c>
      <c r="AZ33">
        <v>0</v>
      </c>
      <c r="BB33">
        <v>0</v>
      </c>
      <c r="BD33">
        <v>0</v>
      </c>
      <c r="BF33">
        <v>0</v>
      </c>
      <c r="BH33">
        <v>0</v>
      </c>
      <c r="BJ33">
        <f>SUM(AR33:BH33)</f>
        <v>0</v>
      </c>
      <c r="BL33">
        <f>+A33</f>
        <v>12</v>
      </c>
      <c r="BM33">
        <f>SUM(AR33:BH33)</f>
        <v>0</v>
      </c>
    </row>
    <row r="34" spans="1:65" x14ac:dyDescent="0.25">
      <c r="A34">
        <v>13</v>
      </c>
      <c r="C34">
        <v>908</v>
      </c>
      <c r="E34" t="s">
        <v>678</v>
      </c>
      <c r="S34">
        <v>0</v>
      </c>
      <c r="U34">
        <v>0</v>
      </c>
      <c r="W34">
        <f>385-1</f>
        <v>384</v>
      </c>
      <c r="Y34">
        <v>315</v>
      </c>
      <c r="AA34">
        <v>0</v>
      </c>
      <c r="AC34">
        <v>336</v>
      </c>
      <c r="AE34">
        <v>57</v>
      </c>
      <c r="AG34">
        <v>0</v>
      </c>
      <c r="AI34">
        <f>SUM(Q34:AG34)</f>
        <v>1092</v>
      </c>
      <c r="AK34">
        <f>A34</f>
        <v>13</v>
      </c>
      <c r="AL34">
        <f>SUM(Q34:AG34)</f>
        <v>1092</v>
      </c>
      <c r="AT34">
        <v>0</v>
      </c>
      <c r="AV34">
        <v>0</v>
      </c>
      <c r="BB34">
        <v>0</v>
      </c>
      <c r="BH34">
        <v>0</v>
      </c>
      <c r="BJ34">
        <f>SUM(AR34:BH34)</f>
        <v>0</v>
      </c>
      <c r="BL34">
        <f>+A34</f>
        <v>13</v>
      </c>
      <c r="BM34">
        <f>SUM(AR34:BH34)</f>
        <v>0</v>
      </c>
    </row>
    <row r="35" spans="1:65" x14ac:dyDescent="0.25">
      <c r="A35">
        <v>14</v>
      </c>
      <c r="C35">
        <v>909</v>
      </c>
      <c r="E35" t="s">
        <v>679</v>
      </c>
      <c r="P35" t="s">
        <v>84</v>
      </c>
      <c r="Q35">
        <v>0</v>
      </c>
      <c r="S35">
        <v>0</v>
      </c>
      <c r="U35">
        <v>0</v>
      </c>
      <c r="W35">
        <v>0</v>
      </c>
      <c r="Y35">
        <v>0</v>
      </c>
      <c r="AA35">
        <v>0</v>
      </c>
      <c r="AC35">
        <v>0</v>
      </c>
      <c r="AE35">
        <v>0</v>
      </c>
      <c r="AG35">
        <v>0</v>
      </c>
      <c r="AI35">
        <f>SUM(Q35:AG35)</f>
        <v>0</v>
      </c>
      <c r="AK35">
        <f>A35</f>
        <v>14</v>
      </c>
      <c r="AQ35" t="s">
        <v>84</v>
      </c>
      <c r="AR35">
        <v>0</v>
      </c>
      <c r="AT35">
        <v>0</v>
      </c>
      <c r="AV35">
        <v>0</v>
      </c>
      <c r="AX35">
        <v>0</v>
      </c>
      <c r="AZ35">
        <v>0</v>
      </c>
      <c r="BB35">
        <v>0</v>
      </c>
      <c r="BD35">
        <v>0</v>
      </c>
      <c r="BF35">
        <v>0</v>
      </c>
      <c r="BH35">
        <v>0</v>
      </c>
      <c r="BJ35">
        <f>SUM(AR35:BH35)</f>
        <v>0</v>
      </c>
      <c r="BL35">
        <f>+A35</f>
        <v>14</v>
      </c>
      <c r="BM35">
        <f>SUM(AR35:BH35)</f>
        <v>0</v>
      </c>
    </row>
    <row r="36" spans="1:65" x14ac:dyDescent="0.25">
      <c r="A36">
        <v>15</v>
      </c>
      <c r="F36" t="s">
        <v>680</v>
      </c>
      <c r="N36">
        <f>SUM(N33:N35)</f>
        <v>0</v>
      </c>
      <c r="Q36">
        <f>SUM(Q33:Q35)</f>
        <v>0</v>
      </c>
      <c r="S36">
        <f>SUM(S33:S35)</f>
        <v>0</v>
      </c>
      <c r="U36">
        <f>SUM(U33:U35)</f>
        <v>0</v>
      </c>
      <c r="W36">
        <f>SUM(W33:W35)</f>
        <v>384</v>
      </c>
      <c r="Y36">
        <f>SUM(Y33:Y35)</f>
        <v>315</v>
      </c>
      <c r="AA36">
        <f>SUM(AA33:AA35)</f>
        <v>0</v>
      </c>
      <c r="AC36">
        <f>SUM(AC33:AC35)</f>
        <v>336</v>
      </c>
      <c r="AE36">
        <f>SUM(AE33:AE35)</f>
        <v>57</v>
      </c>
      <c r="AG36">
        <f>SUM(AG33:AG35)</f>
        <v>0</v>
      </c>
      <c r="AI36">
        <f>SUM(AI33:AI35)</f>
        <v>1092</v>
      </c>
      <c r="AK36">
        <f>A36</f>
        <v>15</v>
      </c>
      <c r="AO36">
        <f>SUM(AO33:AO35)</f>
        <v>0</v>
      </c>
      <c r="AR36">
        <f>SUM(AR33:AR35)</f>
        <v>0</v>
      </c>
      <c r="AT36">
        <f>SUM(AT33:AT35)</f>
        <v>0</v>
      </c>
      <c r="AV36">
        <f>SUM(AV33:AV35)</f>
        <v>0</v>
      </c>
      <c r="AX36">
        <f>SUM(AX33:AX35)</f>
        <v>0</v>
      </c>
      <c r="AZ36">
        <f>SUM(AZ33:AZ35)</f>
        <v>0</v>
      </c>
      <c r="BB36">
        <f>SUM(BB33:BB35)</f>
        <v>0</v>
      </c>
      <c r="BD36">
        <f>SUM(BD33:BD35)</f>
        <v>0</v>
      </c>
      <c r="BF36">
        <f>SUM(BF33:BF35)</f>
        <v>0</v>
      </c>
      <c r="BH36">
        <f>SUM(BH33:BH35)</f>
        <v>0</v>
      </c>
      <c r="BJ36">
        <f>SUM(BJ33:BJ35)</f>
        <v>0</v>
      </c>
      <c r="BL36">
        <f>+A36</f>
        <v>15</v>
      </c>
    </row>
    <row r="39" spans="1:65" x14ac:dyDescent="0.25">
      <c r="E39" t="s">
        <v>1210</v>
      </c>
    </row>
    <row r="40" spans="1:65" x14ac:dyDescent="0.25">
      <c r="E40" t="s">
        <v>84</v>
      </c>
    </row>
    <row r="41" spans="1:65" x14ac:dyDescent="0.25">
      <c r="A41">
        <v>16</v>
      </c>
      <c r="C41">
        <v>920</v>
      </c>
      <c r="E41" t="s">
        <v>682</v>
      </c>
      <c r="S41">
        <v>0</v>
      </c>
      <c r="U41">
        <v>0</v>
      </c>
      <c r="W41">
        <v>0</v>
      </c>
      <c r="Y41">
        <v>0</v>
      </c>
      <c r="AA41">
        <v>0</v>
      </c>
      <c r="AC41">
        <v>0</v>
      </c>
      <c r="AE41">
        <v>0</v>
      </c>
      <c r="AG41">
        <v>0</v>
      </c>
      <c r="AI41">
        <f>SUM(Q41:AG41)</f>
        <v>0</v>
      </c>
      <c r="AK41">
        <f t="shared" ref="AK41:AK50" si="0">A41</f>
        <v>16</v>
      </c>
      <c r="AL41">
        <f>SUM(Q41:AG41)</f>
        <v>0</v>
      </c>
      <c r="AT41">
        <v>0</v>
      </c>
      <c r="AV41">
        <v>0</v>
      </c>
      <c r="AX41">
        <v>0</v>
      </c>
      <c r="BB41">
        <v>0</v>
      </c>
      <c r="BD41">
        <v>0</v>
      </c>
      <c r="BF41">
        <v>0</v>
      </c>
      <c r="BH41">
        <v>0</v>
      </c>
      <c r="BJ41">
        <f>SUM(AR41:BH41)</f>
        <v>0</v>
      </c>
      <c r="BL41">
        <f t="shared" ref="BL41:BL50" si="1">+A41</f>
        <v>16</v>
      </c>
      <c r="BM41">
        <f>SUM(AR41:BH41)</f>
        <v>0</v>
      </c>
    </row>
    <row r="42" spans="1:65" x14ac:dyDescent="0.25">
      <c r="A42">
        <v>17</v>
      </c>
      <c r="C42">
        <v>921</v>
      </c>
      <c r="E42" t="s">
        <v>683</v>
      </c>
      <c r="Q42">
        <v>0</v>
      </c>
      <c r="S42">
        <v>0</v>
      </c>
      <c r="U42">
        <v>0</v>
      </c>
      <c r="Y42">
        <v>0</v>
      </c>
      <c r="AG42">
        <v>0</v>
      </c>
      <c r="AI42">
        <f t="shared" ref="AI42:AI48" si="2">SUM(Q42:AG42)</f>
        <v>0</v>
      </c>
      <c r="AK42">
        <f t="shared" si="0"/>
        <v>17</v>
      </c>
      <c r="AL42">
        <f>SUM(Q42:AG42)</f>
        <v>0</v>
      </c>
      <c r="AR42">
        <v>0</v>
      </c>
      <c r="AT42">
        <v>0</v>
      </c>
      <c r="AV42">
        <v>0</v>
      </c>
      <c r="BH42">
        <v>0</v>
      </c>
      <c r="BJ42">
        <f t="shared" ref="BJ42:BJ48" si="3">SUM(AR42:BH42)</f>
        <v>0</v>
      </c>
      <c r="BL42">
        <f t="shared" si="1"/>
        <v>17</v>
      </c>
      <c r="BM42">
        <f>SUM(AR42:BH42)</f>
        <v>0</v>
      </c>
    </row>
    <row r="43" spans="1:65" x14ac:dyDescent="0.25">
      <c r="A43">
        <v>18</v>
      </c>
      <c r="C43">
        <v>923</v>
      </c>
      <c r="E43" t="s">
        <v>684</v>
      </c>
      <c r="Q43">
        <v>0</v>
      </c>
      <c r="S43">
        <v>0</v>
      </c>
      <c r="U43">
        <v>0</v>
      </c>
      <c r="AC43">
        <v>0</v>
      </c>
      <c r="AE43">
        <v>0</v>
      </c>
      <c r="AG43">
        <v>0</v>
      </c>
      <c r="AI43">
        <f t="shared" si="2"/>
        <v>0</v>
      </c>
      <c r="AK43">
        <f t="shared" si="0"/>
        <v>18</v>
      </c>
      <c r="AL43">
        <f t="shared" ref="AL43:AL49" si="4">SUM(Q43:AG43)</f>
        <v>0</v>
      </c>
      <c r="AR43">
        <v>0</v>
      </c>
      <c r="AT43">
        <v>0</v>
      </c>
      <c r="AV43">
        <v>0</v>
      </c>
      <c r="BD43">
        <v>0</v>
      </c>
      <c r="BH43">
        <v>0</v>
      </c>
      <c r="BJ43">
        <f t="shared" si="3"/>
        <v>0</v>
      </c>
      <c r="BL43">
        <f t="shared" si="1"/>
        <v>18</v>
      </c>
      <c r="BM43">
        <f t="shared" ref="BM43:BM49" si="5">SUM(AR43:BH43)</f>
        <v>0</v>
      </c>
    </row>
    <row r="44" spans="1:65" x14ac:dyDescent="0.25">
      <c r="A44">
        <v>19</v>
      </c>
      <c r="C44">
        <v>924</v>
      </c>
      <c r="E44" t="s">
        <v>685</v>
      </c>
      <c r="Q44">
        <v>0</v>
      </c>
      <c r="S44">
        <v>0</v>
      </c>
      <c r="W44">
        <v>0</v>
      </c>
      <c r="Y44">
        <v>0</v>
      </c>
      <c r="AA44">
        <v>0</v>
      </c>
      <c r="AC44">
        <v>0</v>
      </c>
      <c r="AE44">
        <v>0</v>
      </c>
      <c r="AG44">
        <v>0</v>
      </c>
      <c r="AI44">
        <f t="shared" si="2"/>
        <v>0</v>
      </c>
      <c r="AK44">
        <f t="shared" si="0"/>
        <v>19</v>
      </c>
      <c r="AL44">
        <f t="shared" si="4"/>
        <v>0</v>
      </c>
      <c r="AR44">
        <v>0</v>
      </c>
      <c r="AT44">
        <v>0</v>
      </c>
      <c r="AX44">
        <v>0</v>
      </c>
      <c r="BB44">
        <v>0</v>
      </c>
      <c r="BD44">
        <v>0</v>
      </c>
      <c r="BF44">
        <v>0</v>
      </c>
      <c r="BH44">
        <v>0</v>
      </c>
      <c r="BJ44">
        <f t="shared" si="3"/>
        <v>0</v>
      </c>
      <c r="BL44">
        <f t="shared" si="1"/>
        <v>19</v>
      </c>
      <c r="BM44">
        <f t="shared" si="5"/>
        <v>0</v>
      </c>
    </row>
    <row r="45" spans="1:65" x14ac:dyDescent="0.25">
      <c r="A45">
        <f>A44+1</f>
        <v>20</v>
      </c>
      <c r="C45">
        <v>925</v>
      </c>
      <c r="E45" t="s">
        <v>686</v>
      </c>
      <c r="Q45">
        <v>0</v>
      </c>
      <c r="S45">
        <v>0</v>
      </c>
      <c r="W45">
        <v>0</v>
      </c>
      <c r="Y45">
        <v>0</v>
      </c>
      <c r="AA45">
        <v>0</v>
      </c>
      <c r="AC45">
        <v>0</v>
      </c>
      <c r="AE45">
        <v>0</v>
      </c>
      <c r="AG45">
        <v>0</v>
      </c>
      <c r="AI45">
        <f t="shared" si="2"/>
        <v>0</v>
      </c>
      <c r="AK45">
        <f t="shared" si="0"/>
        <v>20</v>
      </c>
      <c r="AL45">
        <f t="shared" si="4"/>
        <v>0</v>
      </c>
      <c r="AR45">
        <v>0</v>
      </c>
      <c r="AT45">
        <v>0</v>
      </c>
      <c r="AV45">
        <v>0</v>
      </c>
      <c r="AX45">
        <v>0</v>
      </c>
      <c r="BB45">
        <v>0</v>
      </c>
      <c r="BD45">
        <v>0</v>
      </c>
      <c r="BF45">
        <v>0</v>
      </c>
      <c r="BH45">
        <v>0</v>
      </c>
      <c r="BJ45">
        <f t="shared" si="3"/>
        <v>0</v>
      </c>
      <c r="BL45">
        <f t="shared" si="1"/>
        <v>20</v>
      </c>
      <c r="BM45">
        <f t="shared" si="5"/>
        <v>0</v>
      </c>
    </row>
    <row r="46" spans="1:65" x14ac:dyDescent="0.25">
      <c r="A46">
        <f>A45+1</f>
        <v>21</v>
      </c>
      <c r="C46">
        <v>928</v>
      </c>
      <c r="E46" t="s">
        <v>687</v>
      </c>
      <c r="P46" t="s">
        <v>84</v>
      </c>
      <c r="Q46">
        <v>0</v>
      </c>
      <c r="S46">
        <v>0</v>
      </c>
      <c r="U46">
        <v>0</v>
      </c>
      <c r="W46">
        <v>0</v>
      </c>
      <c r="Y46">
        <v>0</v>
      </c>
      <c r="AC46">
        <v>0</v>
      </c>
      <c r="AE46">
        <v>0</v>
      </c>
      <c r="AG46">
        <v>0</v>
      </c>
      <c r="AI46">
        <f t="shared" si="2"/>
        <v>0</v>
      </c>
      <c r="AK46">
        <f t="shared" si="0"/>
        <v>21</v>
      </c>
      <c r="AL46">
        <f t="shared" si="4"/>
        <v>0</v>
      </c>
      <c r="AQ46" t="s">
        <v>84</v>
      </c>
      <c r="AR46">
        <v>0</v>
      </c>
      <c r="AT46">
        <v>0</v>
      </c>
      <c r="AV46">
        <v>0</v>
      </c>
      <c r="AX46">
        <v>0</v>
      </c>
      <c r="BF46">
        <v>0</v>
      </c>
      <c r="BH46">
        <v>0</v>
      </c>
      <c r="BJ46">
        <f t="shared" si="3"/>
        <v>0</v>
      </c>
      <c r="BL46">
        <f t="shared" si="1"/>
        <v>21</v>
      </c>
      <c r="BM46">
        <f t="shared" si="5"/>
        <v>0</v>
      </c>
    </row>
    <row r="47" spans="1:65" x14ac:dyDescent="0.25">
      <c r="A47">
        <f>A46+1</f>
        <v>22</v>
      </c>
      <c r="C47">
        <v>930</v>
      </c>
      <c r="E47" t="s">
        <v>688</v>
      </c>
      <c r="Q47">
        <v>0</v>
      </c>
      <c r="S47">
        <v>0</v>
      </c>
      <c r="U47">
        <v>0</v>
      </c>
      <c r="W47">
        <v>0</v>
      </c>
      <c r="Y47">
        <v>0</v>
      </c>
      <c r="AA47">
        <v>0</v>
      </c>
      <c r="AC47">
        <v>0</v>
      </c>
      <c r="AI47">
        <f t="shared" si="2"/>
        <v>0</v>
      </c>
      <c r="AK47">
        <f t="shared" si="0"/>
        <v>22</v>
      </c>
      <c r="AL47">
        <f t="shared" si="4"/>
        <v>0</v>
      </c>
      <c r="AR47">
        <v>0</v>
      </c>
      <c r="AT47">
        <v>0</v>
      </c>
      <c r="AV47">
        <v>0</v>
      </c>
      <c r="AX47">
        <v>0</v>
      </c>
      <c r="BB47">
        <v>0</v>
      </c>
      <c r="BJ47">
        <f t="shared" si="3"/>
        <v>0</v>
      </c>
      <c r="BL47">
        <f t="shared" si="1"/>
        <v>22</v>
      </c>
      <c r="BM47">
        <f t="shared" si="5"/>
        <v>0</v>
      </c>
    </row>
    <row r="48" spans="1:65" x14ac:dyDescent="0.25">
      <c r="A48">
        <f>A47+1</f>
        <v>23</v>
      </c>
      <c r="C48">
        <v>931</v>
      </c>
      <c r="E48" t="s">
        <v>336</v>
      </c>
      <c r="Q48">
        <v>0</v>
      </c>
      <c r="U48">
        <v>0</v>
      </c>
      <c r="Y48">
        <v>0</v>
      </c>
      <c r="AA48">
        <v>0</v>
      </c>
      <c r="AC48">
        <v>0</v>
      </c>
      <c r="AE48">
        <v>0</v>
      </c>
      <c r="AG48">
        <v>0</v>
      </c>
      <c r="AI48">
        <f t="shared" si="2"/>
        <v>0</v>
      </c>
      <c r="AK48">
        <f t="shared" si="0"/>
        <v>23</v>
      </c>
      <c r="AL48">
        <f t="shared" si="4"/>
        <v>0</v>
      </c>
      <c r="AR48">
        <v>0</v>
      </c>
      <c r="AV48">
        <v>0</v>
      </c>
      <c r="BB48">
        <v>0</v>
      </c>
      <c r="BD48">
        <v>0</v>
      </c>
      <c r="BF48">
        <v>0</v>
      </c>
      <c r="BH48">
        <v>0</v>
      </c>
      <c r="BJ48">
        <f t="shared" si="3"/>
        <v>0</v>
      </c>
      <c r="BL48">
        <f t="shared" si="1"/>
        <v>23</v>
      </c>
      <c r="BM48">
        <f t="shared" si="5"/>
        <v>0</v>
      </c>
    </row>
    <row r="49" spans="1:65" x14ac:dyDescent="0.25">
      <c r="A49">
        <v>26</v>
      </c>
      <c r="C49">
        <v>935</v>
      </c>
      <c r="E49" t="s">
        <v>690</v>
      </c>
      <c r="Q49">
        <v>0</v>
      </c>
      <c r="U49">
        <v>0</v>
      </c>
      <c r="Y49">
        <v>0</v>
      </c>
      <c r="AA49">
        <v>0</v>
      </c>
      <c r="AC49">
        <v>0</v>
      </c>
      <c r="AE49">
        <v>0</v>
      </c>
      <c r="AG49">
        <v>0</v>
      </c>
      <c r="AI49">
        <f>SUM(Q49:AG49)</f>
        <v>0</v>
      </c>
      <c r="AK49">
        <f t="shared" si="0"/>
        <v>26</v>
      </c>
      <c r="AL49">
        <f t="shared" si="4"/>
        <v>0</v>
      </c>
      <c r="AR49">
        <v>0</v>
      </c>
      <c r="AV49">
        <v>0</v>
      </c>
      <c r="BB49">
        <v>0</v>
      </c>
      <c r="BD49">
        <v>0</v>
      </c>
      <c r="BH49">
        <v>0</v>
      </c>
      <c r="BJ49">
        <f>SUM(AR49:BH49)</f>
        <v>0</v>
      </c>
      <c r="BL49">
        <f t="shared" si="1"/>
        <v>26</v>
      </c>
      <c r="BM49">
        <f t="shared" si="5"/>
        <v>0</v>
      </c>
    </row>
    <row r="50" spans="1:65" x14ac:dyDescent="0.25">
      <c r="A50">
        <v>28</v>
      </c>
      <c r="G50" t="s">
        <v>691</v>
      </c>
      <c r="N50">
        <f>SUM(N41:N49)</f>
        <v>0</v>
      </c>
      <c r="Q50">
        <f>SUM(Q41:Q49)</f>
        <v>0</v>
      </c>
      <c r="S50">
        <f>SUM(S41:S49)</f>
        <v>0</v>
      </c>
      <c r="U50">
        <f>SUM(U41:U49)</f>
        <v>0</v>
      </c>
      <c r="W50">
        <f>SUM(W41:W49)</f>
        <v>0</v>
      </c>
      <c r="Y50">
        <f>SUM(Y41:Y49)</f>
        <v>0</v>
      </c>
      <c r="AA50">
        <f>SUM(AA41:AA49)</f>
        <v>0</v>
      </c>
      <c r="AC50">
        <f>SUM(AC41:AC49)</f>
        <v>0</v>
      </c>
      <c r="AE50">
        <f>SUM(AE41:AE49)</f>
        <v>0</v>
      </c>
      <c r="AG50">
        <f>SUM(AG41:AG49)</f>
        <v>0</v>
      </c>
      <c r="AI50">
        <f>SUM(AI41:AI49)</f>
        <v>0</v>
      </c>
      <c r="AK50">
        <f t="shared" si="0"/>
        <v>28</v>
      </c>
      <c r="AO50">
        <f>SUM(AO41:AO49)</f>
        <v>0</v>
      </c>
      <c r="AR50">
        <f>SUM(AR41:AR49)</f>
        <v>0</v>
      </c>
      <c r="AT50">
        <f>SUM(AT41:AT49)</f>
        <v>0</v>
      </c>
      <c r="AV50">
        <f>SUM(AV41:AV49)</f>
        <v>0</v>
      </c>
      <c r="AX50">
        <f>SUM(AX41:AX49)</f>
        <v>0</v>
      </c>
      <c r="AZ50">
        <f>SUM(AZ41:AZ49)</f>
        <v>0</v>
      </c>
      <c r="BB50">
        <f>SUM(BB41:BB49)</f>
        <v>0</v>
      </c>
      <c r="BD50">
        <f>SUM(BD41:BD49)</f>
        <v>0</v>
      </c>
      <c r="BF50">
        <f>SUM(BF41:BF49)</f>
        <v>0</v>
      </c>
      <c r="BH50">
        <f>SUM(BH41:BH49)</f>
        <v>0</v>
      </c>
      <c r="BJ50">
        <f>SUM(BJ41:BJ49)</f>
        <v>0</v>
      </c>
      <c r="BL50">
        <f t="shared" si="1"/>
        <v>28</v>
      </c>
    </row>
    <row r="53" spans="1:65" x14ac:dyDescent="0.25">
      <c r="P53" t="s">
        <v>84</v>
      </c>
      <c r="Q53" t="s">
        <v>84</v>
      </c>
      <c r="AQ53" t="s">
        <v>84</v>
      </c>
      <c r="AR53" t="s">
        <v>84</v>
      </c>
    </row>
    <row r="54" spans="1:65" x14ac:dyDescent="0.25">
      <c r="A54">
        <v>29</v>
      </c>
      <c r="G54" t="s">
        <v>692</v>
      </c>
      <c r="N54">
        <f>N19+N28+N36+N50</f>
        <v>0</v>
      </c>
      <c r="Q54">
        <f>Q19+Q28+Q36+Q50</f>
        <v>0</v>
      </c>
      <c r="S54">
        <f>S19+S28+S36+S50</f>
        <v>1200</v>
      </c>
      <c r="U54">
        <f>U19+U28+U36+U50</f>
        <v>0</v>
      </c>
      <c r="W54">
        <f>W19+W28+W36+W50</f>
        <v>35918</v>
      </c>
      <c r="Y54">
        <f>Y19+Y28+Y36+Y50</f>
        <v>3210</v>
      </c>
      <c r="AA54">
        <f>AA19+AA28+AA36+AA50</f>
        <v>0</v>
      </c>
      <c r="AC54">
        <f>AC19+AC28+AC36+AC50</f>
        <v>2226</v>
      </c>
      <c r="AE54">
        <f>AE19+AE28+AE36+AE50</f>
        <v>389</v>
      </c>
      <c r="AG54">
        <f>AG19+AG28+AG36+AG50</f>
        <v>0</v>
      </c>
      <c r="AI54">
        <f>AI19+AI28+AI36+AI50</f>
        <v>42943</v>
      </c>
      <c r="AK54">
        <f>A54</f>
        <v>29</v>
      </c>
      <c r="AL54">
        <f>SUM(AL15:AL53)</f>
        <v>42943</v>
      </c>
      <c r="AM54">
        <f>SUM(Q54:AG54)</f>
        <v>42943</v>
      </c>
      <c r="AO54">
        <f>AO19+AO28+AO36+AO50</f>
        <v>0</v>
      </c>
      <c r="AR54">
        <f>AR19+AR28+AR36+AR50</f>
        <v>0</v>
      </c>
      <c r="AT54">
        <f>AT19+AT28+AT36+AT50</f>
        <v>0</v>
      </c>
      <c r="AV54">
        <f>AV19+AV28+AV36+AV50</f>
        <v>0</v>
      </c>
      <c r="AX54">
        <f>AX19+AX28+AX36+AX50</f>
        <v>0</v>
      </c>
      <c r="AZ54">
        <f>AZ19+AZ28+AZ36+AZ50</f>
        <v>0</v>
      </c>
      <c r="BB54">
        <f>BB19+BB28+BB36+BB50</f>
        <v>0</v>
      </c>
      <c r="BD54">
        <f>BD19+BD28+BD36+BD50</f>
        <v>0</v>
      </c>
      <c r="BF54">
        <f>BF19+BF28+BF36+BF50</f>
        <v>0</v>
      </c>
      <c r="BH54">
        <f>BH19+BH28+BH36+BH50</f>
        <v>0</v>
      </c>
      <c r="BJ54">
        <f>BJ19+BJ28+BJ36+BJ50</f>
        <v>0</v>
      </c>
      <c r="BM54">
        <f>SUM(BM15:BM53)</f>
        <v>0</v>
      </c>
    </row>
    <row r="55" spans="1:65" x14ac:dyDescent="0.25">
      <c r="W55" t="s">
        <v>84</v>
      </c>
      <c r="AX55" t="s">
        <v>84</v>
      </c>
    </row>
    <row r="56" spans="1:65" x14ac:dyDescent="0.25">
      <c r="Q56">
        <v>38412</v>
      </c>
      <c r="S56">
        <v>6165</v>
      </c>
      <c r="U56">
        <v>768</v>
      </c>
      <c r="W56">
        <v>46460</v>
      </c>
      <c r="Y56">
        <v>9533</v>
      </c>
      <c r="AA56">
        <v>5030</v>
      </c>
      <c r="AC56">
        <v>3455</v>
      </c>
      <c r="AE56">
        <v>1739</v>
      </c>
      <c r="AG56">
        <v>1500</v>
      </c>
      <c r="AO56" t="s">
        <v>666</v>
      </c>
      <c r="AR56">
        <v>54779</v>
      </c>
      <c r="AT56">
        <v>10946</v>
      </c>
      <c r="AV56">
        <v>899</v>
      </c>
      <c r="AX56">
        <v>46479</v>
      </c>
      <c r="AZ56">
        <v>6868</v>
      </c>
      <c r="BB56">
        <v>6200</v>
      </c>
      <c r="BD56">
        <v>4508</v>
      </c>
      <c r="BF56">
        <v>2538</v>
      </c>
      <c r="BH56">
        <v>0</v>
      </c>
      <c r="BJ56">
        <f>SUM(AR56:BH56)</f>
        <v>133217</v>
      </c>
    </row>
    <row r="57" spans="1:65" x14ac:dyDescent="0.25">
      <c r="A57" t="s">
        <v>84</v>
      </c>
    </row>
    <row r="58" spans="1:65" x14ac:dyDescent="0.25">
      <c r="Q58">
        <f>+Q54-Q56</f>
        <v>-38412</v>
      </c>
      <c r="R58">
        <f t="shared" ref="R58:AG58" si="6">+R54-R56</f>
        <v>0</v>
      </c>
      <c r="S58">
        <f t="shared" si="6"/>
        <v>-4965</v>
      </c>
      <c r="T58">
        <f t="shared" si="6"/>
        <v>0</v>
      </c>
      <c r="U58">
        <f t="shared" si="6"/>
        <v>-768</v>
      </c>
      <c r="V58">
        <f t="shared" si="6"/>
        <v>0</v>
      </c>
      <c r="W58">
        <f t="shared" si="6"/>
        <v>-10542</v>
      </c>
      <c r="X58">
        <f t="shared" si="6"/>
        <v>0</v>
      </c>
      <c r="Y58">
        <f t="shared" si="6"/>
        <v>-6323</v>
      </c>
      <c r="Z58">
        <f t="shared" si="6"/>
        <v>0</v>
      </c>
      <c r="AA58">
        <f t="shared" si="6"/>
        <v>-5030</v>
      </c>
      <c r="AB58">
        <f t="shared" si="6"/>
        <v>0</v>
      </c>
      <c r="AC58">
        <f t="shared" si="6"/>
        <v>-1229</v>
      </c>
      <c r="AD58">
        <f t="shared" si="6"/>
        <v>0</v>
      </c>
      <c r="AE58">
        <f t="shared" si="6"/>
        <v>-1350</v>
      </c>
      <c r="AF58">
        <f t="shared" si="6"/>
        <v>0</v>
      </c>
      <c r="AG58">
        <f t="shared" si="6"/>
        <v>-1500</v>
      </c>
      <c r="AR58">
        <f>+AR54-AR56</f>
        <v>-54779</v>
      </c>
      <c r="AT58">
        <f t="shared" ref="AT58:BH58" si="7">+AT54-AT56</f>
        <v>-10946</v>
      </c>
      <c r="AV58">
        <f t="shared" si="7"/>
        <v>-899</v>
      </c>
      <c r="AW58">
        <f t="shared" si="7"/>
        <v>0</v>
      </c>
      <c r="AX58">
        <f t="shared" si="7"/>
        <v>-46479</v>
      </c>
      <c r="AY58">
        <f t="shared" si="7"/>
        <v>0</v>
      </c>
      <c r="AZ58">
        <f t="shared" si="7"/>
        <v>-6868</v>
      </c>
      <c r="BA58">
        <f t="shared" si="7"/>
        <v>0</v>
      </c>
      <c r="BB58">
        <f t="shared" si="7"/>
        <v>-6200</v>
      </c>
      <c r="BC58">
        <f t="shared" si="7"/>
        <v>0</v>
      </c>
      <c r="BD58">
        <f t="shared" si="7"/>
        <v>-4508</v>
      </c>
      <c r="BF58">
        <f t="shared" si="7"/>
        <v>-2538</v>
      </c>
      <c r="BG58">
        <f t="shared" si="7"/>
        <v>0</v>
      </c>
      <c r="BH58">
        <f t="shared" si="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8FE1-68F2-470F-B105-A1F3C495AC67}">
  <dimension ref="A1:T74"/>
  <sheetViews>
    <sheetView workbookViewId="0"/>
  </sheetViews>
  <sheetFormatPr defaultRowHeight="15" x14ac:dyDescent="0.25"/>
  <sheetData>
    <row r="1" spans="1:20" x14ac:dyDescent="0.25">
      <c r="A1" t="s">
        <v>343</v>
      </c>
    </row>
    <row r="2" spans="1:20" x14ac:dyDescent="0.25">
      <c r="A2" t="s">
        <v>344</v>
      </c>
    </row>
    <row r="3" spans="1:20" x14ac:dyDescent="0.25">
      <c r="A3" t="s">
        <v>394</v>
      </c>
    </row>
    <row r="4" spans="1:20" x14ac:dyDescent="0.25">
      <c r="L4" t="s">
        <v>347</v>
      </c>
      <c r="M4" t="s">
        <v>395</v>
      </c>
      <c r="N4" t="s">
        <v>396</v>
      </c>
      <c r="O4" t="s">
        <v>405</v>
      </c>
      <c r="P4" t="s">
        <v>406</v>
      </c>
      <c r="Q4" t="s">
        <v>407</v>
      </c>
      <c r="R4" t="s">
        <v>408</v>
      </c>
      <c r="S4" t="s">
        <v>84</v>
      </c>
      <c r="T4" t="s">
        <v>84</v>
      </c>
    </row>
    <row r="5" spans="1:20" x14ac:dyDescent="0.25">
      <c r="H5" t="s">
        <v>399</v>
      </c>
      <c r="J5" t="s">
        <v>399</v>
      </c>
      <c r="K5" t="s">
        <v>84</v>
      </c>
      <c r="L5" t="s">
        <v>352</v>
      </c>
      <c r="N5" t="s">
        <v>409</v>
      </c>
    </row>
    <row r="6" spans="1:20" x14ac:dyDescent="0.25">
      <c r="H6">
        <v>1999</v>
      </c>
      <c r="J6">
        <v>2000</v>
      </c>
    </row>
    <row r="8" spans="1:20" x14ac:dyDescent="0.25">
      <c r="A8" t="s">
        <v>353</v>
      </c>
    </row>
    <row r="10" spans="1:20" x14ac:dyDescent="0.25">
      <c r="A10" t="s">
        <v>354</v>
      </c>
      <c r="G10" t="s">
        <v>355</v>
      </c>
      <c r="H10">
        <v>132528</v>
      </c>
      <c r="I10">
        <f>+S10</f>
        <v>-132528</v>
      </c>
      <c r="J10">
        <f>+H10+I10</f>
        <v>0</v>
      </c>
      <c r="M10">
        <f>-H10+L10</f>
        <v>-132528</v>
      </c>
      <c r="S10">
        <f>SUM(M10:R10)</f>
        <v>-132528</v>
      </c>
    </row>
    <row r="11" spans="1:20" x14ac:dyDescent="0.25">
      <c r="H11" t="s">
        <v>84</v>
      </c>
      <c r="J11" t="s">
        <v>84</v>
      </c>
    </row>
    <row r="12" spans="1:20" x14ac:dyDescent="0.25">
      <c r="A12" t="s">
        <v>356</v>
      </c>
      <c r="H12">
        <v>20334</v>
      </c>
      <c r="I12">
        <f>+S12</f>
        <v>152528</v>
      </c>
      <c r="J12">
        <f>+H12+I12</f>
        <v>172862</v>
      </c>
      <c r="M12">
        <f>+M33-M10+10000+10000</f>
        <v>152528</v>
      </c>
      <c r="S12">
        <f>SUM(M12:R12)</f>
        <v>152528</v>
      </c>
    </row>
    <row r="13" spans="1:20" x14ac:dyDescent="0.25">
      <c r="H13">
        <v>0</v>
      </c>
      <c r="J13">
        <f>+H13+I13</f>
        <v>0</v>
      </c>
    </row>
    <row r="14" spans="1:20" x14ac:dyDescent="0.25">
      <c r="A14" t="s">
        <v>357</v>
      </c>
      <c r="H14" t="s">
        <v>84</v>
      </c>
      <c r="J14" t="s">
        <v>84</v>
      </c>
    </row>
    <row r="15" spans="1:20" x14ac:dyDescent="0.25">
      <c r="B15" t="s">
        <v>358</v>
      </c>
      <c r="H15" t="s">
        <v>84</v>
      </c>
      <c r="J15" t="s">
        <v>84</v>
      </c>
    </row>
    <row r="16" spans="1:20" x14ac:dyDescent="0.25">
      <c r="C16" t="s">
        <v>359</v>
      </c>
      <c r="H16">
        <v>28265</v>
      </c>
      <c r="I16">
        <f>+S16</f>
        <v>11268</v>
      </c>
      <c r="J16">
        <f>+H16+I16</f>
        <v>39533</v>
      </c>
      <c r="L16" t="s">
        <v>84</v>
      </c>
      <c r="M16">
        <v>-10000</v>
      </c>
      <c r="P16">
        <f>+P33</f>
        <v>0</v>
      </c>
      <c r="Q16">
        <f>-Q17</f>
        <v>-26312</v>
      </c>
      <c r="R16">
        <f>40435+181287-42000-(133217-1075)</f>
        <v>47580</v>
      </c>
      <c r="S16">
        <f>SUM(M16:R16)</f>
        <v>11268</v>
      </c>
    </row>
    <row r="17" spans="1:19" x14ac:dyDescent="0.25">
      <c r="C17" t="s">
        <v>360</v>
      </c>
      <c r="H17">
        <v>17154</v>
      </c>
      <c r="I17">
        <f>+S17</f>
        <v>-9288</v>
      </c>
      <c r="J17">
        <f>+H17+I17</f>
        <v>7866</v>
      </c>
      <c r="L17" t="s">
        <v>84</v>
      </c>
      <c r="M17">
        <v>-10000</v>
      </c>
      <c r="N17">
        <v>-25600</v>
      </c>
      <c r="Q17">
        <v>26312</v>
      </c>
      <c r="R17" t="s">
        <v>84</v>
      </c>
      <c r="S17">
        <f>SUM(M17:R17)</f>
        <v>-9288</v>
      </c>
    </row>
    <row r="18" spans="1:19" x14ac:dyDescent="0.25">
      <c r="B18" t="s">
        <v>361</v>
      </c>
      <c r="H18">
        <v>40435</v>
      </c>
      <c r="I18">
        <f>+S18</f>
        <v>0</v>
      </c>
      <c r="J18">
        <f>+H18+I18</f>
        <v>40435</v>
      </c>
      <c r="L18" t="s">
        <v>84</v>
      </c>
      <c r="M18" t="s">
        <v>84</v>
      </c>
      <c r="S18">
        <f>SUM(M18:R18)</f>
        <v>0</v>
      </c>
    </row>
    <row r="19" spans="1:19" x14ac:dyDescent="0.25">
      <c r="B19" t="s">
        <v>362</v>
      </c>
      <c r="H19">
        <v>0</v>
      </c>
      <c r="I19">
        <f>+S19</f>
        <v>0</v>
      </c>
      <c r="J19">
        <f>+H19+I19</f>
        <v>0</v>
      </c>
      <c r="L19" t="s">
        <v>84</v>
      </c>
    </row>
    <row r="20" spans="1:19" x14ac:dyDescent="0.25">
      <c r="B20" t="s">
        <v>70</v>
      </c>
      <c r="H20">
        <v>3202</v>
      </c>
      <c r="I20">
        <f>+O20</f>
        <v>-1067</v>
      </c>
      <c r="J20">
        <f>+H20+I20</f>
        <v>2135</v>
      </c>
      <c r="L20">
        <v>2135</v>
      </c>
      <c r="O20">
        <f>+L20-H20</f>
        <v>-1067</v>
      </c>
      <c r="R20" t="s">
        <v>84</v>
      </c>
    </row>
    <row r="21" spans="1:19" x14ac:dyDescent="0.25">
      <c r="C21" t="s">
        <v>363</v>
      </c>
      <c r="H21">
        <v>89056</v>
      </c>
      <c r="J21">
        <f>SUM(J16:J20)</f>
        <v>89969</v>
      </c>
      <c r="L21" t="s">
        <v>84</v>
      </c>
    </row>
    <row r="22" spans="1:19" x14ac:dyDescent="0.25">
      <c r="L22" t="s">
        <v>84</v>
      </c>
    </row>
    <row r="23" spans="1:19" x14ac:dyDescent="0.25">
      <c r="A23" t="s">
        <v>364</v>
      </c>
      <c r="L23" t="s">
        <v>84</v>
      </c>
    </row>
    <row r="24" spans="1:19" x14ac:dyDescent="0.25">
      <c r="B24" t="s">
        <v>365</v>
      </c>
      <c r="H24">
        <v>1328</v>
      </c>
      <c r="I24">
        <f>+S24</f>
        <v>-260</v>
      </c>
      <c r="J24">
        <f>+H24+I24</f>
        <v>1068</v>
      </c>
      <c r="L24">
        <v>1068</v>
      </c>
      <c r="N24">
        <f>-H24+L24</f>
        <v>-260</v>
      </c>
      <c r="S24">
        <f>SUM(M24:R24)</f>
        <v>-260</v>
      </c>
    </row>
    <row r="25" spans="1:19" x14ac:dyDescent="0.25">
      <c r="B25" t="s">
        <v>350</v>
      </c>
      <c r="H25">
        <v>232</v>
      </c>
      <c r="I25">
        <f>+S25</f>
        <v>0</v>
      </c>
      <c r="J25">
        <f>+H25</f>
        <v>232</v>
      </c>
      <c r="S25">
        <f>SUM(M25:R25)</f>
        <v>0</v>
      </c>
    </row>
    <row r="26" spans="1:19" x14ac:dyDescent="0.25">
      <c r="C26" t="s">
        <v>366</v>
      </c>
      <c r="H26">
        <v>1560</v>
      </c>
      <c r="J26">
        <f>+J24+J25</f>
        <v>1300</v>
      </c>
      <c r="L26" t="s">
        <v>84</v>
      </c>
    </row>
    <row r="27" spans="1:19" x14ac:dyDescent="0.25">
      <c r="L27" t="s">
        <v>84</v>
      </c>
    </row>
    <row r="28" spans="1:19" x14ac:dyDescent="0.25">
      <c r="D28" t="s">
        <v>367</v>
      </c>
      <c r="G28" t="s">
        <v>355</v>
      </c>
      <c r="H28">
        <f>+H10+H12+H21+H26</f>
        <v>243478</v>
      </c>
      <c r="I28">
        <f>SUM(I10:I27)</f>
        <v>20653</v>
      </c>
      <c r="J28">
        <f>+J10+J12+J21+J26</f>
        <v>264131</v>
      </c>
      <c r="M28">
        <f>SUM(M9:M27)</f>
        <v>0</v>
      </c>
      <c r="N28">
        <f t="shared" ref="N28:S28" si="0">SUM(N9:N27)</f>
        <v>-25860</v>
      </c>
      <c r="O28">
        <f t="shared" si="0"/>
        <v>-1067</v>
      </c>
      <c r="P28">
        <f t="shared" si="0"/>
        <v>0</v>
      </c>
      <c r="Q28">
        <f t="shared" si="0"/>
        <v>0</v>
      </c>
      <c r="R28">
        <f t="shared" si="0"/>
        <v>47580</v>
      </c>
      <c r="S28">
        <f t="shared" si="0"/>
        <v>21720</v>
      </c>
    </row>
    <row r="30" spans="1:19" x14ac:dyDescent="0.25">
      <c r="A30" t="s">
        <v>368</v>
      </c>
    </row>
    <row r="32" spans="1:19" x14ac:dyDescent="0.25">
      <c r="A32" t="s">
        <v>369</v>
      </c>
    </row>
    <row r="33" spans="1:19" x14ac:dyDescent="0.25">
      <c r="B33" t="s">
        <v>370</v>
      </c>
      <c r="G33" t="s">
        <v>355</v>
      </c>
      <c r="H33">
        <v>-53947</v>
      </c>
      <c r="I33">
        <f>+S33</f>
        <v>-1327</v>
      </c>
      <c r="J33">
        <f>+H33+I33</f>
        <v>-55274</v>
      </c>
      <c r="L33" t="s">
        <v>84</v>
      </c>
      <c r="N33">
        <v>-260</v>
      </c>
      <c r="O33">
        <f>+O20</f>
        <v>-1067</v>
      </c>
      <c r="S33">
        <f>SUM(M33:R33)</f>
        <v>-1327</v>
      </c>
    </row>
    <row r="34" spans="1:19" x14ac:dyDescent="0.25">
      <c r="B34" t="s">
        <v>371</v>
      </c>
      <c r="H34">
        <v>0</v>
      </c>
      <c r="I34">
        <f>+S34</f>
        <v>0</v>
      </c>
      <c r="J34">
        <f>+H34+I34</f>
        <v>0</v>
      </c>
      <c r="L34" t="s">
        <v>84</v>
      </c>
      <c r="M34" t="s">
        <v>84</v>
      </c>
      <c r="R34" t="s">
        <v>84</v>
      </c>
      <c r="S34">
        <f>SUM(M34:R34)</f>
        <v>0</v>
      </c>
    </row>
    <row r="35" spans="1:19" x14ac:dyDescent="0.25">
      <c r="B35" t="s">
        <v>400</v>
      </c>
      <c r="H35">
        <v>255700</v>
      </c>
      <c r="I35">
        <f>+S35</f>
        <v>-27000</v>
      </c>
      <c r="J35">
        <f>+H35+I35</f>
        <v>228700</v>
      </c>
      <c r="L35">
        <v>0</v>
      </c>
      <c r="M35">
        <f>-M39</f>
        <v>-1400</v>
      </c>
      <c r="N35">
        <f>+N17</f>
        <v>-25600</v>
      </c>
      <c r="R35">
        <v>0</v>
      </c>
      <c r="S35">
        <f>SUM(M35:R35)</f>
        <v>-27000</v>
      </c>
    </row>
    <row r="36" spans="1:19" x14ac:dyDescent="0.25">
      <c r="D36" t="s">
        <v>373</v>
      </c>
      <c r="H36">
        <f>SUM(H33:H35)</f>
        <v>201753</v>
      </c>
      <c r="J36">
        <f>SUM(J33:J35)</f>
        <v>173426</v>
      </c>
    </row>
    <row r="38" spans="1:19" x14ac:dyDescent="0.25">
      <c r="A38" t="s">
        <v>374</v>
      </c>
    </row>
    <row r="39" spans="1:19" x14ac:dyDescent="0.25">
      <c r="B39" t="s">
        <v>378</v>
      </c>
      <c r="H39">
        <v>26800</v>
      </c>
      <c r="I39">
        <f>+S39</f>
        <v>1400</v>
      </c>
      <c r="J39">
        <f>+H39+I39</f>
        <v>28200</v>
      </c>
      <c r="L39">
        <v>28200</v>
      </c>
      <c r="M39">
        <f>+L39-H39</f>
        <v>1400</v>
      </c>
      <c r="S39">
        <f>SUM(M39:R39)</f>
        <v>1400</v>
      </c>
    </row>
    <row r="40" spans="1:19" x14ac:dyDescent="0.25">
      <c r="B40" t="s">
        <v>375</v>
      </c>
      <c r="H40">
        <v>14925</v>
      </c>
      <c r="I40">
        <f>+S40</f>
        <v>1075</v>
      </c>
      <c r="J40">
        <f>+H40+I40</f>
        <v>16000</v>
      </c>
      <c r="L40" t="s">
        <v>84</v>
      </c>
      <c r="M40" t="s">
        <v>84</v>
      </c>
      <c r="R40">
        <f>133217-133217-14925+16000</f>
        <v>1075</v>
      </c>
      <c r="S40">
        <f>SUM(M40:R40)</f>
        <v>1075</v>
      </c>
    </row>
    <row r="41" spans="1:19" x14ac:dyDescent="0.25">
      <c r="B41" t="s">
        <v>376</v>
      </c>
    </row>
    <row r="42" spans="1:19" x14ac:dyDescent="0.25">
      <c r="B42" t="s">
        <v>362</v>
      </c>
    </row>
    <row r="43" spans="1:19" x14ac:dyDescent="0.25">
      <c r="B43" t="s">
        <v>377</v>
      </c>
    </row>
    <row r="44" spans="1:19" x14ac:dyDescent="0.25">
      <c r="B44" t="s">
        <v>378</v>
      </c>
    </row>
    <row r="45" spans="1:19" x14ac:dyDescent="0.25">
      <c r="B45" t="s">
        <v>350</v>
      </c>
    </row>
    <row r="46" spans="1:19" x14ac:dyDescent="0.25">
      <c r="C46" t="s">
        <v>379</v>
      </c>
      <c r="H46">
        <f>SUM(H39:H45)</f>
        <v>41725</v>
      </c>
      <c r="J46">
        <f>+J39+J40</f>
        <v>44200</v>
      </c>
    </row>
    <row r="48" spans="1:19" x14ac:dyDescent="0.25">
      <c r="A48" t="s">
        <v>380</v>
      </c>
    </row>
    <row r="49" spans="1:20" x14ac:dyDescent="0.25">
      <c r="A49" t="s">
        <v>84</v>
      </c>
      <c r="B49" t="s">
        <v>381</v>
      </c>
    </row>
    <row r="50" spans="1:20" x14ac:dyDescent="0.25">
      <c r="B50" t="s">
        <v>350</v>
      </c>
    </row>
    <row r="51" spans="1:20" x14ac:dyDescent="0.25">
      <c r="C51" t="s">
        <v>382</v>
      </c>
    </row>
    <row r="52" spans="1:20" x14ac:dyDescent="0.25">
      <c r="D52" t="s">
        <v>383</v>
      </c>
      <c r="H52">
        <f>+H46+H51</f>
        <v>41725</v>
      </c>
      <c r="I52" t="s">
        <v>84</v>
      </c>
      <c r="J52">
        <f>+J46+J51</f>
        <v>44200</v>
      </c>
    </row>
    <row r="54" spans="1:20" x14ac:dyDescent="0.25">
      <c r="D54" t="s">
        <v>384</v>
      </c>
      <c r="G54" t="s">
        <v>355</v>
      </c>
      <c r="H54">
        <f>+H36+H52</f>
        <v>243478</v>
      </c>
      <c r="I54">
        <f>SUM(I33:I52)</f>
        <v>-25852</v>
      </c>
      <c r="J54">
        <f>+J36+J52</f>
        <v>217626</v>
      </c>
      <c r="M54">
        <f>SUM(M33:M53)</f>
        <v>0</v>
      </c>
      <c r="N54">
        <f t="shared" ref="N54:S54" si="1">SUM(N33:N53)</f>
        <v>-25860</v>
      </c>
      <c r="O54">
        <f t="shared" si="1"/>
        <v>-1067</v>
      </c>
      <c r="P54">
        <f t="shared" si="1"/>
        <v>0</v>
      </c>
      <c r="Q54">
        <f t="shared" si="1"/>
        <v>0</v>
      </c>
      <c r="R54">
        <f t="shared" si="1"/>
        <v>1075</v>
      </c>
      <c r="S54">
        <f t="shared" si="1"/>
        <v>-25852</v>
      </c>
    </row>
    <row r="56" spans="1:20" x14ac:dyDescent="0.25">
      <c r="J56">
        <f>+J28-J54</f>
        <v>46505</v>
      </c>
      <c r="R56">
        <f>+R28-R54</f>
        <v>46505</v>
      </c>
    </row>
    <row r="57" spans="1:20" x14ac:dyDescent="0.25">
      <c r="A57" t="s">
        <v>385</v>
      </c>
    </row>
    <row r="58" spans="1:20" x14ac:dyDescent="0.25">
      <c r="B58" t="s">
        <v>386</v>
      </c>
      <c r="L58" t="s">
        <v>84</v>
      </c>
      <c r="M58" t="s">
        <v>84</v>
      </c>
      <c r="R58" t="str">
        <f>+M58</f>
        <v xml:space="preserve"> </v>
      </c>
      <c r="T58" t="s">
        <v>84</v>
      </c>
    </row>
    <row r="59" spans="1:20" x14ac:dyDescent="0.25">
      <c r="B59" t="s">
        <v>84</v>
      </c>
      <c r="L59" t="s">
        <v>84</v>
      </c>
    </row>
    <row r="60" spans="1:20" x14ac:dyDescent="0.25">
      <c r="R60">
        <f>SUM(R6:R58)</f>
        <v>143815</v>
      </c>
    </row>
    <row r="68" spans="1:8" x14ac:dyDescent="0.25">
      <c r="A68" t="s">
        <v>401</v>
      </c>
      <c r="H68" t="s">
        <v>402</v>
      </c>
    </row>
    <row r="70" spans="1:8" x14ac:dyDescent="0.25">
      <c r="C70" t="s">
        <v>403</v>
      </c>
      <c r="H70" t="e">
        <f>+#REF!/#REF!</f>
        <v>#REF!</v>
      </c>
    </row>
    <row r="72" spans="1:8" x14ac:dyDescent="0.25">
      <c r="C72" t="s">
        <v>404</v>
      </c>
      <c r="H72" t="e">
        <f>+#REF!</f>
        <v>#REF!</v>
      </c>
    </row>
    <row r="74" spans="1:8" x14ac:dyDescent="0.25">
      <c r="H74" t="e">
        <f>+H70+H72</f>
        <v>#REF!</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5C15D-7F6C-414A-A13B-A7636F11E6B5}">
  <dimension ref="A1:L969"/>
  <sheetViews>
    <sheetView workbookViewId="0"/>
  </sheetViews>
  <sheetFormatPr defaultRowHeight="15" x14ac:dyDescent="0.25"/>
  <sheetData>
    <row r="1" spans="1:12" x14ac:dyDescent="0.25">
      <c r="A1" t="s">
        <v>1211</v>
      </c>
      <c r="B1" t="s">
        <v>1212</v>
      </c>
      <c r="C1" t="s">
        <v>1213</v>
      </c>
      <c r="D1" t="s">
        <v>1214</v>
      </c>
      <c r="E1" t="s">
        <v>1215</v>
      </c>
      <c r="F1" t="s">
        <v>1216</v>
      </c>
      <c r="G1" t="s">
        <v>1217</v>
      </c>
      <c r="H1" t="s">
        <v>1218</v>
      </c>
    </row>
    <row r="2" spans="1:12" x14ac:dyDescent="0.25">
      <c r="A2" t="s">
        <v>1219</v>
      </c>
      <c r="B2">
        <v>1111</v>
      </c>
      <c r="C2" t="s">
        <v>1220</v>
      </c>
      <c r="D2">
        <v>113</v>
      </c>
      <c r="E2" t="s">
        <v>1001</v>
      </c>
      <c r="F2" t="s">
        <v>1221</v>
      </c>
      <c r="G2">
        <v>0</v>
      </c>
      <c r="H2" t="s">
        <v>1222</v>
      </c>
      <c r="I2">
        <f>MAX(G2:G965)</f>
        <v>29681004</v>
      </c>
      <c r="L2">
        <v>113.1</v>
      </c>
    </row>
    <row r="3" spans="1:12" x14ac:dyDescent="0.25">
      <c r="A3" t="s">
        <v>1219</v>
      </c>
      <c r="B3">
        <v>1211</v>
      </c>
      <c r="C3" t="s">
        <v>1220</v>
      </c>
      <c r="D3">
        <v>113</v>
      </c>
      <c r="E3" t="s">
        <v>1001</v>
      </c>
      <c r="F3" t="s">
        <v>1221</v>
      </c>
      <c r="G3">
        <v>3786.06</v>
      </c>
      <c r="H3" t="s">
        <v>1222</v>
      </c>
      <c r="L3">
        <v>113.1</v>
      </c>
    </row>
    <row r="4" spans="1:12" x14ac:dyDescent="0.25">
      <c r="A4" t="s">
        <v>1219</v>
      </c>
      <c r="B4">
        <v>1231</v>
      </c>
      <c r="C4" t="s">
        <v>1220</v>
      </c>
      <c r="D4">
        <v>113</v>
      </c>
      <c r="E4" t="s">
        <v>1001</v>
      </c>
      <c r="F4" t="s">
        <v>1221</v>
      </c>
      <c r="G4">
        <v>5048.08</v>
      </c>
      <c r="H4" t="s">
        <v>1222</v>
      </c>
      <c r="L4">
        <v>113.1</v>
      </c>
    </row>
    <row r="5" spans="1:12" x14ac:dyDescent="0.25">
      <c r="A5" t="s">
        <v>1219</v>
      </c>
      <c r="B5">
        <v>1211</v>
      </c>
      <c r="C5" t="s">
        <v>1220</v>
      </c>
      <c r="D5">
        <v>114</v>
      </c>
      <c r="E5" t="s">
        <v>1001</v>
      </c>
      <c r="F5" t="s">
        <v>1223</v>
      </c>
      <c r="G5">
        <v>0</v>
      </c>
      <c r="L5">
        <v>114.1</v>
      </c>
    </row>
    <row r="6" spans="1:12" x14ac:dyDescent="0.25">
      <c r="A6" t="s">
        <v>1219</v>
      </c>
      <c r="B6">
        <v>1231</v>
      </c>
      <c r="C6" t="s">
        <v>1220</v>
      </c>
      <c r="D6">
        <v>114</v>
      </c>
      <c r="E6" t="s">
        <v>1001</v>
      </c>
      <c r="F6" t="s">
        <v>1223</v>
      </c>
      <c r="G6">
        <v>0</v>
      </c>
      <c r="L6">
        <v>114.1</v>
      </c>
    </row>
    <row r="7" spans="1:12" x14ac:dyDescent="0.25">
      <c r="A7" t="s">
        <v>1219</v>
      </c>
      <c r="B7">
        <v>1111</v>
      </c>
      <c r="C7" t="s">
        <v>1220</v>
      </c>
      <c r="D7">
        <v>115</v>
      </c>
      <c r="E7" t="s">
        <v>1001</v>
      </c>
      <c r="F7" t="s">
        <v>1224</v>
      </c>
      <c r="G7">
        <v>305547.84000000003</v>
      </c>
      <c r="H7" t="s">
        <v>682</v>
      </c>
      <c r="L7">
        <v>115.1</v>
      </c>
    </row>
    <row r="8" spans="1:12" x14ac:dyDescent="0.25">
      <c r="A8" t="s">
        <v>1219</v>
      </c>
      <c r="B8">
        <v>1211</v>
      </c>
      <c r="C8" t="s">
        <v>1220</v>
      </c>
      <c r="D8">
        <v>115</v>
      </c>
      <c r="E8" t="s">
        <v>1001</v>
      </c>
      <c r="F8" t="s">
        <v>1224</v>
      </c>
      <c r="G8">
        <v>128790.44</v>
      </c>
      <c r="H8" t="s">
        <v>682</v>
      </c>
      <c r="L8">
        <v>115.1</v>
      </c>
    </row>
    <row r="9" spans="1:12" x14ac:dyDescent="0.25">
      <c r="A9" t="s">
        <v>1219</v>
      </c>
      <c r="B9">
        <v>1221</v>
      </c>
      <c r="C9" t="s">
        <v>1220</v>
      </c>
      <c r="D9">
        <v>115</v>
      </c>
      <c r="E9" t="s">
        <v>1001</v>
      </c>
      <c r="F9" t="s">
        <v>1224</v>
      </c>
      <c r="G9">
        <v>38354.76</v>
      </c>
      <c r="H9" t="s">
        <v>682</v>
      </c>
      <c r="L9">
        <v>115.1</v>
      </c>
    </row>
    <row r="10" spans="1:12" x14ac:dyDescent="0.25">
      <c r="A10" t="s">
        <v>1219</v>
      </c>
      <c r="B10">
        <v>1231</v>
      </c>
      <c r="C10" t="s">
        <v>1220</v>
      </c>
      <c r="D10">
        <v>115</v>
      </c>
      <c r="E10" t="s">
        <v>1001</v>
      </c>
      <c r="F10" t="s">
        <v>1224</v>
      </c>
      <c r="G10">
        <v>25236.799999999999</v>
      </c>
      <c r="H10" t="s">
        <v>682</v>
      </c>
      <c r="L10">
        <v>115.1</v>
      </c>
    </row>
    <row r="11" spans="1:12" x14ac:dyDescent="0.25">
      <c r="A11" t="s">
        <v>1219</v>
      </c>
      <c r="B11">
        <v>1111</v>
      </c>
      <c r="C11" t="s">
        <v>1220</v>
      </c>
      <c r="D11">
        <v>116</v>
      </c>
      <c r="E11" t="s">
        <v>1001</v>
      </c>
      <c r="F11" t="s">
        <v>1225</v>
      </c>
      <c r="G11">
        <v>0</v>
      </c>
      <c r="H11" t="s">
        <v>682</v>
      </c>
      <c r="L11">
        <v>116.1</v>
      </c>
    </row>
    <row r="12" spans="1:12" x14ac:dyDescent="0.25">
      <c r="A12" t="s">
        <v>1219</v>
      </c>
      <c r="B12">
        <v>1211</v>
      </c>
      <c r="C12" t="s">
        <v>1220</v>
      </c>
      <c r="D12">
        <v>116</v>
      </c>
      <c r="E12" t="s">
        <v>1001</v>
      </c>
      <c r="F12" t="s">
        <v>1225</v>
      </c>
      <c r="G12">
        <v>1138112</v>
      </c>
      <c r="H12" t="s">
        <v>682</v>
      </c>
      <c r="L12">
        <v>116.1</v>
      </c>
    </row>
    <row r="13" spans="1:12" x14ac:dyDescent="0.25">
      <c r="A13" t="s">
        <v>1219</v>
      </c>
      <c r="B13">
        <v>1111</v>
      </c>
      <c r="C13" t="s">
        <v>1220</v>
      </c>
      <c r="D13">
        <v>117</v>
      </c>
      <c r="E13" t="s">
        <v>1001</v>
      </c>
      <c r="F13" t="s">
        <v>1226</v>
      </c>
      <c r="G13">
        <v>0</v>
      </c>
      <c r="H13" t="s">
        <v>682</v>
      </c>
      <c r="L13">
        <v>117.1</v>
      </c>
    </row>
    <row r="14" spans="1:12" x14ac:dyDescent="0.25">
      <c r="A14" t="s">
        <v>1219</v>
      </c>
      <c r="B14">
        <v>1111</v>
      </c>
      <c r="C14" t="s">
        <v>1220</v>
      </c>
      <c r="D14">
        <v>118</v>
      </c>
      <c r="E14" t="s">
        <v>1001</v>
      </c>
      <c r="F14" t="s">
        <v>1227</v>
      </c>
      <c r="G14">
        <v>0</v>
      </c>
      <c r="H14" t="s">
        <v>682</v>
      </c>
      <c r="L14">
        <v>118.1</v>
      </c>
    </row>
    <row r="15" spans="1:12" x14ac:dyDescent="0.25">
      <c r="A15" t="s">
        <v>1219</v>
      </c>
      <c r="B15">
        <v>1111</v>
      </c>
      <c r="C15" t="s">
        <v>1220</v>
      </c>
      <c r="D15">
        <v>119</v>
      </c>
      <c r="E15" t="s">
        <v>1001</v>
      </c>
      <c r="F15" t="s">
        <v>1228</v>
      </c>
      <c r="G15">
        <v>0</v>
      </c>
      <c r="L15">
        <v>119.1</v>
      </c>
    </row>
    <row r="16" spans="1:12" x14ac:dyDescent="0.25">
      <c r="A16" t="s">
        <v>1219</v>
      </c>
      <c r="B16">
        <v>1111</v>
      </c>
      <c r="C16" t="s">
        <v>1220</v>
      </c>
      <c r="D16">
        <v>130</v>
      </c>
      <c r="E16" t="s">
        <v>1001</v>
      </c>
      <c r="F16" t="s">
        <v>1229</v>
      </c>
      <c r="G16">
        <v>464939.37567000726</v>
      </c>
      <c r="H16" t="s">
        <v>682</v>
      </c>
      <c r="L16">
        <v>130.1</v>
      </c>
    </row>
    <row r="17" spans="1:12" x14ac:dyDescent="0.25">
      <c r="A17" t="s">
        <v>1219</v>
      </c>
      <c r="B17">
        <v>1211</v>
      </c>
      <c r="C17" t="s">
        <v>1220</v>
      </c>
      <c r="D17">
        <v>130</v>
      </c>
      <c r="E17" t="s">
        <v>1001</v>
      </c>
      <c r="F17" t="s">
        <v>1229</v>
      </c>
      <c r="G17">
        <v>728253.14875884727</v>
      </c>
      <c r="H17" t="s">
        <v>682</v>
      </c>
      <c r="L17">
        <v>130.1</v>
      </c>
    </row>
    <row r="18" spans="1:12" x14ac:dyDescent="0.25">
      <c r="A18" t="s">
        <v>1219</v>
      </c>
      <c r="B18">
        <v>1221</v>
      </c>
      <c r="C18" t="s">
        <v>1220</v>
      </c>
      <c r="D18">
        <v>130</v>
      </c>
      <c r="E18" t="s">
        <v>1001</v>
      </c>
      <c r="F18" t="s">
        <v>1229</v>
      </c>
      <c r="G18">
        <v>408594.54955736361</v>
      </c>
      <c r="H18" t="s">
        <v>682</v>
      </c>
      <c r="L18">
        <v>130.1</v>
      </c>
    </row>
    <row r="19" spans="1:12" x14ac:dyDescent="0.25">
      <c r="A19" t="s">
        <v>1219</v>
      </c>
      <c r="B19">
        <v>1231</v>
      </c>
      <c r="C19" t="s">
        <v>1220</v>
      </c>
      <c r="D19">
        <v>130</v>
      </c>
      <c r="E19" t="s">
        <v>1001</v>
      </c>
      <c r="F19" t="s">
        <v>1229</v>
      </c>
      <c r="G19">
        <v>213254.38686045547</v>
      </c>
      <c r="H19" t="s">
        <v>682</v>
      </c>
      <c r="L19">
        <v>130.1</v>
      </c>
    </row>
    <row r="20" spans="1:12" x14ac:dyDescent="0.25">
      <c r="A20" t="s">
        <v>1230</v>
      </c>
      <c r="B20">
        <v>1211</v>
      </c>
      <c r="C20" t="s">
        <v>1220</v>
      </c>
      <c r="D20">
        <v>510</v>
      </c>
      <c r="E20" t="s">
        <v>1008</v>
      </c>
      <c r="F20" t="s">
        <v>1231</v>
      </c>
      <c r="G20">
        <v>2524</v>
      </c>
      <c r="H20" t="s">
        <v>683</v>
      </c>
      <c r="L20">
        <v>510.1</v>
      </c>
    </row>
    <row r="21" spans="1:12" x14ac:dyDescent="0.25">
      <c r="A21" t="s">
        <v>1230</v>
      </c>
      <c r="B21">
        <v>1221</v>
      </c>
      <c r="C21" t="s">
        <v>1220</v>
      </c>
      <c r="D21">
        <v>510</v>
      </c>
      <c r="E21" t="s">
        <v>1008</v>
      </c>
      <c r="F21" t="s">
        <v>1231</v>
      </c>
      <c r="G21">
        <v>996</v>
      </c>
      <c r="H21" t="s">
        <v>683</v>
      </c>
      <c r="L21">
        <v>510.1</v>
      </c>
    </row>
    <row r="22" spans="1:12" x14ac:dyDescent="0.25">
      <c r="A22" t="s">
        <v>1230</v>
      </c>
      <c r="B22">
        <v>1231</v>
      </c>
      <c r="C22" t="s">
        <v>1220</v>
      </c>
      <c r="D22">
        <v>510</v>
      </c>
      <c r="E22" t="s">
        <v>1008</v>
      </c>
      <c r="F22" t="s">
        <v>1231</v>
      </c>
      <c r="G22">
        <v>1500</v>
      </c>
      <c r="H22" t="s">
        <v>683</v>
      </c>
      <c r="L22">
        <v>510.1</v>
      </c>
    </row>
    <row r="23" spans="1:12" x14ac:dyDescent="0.25">
      <c r="A23" t="s">
        <v>1230</v>
      </c>
      <c r="B23">
        <v>1111</v>
      </c>
      <c r="C23" t="s">
        <v>1220</v>
      </c>
      <c r="D23">
        <v>520</v>
      </c>
      <c r="E23" t="s">
        <v>1008</v>
      </c>
      <c r="F23" t="s">
        <v>1232</v>
      </c>
      <c r="G23">
        <v>0</v>
      </c>
      <c r="H23" t="s">
        <v>683</v>
      </c>
      <c r="L23">
        <v>520.1</v>
      </c>
    </row>
    <row r="24" spans="1:12" x14ac:dyDescent="0.25">
      <c r="A24" t="s">
        <v>1230</v>
      </c>
      <c r="B24">
        <v>1211</v>
      </c>
      <c r="C24" t="s">
        <v>1220</v>
      </c>
      <c r="D24">
        <v>520</v>
      </c>
      <c r="E24" t="s">
        <v>1008</v>
      </c>
      <c r="F24" t="s">
        <v>1232</v>
      </c>
      <c r="G24">
        <v>78996</v>
      </c>
      <c r="H24" t="s">
        <v>683</v>
      </c>
      <c r="L24">
        <v>520.1</v>
      </c>
    </row>
    <row r="25" spans="1:12" x14ac:dyDescent="0.25">
      <c r="A25" t="s">
        <v>1230</v>
      </c>
      <c r="B25">
        <v>1221</v>
      </c>
      <c r="C25" t="s">
        <v>1220</v>
      </c>
      <c r="D25">
        <v>520</v>
      </c>
      <c r="E25" t="s">
        <v>1008</v>
      </c>
      <c r="F25" t="s">
        <v>1232</v>
      </c>
      <c r="G25">
        <v>12000</v>
      </c>
      <c r="H25" t="s">
        <v>683</v>
      </c>
      <c r="L25">
        <v>520.1</v>
      </c>
    </row>
    <row r="26" spans="1:12" x14ac:dyDescent="0.25">
      <c r="A26" t="s">
        <v>1230</v>
      </c>
      <c r="B26">
        <v>1231</v>
      </c>
      <c r="C26" t="s">
        <v>1220</v>
      </c>
      <c r="D26">
        <v>520</v>
      </c>
      <c r="E26" t="s">
        <v>1008</v>
      </c>
      <c r="F26" t="s">
        <v>1232</v>
      </c>
      <c r="G26">
        <v>15000</v>
      </c>
      <c r="H26" t="s">
        <v>683</v>
      </c>
      <c r="L26">
        <v>520.1</v>
      </c>
    </row>
    <row r="27" spans="1:12" x14ac:dyDescent="0.25">
      <c r="A27" t="s">
        <v>1230</v>
      </c>
      <c r="B27">
        <v>1211</v>
      </c>
      <c r="C27" t="s">
        <v>1220</v>
      </c>
      <c r="D27">
        <v>540</v>
      </c>
      <c r="E27" t="s">
        <v>1008</v>
      </c>
      <c r="F27" t="s">
        <v>1233</v>
      </c>
      <c r="G27">
        <v>17004</v>
      </c>
      <c r="H27" t="s">
        <v>683</v>
      </c>
      <c r="L27">
        <v>540.1</v>
      </c>
    </row>
    <row r="28" spans="1:12" x14ac:dyDescent="0.25">
      <c r="A28" t="s">
        <v>1230</v>
      </c>
      <c r="B28">
        <v>1221</v>
      </c>
      <c r="C28" t="s">
        <v>1220</v>
      </c>
      <c r="D28">
        <v>540</v>
      </c>
      <c r="E28" t="s">
        <v>1008</v>
      </c>
      <c r="F28" t="s">
        <v>1233</v>
      </c>
      <c r="G28">
        <v>20004</v>
      </c>
      <c r="H28" t="s">
        <v>683</v>
      </c>
      <c r="L28">
        <v>540.1</v>
      </c>
    </row>
    <row r="29" spans="1:12" x14ac:dyDescent="0.25">
      <c r="A29" t="s">
        <v>1230</v>
      </c>
      <c r="B29">
        <v>1231</v>
      </c>
      <c r="C29" t="s">
        <v>1220</v>
      </c>
      <c r="D29">
        <v>540</v>
      </c>
      <c r="E29" t="s">
        <v>1008</v>
      </c>
      <c r="F29" t="s">
        <v>1233</v>
      </c>
      <c r="G29">
        <v>15000</v>
      </c>
      <c r="H29" t="s">
        <v>683</v>
      </c>
      <c r="L29">
        <v>540.1</v>
      </c>
    </row>
    <row r="30" spans="1:12" x14ac:dyDescent="0.25">
      <c r="A30" t="s">
        <v>1230</v>
      </c>
      <c r="B30">
        <v>1211</v>
      </c>
      <c r="C30" t="s">
        <v>1220</v>
      </c>
      <c r="D30">
        <v>550</v>
      </c>
      <c r="E30" t="s">
        <v>1008</v>
      </c>
      <c r="F30" t="s">
        <v>1234</v>
      </c>
      <c r="G30">
        <v>3996</v>
      </c>
      <c r="H30" t="s">
        <v>683</v>
      </c>
      <c r="L30">
        <v>550.1</v>
      </c>
    </row>
    <row r="31" spans="1:12" x14ac:dyDescent="0.25">
      <c r="A31" t="s">
        <v>1230</v>
      </c>
      <c r="B31">
        <v>1111</v>
      </c>
      <c r="C31" t="s">
        <v>1220</v>
      </c>
      <c r="D31">
        <v>560</v>
      </c>
      <c r="E31" t="s">
        <v>1008</v>
      </c>
      <c r="F31" t="s">
        <v>1235</v>
      </c>
      <c r="G31">
        <v>0</v>
      </c>
      <c r="H31" t="s">
        <v>683</v>
      </c>
      <c r="L31">
        <v>560.1</v>
      </c>
    </row>
    <row r="32" spans="1:12" x14ac:dyDescent="0.25">
      <c r="A32" t="s">
        <v>1230</v>
      </c>
      <c r="B32">
        <v>1211</v>
      </c>
      <c r="C32" t="s">
        <v>1220</v>
      </c>
      <c r="D32">
        <v>560</v>
      </c>
      <c r="E32" t="s">
        <v>1008</v>
      </c>
      <c r="F32" t="s">
        <v>1235</v>
      </c>
      <c r="G32">
        <v>0</v>
      </c>
      <c r="H32" t="s">
        <v>683</v>
      </c>
      <c r="L32">
        <v>560.1</v>
      </c>
    </row>
    <row r="33" spans="1:12" x14ac:dyDescent="0.25">
      <c r="A33" t="s">
        <v>1230</v>
      </c>
      <c r="B33">
        <v>1221</v>
      </c>
      <c r="C33" t="s">
        <v>1220</v>
      </c>
      <c r="D33">
        <v>560</v>
      </c>
      <c r="E33" t="s">
        <v>1008</v>
      </c>
      <c r="F33" t="s">
        <v>1235</v>
      </c>
      <c r="G33">
        <v>0</v>
      </c>
      <c r="H33" t="s">
        <v>683</v>
      </c>
      <c r="L33">
        <v>560.1</v>
      </c>
    </row>
    <row r="34" spans="1:12" x14ac:dyDescent="0.25">
      <c r="A34" t="s">
        <v>1230</v>
      </c>
      <c r="B34">
        <v>1231</v>
      </c>
      <c r="C34" t="s">
        <v>1220</v>
      </c>
      <c r="D34">
        <v>560</v>
      </c>
      <c r="E34" t="s">
        <v>1008</v>
      </c>
      <c r="F34" t="s">
        <v>1235</v>
      </c>
      <c r="G34">
        <v>0</v>
      </c>
      <c r="H34" t="s">
        <v>683</v>
      </c>
      <c r="L34">
        <v>560.1</v>
      </c>
    </row>
    <row r="35" spans="1:12" x14ac:dyDescent="0.25">
      <c r="A35" t="s">
        <v>1230</v>
      </c>
      <c r="B35">
        <v>1111</v>
      </c>
      <c r="C35" t="s">
        <v>1220</v>
      </c>
      <c r="D35">
        <v>580</v>
      </c>
      <c r="E35" t="s">
        <v>1008</v>
      </c>
      <c r="F35" t="s">
        <v>1236</v>
      </c>
      <c r="G35">
        <v>0</v>
      </c>
      <c r="H35" t="s">
        <v>683</v>
      </c>
      <c r="L35">
        <v>580.1</v>
      </c>
    </row>
    <row r="36" spans="1:12" x14ac:dyDescent="0.25">
      <c r="A36" t="s">
        <v>1230</v>
      </c>
      <c r="B36">
        <v>1211</v>
      </c>
      <c r="C36" t="s">
        <v>1220</v>
      </c>
      <c r="D36">
        <v>580</v>
      </c>
      <c r="E36" t="s">
        <v>1008</v>
      </c>
      <c r="F36" t="s">
        <v>1236</v>
      </c>
      <c r="G36">
        <v>9996</v>
      </c>
      <c r="H36" t="s">
        <v>683</v>
      </c>
      <c r="L36">
        <v>580.1</v>
      </c>
    </row>
    <row r="37" spans="1:12" x14ac:dyDescent="0.25">
      <c r="A37" t="s">
        <v>1230</v>
      </c>
      <c r="B37">
        <v>1221</v>
      </c>
      <c r="C37" t="s">
        <v>1220</v>
      </c>
      <c r="D37">
        <v>580</v>
      </c>
      <c r="E37" t="s">
        <v>1008</v>
      </c>
      <c r="F37" t="s">
        <v>1236</v>
      </c>
      <c r="G37">
        <v>1200</v>
      </c>
      <c r="H37" t="s">
        <v>683</v>
      </c>
      <c r="L37">
        <v>580.1</v>
      </c>
    </row>
    <row r="38" spans="1:12" x14ac:dyDescent="0.25">
      <c r="A38" t="s">
        <v>1230</v>
      </c>
      <c r="B38">
        <v>1231</v>
      </c>
      <c r="C38" t="s">
        <v>1220</v>
      </c>
      <c r="D38">
        <v>580</v>
      </c>
      <c r="E38" t="s">
        <v>1008</v>
      </c>
      <c r="F38" t="s">
        <v>1236</v>
      </c>
      <c r="G38">
        <v>1200</v>
      </c>
      <c r="H38" t="s">
        <v>683</v>
      </c>
      <c r="L38">
        <v>580.1</v>
      </c>
    </row>
    <row r="39" spans="1:12" x14ac:dyDescent="0.25">
      <c r="A39" t="s">
        <v>1230</v>
      </c>
      <c r="B39">
        <v>1111</v>
      </c>
      <c r="C39" t="s">
        <v>1220</v>
      </c>
      <c r="D39">
        <v>610</v>
      </c>
      <c r="E39" t="s">
        <v>1010</v>
      </c>
      <c r="F39" t="s">
        <v>1237</v>
      </c>
      <c r="G39">
        <v>0</v>
      </c>
      <c r="H39" t="s">
        <v>683</v>
      </c>
      <c r="L39">
        <v>610.1</v>
      </c>
    </row>
    <row r="40" spans="1:12" x14ac:dyDescent="0.25">
      <c r="A40" t="s">
        <v>1230</v>
      </c>
      <c r="B40">
        <v>1211</v>
      </c>
      <c r="C40" t="s">
        <v>1220</v>
      </c>
      <c r="D40">
        <v>610</v>
      </c>
      <c r="E40" t="s">
        <v>1010</v>
      </c>
      <c r="F40" t="s">
        <v>1237</v>
      </c>
      <c r="G40">
        <v>22008</v>
      </c>
      <c r="H40" t="s">
        <v>683</v>
      </c>
      <c r="L40">
        <v>610.1</v>
      </c>
    </row>
    <row r="41" spans="1:12" x14ac:dyDescent="0.25">
      <c r="A41" t="s">
        <v>1230</v>
      </c>
      <c r="B41">
        <v>1221</v>
      </c>
      <c r="C41" t="s">
        <v>1220</v>
      </c>
      <c r="D41">
        <v>610</v>
      </c>
      <c r="E41" t="s">
        <v>1010</v>
      </c>
      <c r="F41" t="s">
        <v>1237</v>
      </c>
      <c r="G41">
        <v>24996</v>
      </c>
      <c r="H41" t="s">
        <v>683</v>
      </c>
      <c r="L41">
        <v>610.1</v>
      </c>
    </row>
    <row r="42" spans="1:12" x14ac:dyDescent="0.25">
      <c r="A42" t="s">
        <v>1230</v>
      </c>
      <c r="B42">
        <v>1231</v>
      </c>
      <c r="C42" t="s">
        <v>1220</v>
      </c>
      <c r="D42">
        <v>610</v>
      </c>
      <c r="E42" t="s">
        <v>1010</v>
      </c>
      <c r="F42" t="s">
        <v>1237</v>
      </c>
      <c r="G42">
        <v>24996</v>
      </c>
      <c r="H42" t="s">
        <v>683</v>
      </c>
      <c r="L42">
        <v>610.1</v>
      </c>
    </row>
    <row r="43" spans="1:12" x14ac:dyDescent="0.25">
      <c r="A43" t="s">
        <v>1230</v>
      </c>
      <c r="B43">
        <v>1111</v>
      </c>
      <c r="C43" t="s">
        <v>1220</v>
      </c>
      <c r="D43">
        <v>615</v>
      </c>
      <c r="E43" t="s">
        <v>1010</v>
      </c>
      <c r="F43" t="s">
        <v>1238</v>
      </c>
      <c r="G43">
        <v>0</v>
      </c>
      <c r="H43" t="s">
        <v>683</v>
      </c>
      <c r="L43">
        <v>615.1</v>
      </c>
    </row>
    <row r="44" spans="1:12" x14ac:dyDescent="0.25">
      <c r="A44" t="s">
        <v>1230</v>
      </c>
      <c r="B44">
        <v>1211</v>
      </c>
      <c r="C44" t="s">
        <v>1220</v>
      </c>
      <c r="D44">
        <v>615</v>
      </c>
      <c r="E44" t="s">
        <v>1010</v>
      </c>
      <c r="F44" t="s">
        <v>1238</v>
      </c>
      <c r="G44">
        <v>0</v>
      </c>
      <c r="H44" t="s">
        <v>683</v>
      </c>
      <c r="L44">
        <v>615.1</v>
      </c>
    </row>
    <row r="45" spans="1:12" x14ac:dyDescent="0.25">
      <c r="A45" t="s">
        <v>1230</v>
      </c>
      <c r="B45">
        <v>1221</v>
      </c>
      <c r="C45" t="s">
        <v>1220</v>
      </c>
      <c r="D45">
        <v>615</v>
      </c>
      <c r="E45" t="s">
        <v>1010</v>
      </c>
      <c r="F45" t="s">
        <v>1238</v>
      </c>
      <c r="G45">
        <v>0</v>
      </c>
      <c r="H45" t="s">
        <v>683</v>
      </c>
      <c r="L45">
        <v>615.1</v>
      </c>
    </row>
    <row r="46" spans="1:12" x14ac:dyDescent="0.25">
      <c r="A46" t="s">
        <v>1230</v>
      </c>
      <c r="B46">
        <v>1231</v>
      </c>
      <c r="C46" t="s">
        <v>1220</v>
      </c>
      <c r="D46">
        <v>615</v>
      </c>
      <c r="E46" t="s">
        <v>1010</v>
      </c>
      <c r="F46" t="s">
        <v>1238</v>
      </c>
      <c r="G46">
        <v>0</v>
      </c>
      <c r="H46" t="s">
        <v>683</v>
      </c>
      <c r="L46">
        <v>615.1</v>
      </c>
    </row>
    <row r="47" spans="1:12" x14ac:dyDescent="0.25">
      <c r="A47" t="s">
        <v>1230</v>
      </c>
      <c r="B47">
        <v>1111</v>
      </c>
      <c r="C47" t="s">
        <v>1220</v>
      </c>
      <c r="D47">
        <v>620</v>
      </c>
      <c r="E47" t="s">
        <v>1010</v>
      </c>
      <c r="F47" t="s">
        <v>1239</v>
      </c>
      <c r="G47">
        <v>0</v>
      </c>
      <c r="H47" t="s">
        <v>683</v>
      </c>
      <c r="L47">
        <v>620.1</v>
      </c>
    </row>
    <row r="48" spans="1:12" x14ac:dyDescent="0.25">
      <c r="A48" t="s">
        <v>1230</v>
      </c>
      <c r="B48">
        <v>1211</v>
      </c>
      <c r="C48" t="s">
        <v>1220</v>
      </c>
      <c r="D48">
        <v>620</v>
      </c>
      <c r="E48" t="s">
        <v>1010</v>
      </c>
      <c r="F48" t="s">
        <v>1239</v>
      </c>
      <c r="G48">
        <v>3335</v>
      </c>
      <c r="H48" t="s">
        <v>683</v>
      </c>
      <c r="L48">
        <v>620.1</v>
      </c>
    </row>
    <row r="49" spans="1:12" x14ac:dyDescent="0.25">
      <c r="A49" t="s">
        <v>1230</v>
      </c>
      <c r="B49">
        <v>1221</v>
      </c>
      <c r="C49" t="s">
        <v>1220</v>
      </c>
      <c r="D49">
        <v>620</v>
      </c>
      <c r="E49" t="s">
        <v>1010</v>
      </c>
      <c r="F49" t="s">
        <v>1239</v>
      </c>
      <c r="G49">
        <v>996</v>
      </c>
      <c r="H49" t="s">
        <v>683</v>
      </c>
      <c r="L49">
        <v>620.1</v>
      </c>
    </row>
    <row r="50" spans="1:12" x14ac:dyDescent="0.25">
      <c r="A50" t="s">
        <v>1230</v>
      </c>
      <c r="B50">
        <v>1231</v>
      </c>
      <c r="C50" t="s">
        <v>1220</v>
      </c>
      <c r="D50">
        <v>620</v>
      </c>
      <c r="E50" t="s">
        <v>1010</v>
      </c>
      <c r="F50" t="s">
        <v>1239</v>
      </c>
      <c r="G50">
        <v>996</v>
      </c>
      <c r="H50" t="s">
        <v>683</v>
      </c>
      <c r="L50">
        <v>620.1</v>
      </c>
    </row>
    <row r="51" spans="1:12" x14ac:dyDescent="0.25">
      <c r="A51" t="s">
        <v>1230</v>
      </c>
      <c r="B51">
        <v>1111</v>
      </c>
      <c r="C51" t="s">
        <v>1220</v>
      </c>
      <c r="D51">
        <v>655</v>
      </c>
      <c r="E51" t="s">
        <v>1010</v>
      </c>
      <c r="F51" t="s">
        <v>1240</v>
      </c>
      <c r="G51">
        <v>0</v>
      </c>
      <c r="H51" t="s">
        <v>683</v>
      </c>
      <c r="L51">
        <v>655.1</v>
      </c>
    </row>
    <row r="52" spans="1:12" x14ac:dyDescent="0.25">
      <c r="A52" t="s">
        <v>1230</v>
      </c>
      <c r="B52">
        <v>1211</v>
      </c>
      <c r="C52" t="s">
        <v>1220</v>
      </c>
      <c r="D52">
        <v>655</v>
      </c>
      <c r="E52" t="s">
        <v>1010</v>
      </c>
      <c r="F52" t="s">
        <v>1240</v>
      </c>
      <c r="G52">
        <v>2004</v>
      </c>
      <c r="H52" t="s">
        <v>683</v>
      </c>
      <c r="L52">
        <v>655.1</v>
      </c>
    </row>
    <row r="53" spans="1:12" x14ac:dyDescent="0.25">
      <c r="A53" t="s">
        <v>1230</v>
      </c>
      <c r="B53">
        <v>1221</v>
      </c>
      <c r="C53" t="s">
        <v>1220</v>
      </c>
      <c r="D53">
        <v>655</v>
      </c>
      <c r="E53" t="s">
        <v>1010</v>
      </c>
      <c r="F53" t="s">
        <v>1240</v>
      </c>
      <c r="G53">
        <v>2496</v>
      </c>
      <c r="H53" t="s">
        <v>683</v>
      </c>
      <c r="L53">
        <v>655.1</v>
      </c>
    </row>
    <row r="54" spans="1:12" x14ac:dyDescent="0.25">
      <c r="A54" t="s">
        <v>1230</v>
      </c>
      <c r="B54">
        <v>1231</v>
      </c>
      <c r="C54" t="s">
        <v>1220</v>
      </c>
      <c r="D54">
        <v>655</v>
      </c>
      <c r="E54" t="s">
        <v>1010</v>
      </c>
      <c r="F54" t="s">
        <v>1240</v>
      </c>
      <c r="G54">
        <v>2496</v>
      </c>
      <c r="H54" t="s">
        <v>683</v>
      </c>
      <c r="L54">
        <v>655.1</v>
      </c>
    </row>
    <row r="55" spans="1:12" x14ac:dyDescent="0.25">
      <c r="A55" t="s">
        <v>1230</v>
      </c>
      <c r="B55">
        <v>1211</v>
      </c>
      <c r="C55" t="s">
        <v>1220</v>
      </c>
      <c r="D55">
        <v>665</v>
      </c>
      <c r="E55" t="s">
        <v>1010</v>
      </c>
      <c r="F55" t="s">
        <v>1241</v>
      </c>
      <c r="G55">
        <v>0</v>
      </c>
      <c r="H55" t="s">
        <v>683</v>
      </c>
      <c r="L55">
        <v>665.1</v>
      </c>
    </row>
    <row r="56" spans="1:12" x14ac:dyDescent="0.25">
      <c r="A56" t="s">
        <v>1230</v>
      </c>
      <c r="B56">
        <v>1221</v>
      </c>
      <c r="C56" t="s">
        <v>1220</v>
      </c>
      <c r="D56">
        <v>665</v>
      </c>
      <c r="E56" t="s">
        <v>1010</v>
      </c>
      <c r="F56" t="s">
        <v>1241</v>
      </c>
      <c r="G56">
        <v>0</v>
      </c>
      <c r="H56" t="s">
        <v>683</v>
      </c>
      <c r="L56">
        <v>665.1</v>
      </c>
    </row>
    <row r="57" spans="1:12" x14ac:dyDescent="0.25">
      <c r="A57" t="s">
        <v>1230</v>
      </c>
      <c r="B57">
        <v>1111</v>
      </c>
      <c r="C57" t="s">
        <v>1220</v>
      </c>
      <c r="D57">
        <v>670</v>
      </c>
      <c r="E57" t="s">
        <v>1010</v>
      </c>
      <c r="F57" t="s">
        <v>1242</v>
      </c>
      <c r="G57">
        <v>0</v>
      </c>
      <c r="H57" t="s">
        <v>683</v>
      </c>
      <c r="L57">
        <v>670.1</v>
      </c>
    </row>
    <row r="58" spans="1:12" x14ac:dyDescent="0.25">
      <c r="A58" t="s">
        <v>1230</v>
      </c>
      <c r="B58">
        <v>1211</v>
      </c>
      <c r="C58" t="s">
        <v>1220</v>
      </c>
      <c r="D58">
        <v>670</v>
      </c>
      <c r="E58" t="s">
        <v>1010</v>
      </c>
      <c r="F58" t="s">
        <v>1242</v>
      </c>
      <c r="G58">
        <v>0</v>
      </c>
      <c r="H58" t="s">
        <v>683</v>
      </c>
      <c r="L58">
        <v>670.1</v>
      </c>
    </row>
    <row r="59" spans="1:12" x14ac:dyDescent="0.25">
      <c r="A59" t="s">
        <v>1230</v>
      </c>
      <c r="B59">
        <v>1221</v>
      </c>
      <c r="C59" t="s">
        <v>1220</v>
      </c>
      <c r="D59">
        <v>670</v>
      </c>
      <c r="E59" t="s">
        <v>1010</v>
      </c>
      <c r="F59" t="s">
        <v>1242</v>
      </c>
      <c r="G59">
        <v>0</v>
      </c>
      <c r="H59" t="s">
        <v>683</v>
      </c>
      <c r="L59">
        <v>670.1</v>
      </c>
    </row>
    <row r="60" spans="1:12" x14ac:dyDescent="0.25">
      <c r="A60" t="s">
        <v>1230</v>
      </c>
      <c r="B60">
        <v>1231</v>
      </c>
      <c r="C60" t="s">
        <v>1220</v>
      </c>
      <c r="D60">
        <v>670</v>
      </c>
      <c r="E60" t="s">
        <v>1010</v>
      </c>
      <c r="F60" t="s">
        <v>1242</v>
      </c>
      <c r="G60">
        <v>504</v>
      </c>
      <c r="H60" t="s">
        <v>683</v>
      </c>
      <c r="L60">
        <v>670.1</v>
      </c>
    </row>
    <row r="61" spans="1:12" x14ac:dyDescent="0.25">
      <c r="A61" t="s">
        <v>1230</v>
      </c>
      <c r="B61">
        <v>1111</v>
      </c>
      <c r="C61" t="s">
        <v>1220</v>
      </c>
      <c r="D61">
        <v>710</v>
      </c>
      <c r="E61" t="s">
        <v>1012</v>
      </c>
      <c r="F61" t="s">
        <v>1243</v>
      </c>
      <c r="G61">
        <v>0</v>
      </c>
      <c r="H61" t="s">
        <v>683</v>
      </c>
      <c r="L61">
        <v>710.1</v>
      </c>
    </row>
    <row r="62" spans="1:12" x14ac:dyDescent="0.25">
      <c r="A62" t="s">
        <v>1230</v>
      </c>
      <c r="B62">
        <v>1211</v>
      </c>
      <c r="C62" t="s">
        <v>1220</v>
      </c>
      <c r="D62">
        <v>710</v>
      </c>
      <c r="E62" t="s">
        <v>1012</v>
      </c>
      <c r="F62" t="s">
        <v>1243</v>
      </c>
      <c r="G62">
        <v>0</v>
      </c>
      <c r="H62" t="s">
        <v>683</v>
      </c>
      <c r="L62">
        <v>710.1</v>
      </c>
    </row>
    <row r="63" spans="1:12" x14ac:dyDescent="0.25">
      <c r="A63" t="s">
        <v>1230</v>
      </c>
      <c r="B63">
        <v>1221</v>
      </c>
      <c r="C63" t="s">
        <v>1220</v>
      </c>
      <c r="D63">
        <v>710</v>
      </c>
      <c r="E63" t="s">
        <v>1012</v>
      </c>
      <c r="F63" t="s">
        <v>1243</v>
      </c>
      <c r="G63">
        <v>0</v>
      </c>
      <c r="H63" t="s">
        <v>683</v>
      </c>
      <c r="L63">
        <v>710.1</v>
      </c>
    </row>
    <row r="64" spans="1:12" x14ac:dyDescent="0.25">
      <c r="A64" t="s">
        <v>1244</v>
      </c>
      <c r="B64">
        <v>1111</v>
      </c>
      <c r="C64" t="s">
        <v>1220</v>
      </c>
      <c r="D64">
        <v>430</v>
      </c>
      <c r="E64" t="s">
        <v>1005</v>
      </c>
      <c r="F64" t="s">
        <v>1245</v>
      </c>
      <c r="G64">
        <v>0</v>
      </c>
      <c r="H64" t="s">
        <v>684</v>
      </c>
      <c r="L64">
        <v>430.1</v>
      </c>
    </row>
    <row r="65" spans="1:12" x14ac:dyDescent="0.25">
      <c r="A65" t="s">
        <v>1244</v>
      </c>
      <c r="B65">
        <v>1211</v>
      </c>
      <c r="C65" t="s">
        <v>1220</v>
      </c>
      <c r="D65">
        <v>430</v>
      </c>
      <c r="E65" t="s">
        <v>1005</v>
      </c>
      <c r="F65" t="s">
        <v>1245</v>
      </c>
      <c r="G65">
        <v>336000</v>
      </c>
      <c r="H65" t="s">
        <v>684</v>
      </c>
      <c r="L65">
        <v>430.1</v>
      </c>
    </row>
    <row r="66" spans="1:12" x14ac:dyDescent="0.25">
      <c r="A66" t="s">
        <v>1244</v>
      </c>
      <c r="B66">
        <v>1221</v>
      </c>
      <c r="C66" t="s">
        <v>1220</v>
      </c>
      <c r="D66">
        <v>430</v>
      </c>
      <c r="E66" t="s">
        <v>1005</v>
      </c>
      <c r="F66" t="s">
        <v>1245</v>
      </c>
      <c r="G66">
        <v>114000</v>
      </c>
      <c r="H66" t="s">
        <v>684</v>
      </c>
      <c r="L66">
        <v>430.1</v>
      </c>
    </row>
    <row r="67" spans="1:12" x14ac:dyDescent="0.25">
      <c r="A67" t="s">
        <v>1244</v>
      </c>
      <c r="B67">
        <v>1231</v>
      </c>
      <c r="C67" t="s">
        <v>1220</v>
      </c>
      <c r="D67">
        <v>430</v>
      </c>
      <c r="E67" t="s">
        <v>1005</v>
      </c>
      <c r="F67" t="s">
        <v>1245</v>
      </c>
      <c r="G67">
        <v>0</v>
      </c>
      <c r="H67" t="s">
        <v>684</v>
      </c>
      <c r="L67">
        <v>430.1</v>
      </c>
    </row>
    <row r="68" spans="1:12" x14ac:dyDescent="0.25">
      <c r="A68" t="s">
        <v>1244</v>
      </c>
      <c r="B68">
        <v>1211</v>
      </c>
      <c r="C68" t="s">
        <v>1220</v>
      </c>
      <c r="D68">
        <v>450</v>
      </c>
      <c r="E68">
        <v>6</v>
      </c>
      <c r="F68" t="s">
        <v>1246</v>
      </c>
      <c r="G68">
        <v>0</v>
      </c>
      <c r="L68">
        <v>450.1</v>
      </c>
    </row>
    <row r="69" spans="1:12" x14ac:dyDescent="0.25">
      <c r="A69" t="s">
        <v>1244</v>
      </c>
      <c r="B69">
        <v>1111</v>
      </c>
      <c r="C69" t="s">
        <v>1220</v>
      </c>
      <c r="D69">
        <v>470</v>
      </c>
      <c r="E69" t="s">
        <v>1005</v>
      </c>
      <c r="F69" t="s">
        <v>1247</v>
      </c>
      <c r="G69">
        <v>0</v>
      </c>
      <c r="H69" t="s">
        <v>684</v>
      </c>
      <c r="L69">
        <v>470.1</v>
      </c>
    </row>
    <row r="70" spans="1:12" x14ac:dyDescent="0.25">
      <c r="A70" t="s">
        <v>1244</v>
      </c>
      <c r="B70">
        <v>1211</v>
      </c>
      <c r="C70" t="s">
        <v>1220</v>
      </c>
      <c r="D70">
        <v>470</v>
      </c>
      <c r="E70" t="s">
        <v>1005</v>
      </c>
      <c r="F70" t="s">
        <v>1247</v>
      </c>
      <c r="G70">
        <v>379000</v>
      </c>
      <c r="H70" t="s">
        <v>684</v>
      </c>
      <c r="L70">
        <v>470.1</v>
      </c>
    </row>
    <row r="71" spans="1:12" x14ac:dyDescent="0.25">
      <c r="A71" t="s">
        <v>1244</v>
      </c>
      <c r="B71">
        <v>1221</v>
      </c>
      <c r="C71" t="s">
        <v>1220</v>
      </c>
      <c r="D71">
        <v>470</v>
      </c>
      <c r="E71" t="s">
        <v>1005</v>
      </c>
      <c r="F71" t="s">
        <v>1247</v>
      </c>
      <c r="G71">
        <v>12000</v>
      </c>
      <c r="H71" t="s">
        <v>684</v>
      </c>
      <c r="L71">
        <v>470.1</v>
      </c>
    </row>
    <row r="72" spans="1:12" x14ac:dyDescent="0.25">
      <c r="A72" t="s">
        <v>1244</v>
      </c>
      <c r="B72">
        <v>1231</v>
      </c>
      <c r="C72" t="s">
        <v>1220</v>
      </c>
      <c r="D72">
        <v>470</v>
      </c>
      <c r="E72" t="s">
        <v>1005</v>
      </c>
      <c r="F72" t="s">
        <v>1247</v>
      </c>
      <c r="G72">
        <v>0</v>
      </c>
      <c r="H72" t="s">
        <v>684</v>
      </c>
      <c r="L72">
        <v>470.1</v>
      </c>
    </row>
    <row r="73" spans="1:12" x14ac:dyDescent="0.25">
      <c r="A73" t="s">
        <v>1244</v>
      </c>
      <c r="B73">
        <v>1111</v>
      </c>
      <c r="C73" t="s">
        <v>1220</v>
      </c>
      <c r="D73">
        <v>640</v>
      </c>
      <c r="E73" t="s">
        <v>1248</v>
      </c>
      <c r="F73" t="s">
        <v>1249</v>
      </c>
      <c r="G73">
        <v>0</v>
      </c>
      <c r="H73" t="s">
        <v>684</v>
      </c>
      <c r="L73">
        <v>640.1</v>
      </c>
    </row>
    <row r="74" spans="1:12" x14ac:dyDescent="0.25">
      <c r="A74" t="s">
        <v>1244</v>
      </c>
      <c r="B74">
        <v>1211</v>
      </c>
      <c r="C74" t="s">
        <v>1220</v>
      </c>
      <c r="D74">
        <v>640</v>
      </c>
      <c r="E74" t="s">
        <v>1248</v>
      </c>
      <c r="F74" t="s">
        <v>1249</v>
      </c>
      <c r="G74">
        <v>0</v>
      </c>
      <c r="H74" t="s">
        <v>684</v>
      </c>
      <c r="L74">
        <v>640.1</v>
      </c>
    </row>
    <row r="75" spans="1:12" x14ac:dyDescent="0.25">
      <c r="A75" t="s">
        <v>1244</v>
      </c>
      <c r="B75">
        <v>1221</v>
      </c>
      <c r="C75" t="s">
        <v>1220</v>
      </c>
      <c r="D75">
        <v>640</v>
      </c>
      <c r="E75" t="s">
        <v>1248</v>
      </c>
      <c r="F75" t="s">
        <v>1249</v>
      </c>
      <c r="G75">
        <v>35004</v>
      </c>
      <c r="H75" t="s">
        <v>684</v>
      </c>
      <c r="L75">
        <v>640.1</v>
      </c>
    </row>
    <row r="76" spans="1:12" x14ac:dyDescent="0.25">
      <c r="A76" t="s">
        <v>1244</v>
      </c>
      <c r="B76">
        <v>1231</v>
      </c>
      <c r="C76" t="s">
        <v>1220</v>
      </c>
      <c r="D76">
        <v>640</v>
      </c>
      <c r="E76" t="s">
        <v>1248</v>
      </c>
      <c r="F76" t="s">
        <v>1249</v>
      </c>
      <c r="G76">
        <v>0</v>
      </c>
      <c r="H76" t="s">
        <v>684</v>
      </c>
      <c r="L76">
        <v>640.1</v>
      </c>
    </row>
    <row r="77" spans="1:12" x14ac:dyDescent="0.25">
      <c r="A77" t="s">
        <v>1250</v>
      </c>
      <c r="B77">
        <v>1211</v>
      </c>
      <c r="C77" t="s">
        <v>1220</v>
      </c>
      <c r="D77">
        <v>650</v>
      </c>
      <c r="E77" t="s">
        <v>1010</v>
      </c>
      <c r="F77" t="s">
        <v>1251</v>
      </c>
      <c r="G77">
        <v>29004</v>
      </c>
      <c r="H77" t="s">
        <v>1252</v>
      </c>
      <c r="L77">
        <v>650.1</v>
      </c>
    </row>
    <row r="78" spans="1:12" x14ac:dyDescent="0.25">
      <c r="A78" t="s">
        <v>1253</v>
      </c>
      <c r="B78">
        <v>1111</v>
      </c>
      <c r="C78" t="s">
        <v>1220</v>
      </c>
      <c r="D78">
        <v>680</v>
      </c>
      <c r="E78" t="s">
        <v>1010</v>
      </c>
      <c r="F78" t="s">
        <v>1254</v>
      </c>
      <c r="G78">
        <v>0</v>
      </c>
      <c r="H78" t="s">
        <v>1255</v>
      </c>
      <c r="L78">
        <v>680.1</v>
      </c>
    </row>
    <row r="79" spans="1:12" x14ac:dyDescent="0.25">
      <c r="A79" t="s">
        <v>1253</v>
      </c>
      <c r="B79">
        <v>1211</v>
      </c>
      <c r="C79" t="s">
        <v>1220</v>
      </c>
      <c r="D79">
        <v>680</v>
      </c>
      <c r="E79" t="s">
        <v>1010</v>
      </c>
      <c r="F79" t="s">
        <v>1254</v>
      </c>
      <c r="G79">
        <v>0</v>
      </c>
      <c r="H79" t="s">
        <v>1255</v>
      </c>
      <c r="L79">
        <v>680.1</v>
      </c>
    </row>
    <row r="80" spans="1:12" x14ac:dyDescent="0.25">
      <c r="A80" t="s">
        <v>1253</v>
      </c>
      <c r="B80">
        <v>1221</v>
      </c>
      <c r="C80" t="s">
        <v>1220</v>
      </c>
      <c r="D80">
        <v>680</v>
      </c>
      <c r="E80" t="s">
        <v>1010</v>
      </c>
      <c r="F80" t="s">
        <v>1254</v>
      </c>
      <c r="G80">
        <v>0</v>
      </c>
      <c r="H80" t="s">
        <v>1255</v>
      </c>
      <c r="L80">
        <v>680.1</v>
      </c>
    </row>
    <row r="81" spans="1:12" x14ac:dyDescent="0.25">
      <c r="A81" t="s">
        <v>1256</v>
      </c>
      <c r="B81">
        <v>1111</v>
      </c>
      <c r="C81" t="s">
        <v>1220</v>
      </c>
      <c r="D81">
        <v>680</v>
      </c>
      <c r="E81" t="s">
        <v>1010</v>
      </c>
      <c r="F81" t="s">
        <v>1254</v>
      </c>
      <c r="G81">
        <v>0</v>
      </c>
      <c r="H81" t="s">
        <v>1257</v>
      </c>
      <c r="L81">
        <v>680.1</v>
      </c>
    </row>
    <row r="82" spans="1:12" x14ac:dyDescent="0.25">
      <c r="A82" t="s">
        <v>1258</v>
      </c>
      <c r="B82">
        <v>1221</v>
      </c>
      <c r="C82" t="s">
        <v>1220</v>
      </c>
      <c r="D82">
        <v>210</v>
      </c>
      <c r="E82" t="s">
        <v>1002</v>
      </c>
      <c r="F82" t="s">
        <v>336</v>
      </c>
      <c r="H82" t="s">
        <v>1259</v>
      </c>
      <c r="L82">
        <v>210.1</v>
      </c>
    </row>
    <row r="83" spans="1:12" x14ac:dyDescent="0.25">
      <c r="A83" t="s">
        <v>1258</v>
      </c>
      <c r="B83">
        <v>1231</v>
      </c>
      <c r="C83" t="s">
        <v>1220</v>
      </c>
      <c r="D83">
        <v>210</v>
      </c>
      <c r="E83" t="s">
        <v>1002</v>
      </c>
      <c r="F83" t="s">
        <v>336</v>
      </c>
      <c r="G83">
        <v>24684</v>
      </c>
      <c r="H83" t="s">
        <v>1259</v>
      </c>
      <c r="L83">
        <v>210.1</v>
      </c>
    </row>
    <row r="84" spans="1:12" x14ac:dyDescent="0.25">
      <c r="A84" t="s">
        <v>1258</v>
      </c>
      <c r="B84">
        <v>1221</v>
      </c>
      <c r="C84" t="s">
        <v>1220</v>
      </c>
      <c r="D84">
        <v>220</v>
      </c>
      <c r="E84" t="s">
        <v>1002</v>
      </c>
      <c r="F84" t="s">
        <v>1260</v>
      </c>
      <c r="G84">
        <v>0</v>
      </c>
      <c r="H84" t="s">
        <v>1259</v>
      </c>
      <c r="L84">
        <v>220.1</v>
      </c>
    </row>
    <row r="85" spans="1:12" x14ac:dyDescent="0.25">
      <c r="A85" t="s">
        <v>1258</v>
      </c>
      <c r="B85">
        <v>1231</v>
      </c>
      <c r="C85" t="s">
        <v>1220</v>
      </c>
      <c r="D85">
        <v>220</v>
      </c>
      <c r="E85" t="s">
        <v>1002</v>
      </c>
      <c r="F85" t="s">
        <v>1260</v>
      </c>
      <c r="G85">
        <v>1939956</v>
      </c>
      <c r="H85" t="s">
        <v>1259</v>
      </c>
      <c r="L85">
        <v>220.1</v>
      </c>
    </row>
    <row r="86" spans="1:12" x14ac:dyDescent="0.25">
      <c r="A86" t="s">
        <v>1258</v>
      </c>
      <c r="B86">
        <v>1221</v>
      </c>
      <c r="C86" t="s">
        <v>1220</v>
      </c>
      <c r="D86">
        <v>230</v>
      </c>
      <c r="E86" t="s">
        <v>1002</v>
      </c>
      <c r="F86" t="s">
        <v>1261</v>
      </c>
      <c r="G86">
        <v>50004</v>
      </c>
      <c r="H86" t="s">
        <v>1259</v>
      </c>
      <c r="L86">
        <v>230.1</v>
      </c>
    </row>
    <row r="87" spans="1:12" x14ac:dyDescent="0.25">
      <c r="A87" t="s">
        <v>1262</v>
      </c>
      <c r="B87">
        <v>1221</v>
      </c>
      <c r="C87" t="s">
        <v>1220</v>
      </c>
      <c r="D87">
        <v>113</v>
      </c>
      <c r="E87" t="s">
        <v>1001</v>
      </c>
      <c r="F87" t="s">
        <v>1221</v>
      </c>
      <c r="G87">
        <v>0</v>
      </c>
      <c r="H87" t="s">
        <v>1222</v>
      </c>
      <c r="L87">
        <v>113.1</v>
      </c>
    </row>
    <row r="88" spans="1:12" x14ac:dyDescent="0.25">
      <c r="A88" t="s">
        <v>1262</v>
      </c>
      <c r="B88">
        <v>1221</v>
      </c>
      <c r="C88" t="s">
        <v>1220</v>
      </c>
      <c r="D88">
        <v>130</v>
      </c>
      <c r="E88" t="s">
        <v>1001</v>
      </c>
      <c r="F88" t="s">
        <v>1229</v>
      </c>
      <c r="G88">
        <v>0</v>
      </c>
      <c r="H88" t="s">
        <v>1263</v>
      </c>
      <c r="L88">
        <v>130.1</v>
      </c>
    </row>
    <row r="89" spans="1:12" x14ac:dyDescent="0.25">
      <c r="A89" t="s">
        <v>1262</v>
      </c>
      <c r="B89">
        <v>1211</v>
      </c>
      <c r="C89" t="s">
        <v>1220</v>
      </c>
      <c r="D89">
        <v>240</v>
      </c>
      <c r="E89" t="s">
        <v>1002</v>
      </c>
      <c r="F89" t="s">
        <v>1264</v>
      </c>
      <c r="G89">
        <v>0</v>
      </c>
      <c r="H89" t="s">
        <v>1263</v>
      </c>
      <c r="L89">
        <v>240.1</v>
      </c>
    </row>
    <row r="90" spans="1:12" x14ac:dyDescent="0.25">
      <c r="A90" t="s">
        <v>1262</v>
      </c>
      <c r="B90">
        <v>1221</v>
      </c>
      <c r="C90" t="s">
        <v>1220</v>
      </c>
      <c r="D90">
        <v>240</v>
      </c>
      <c r="E90" t="s">
        <v>1002</v>
      </c>
      <c r="F90" t="s">
        <v>1264</v>
      </c>
      <c r="G90">
        <v>939996</v>
      </c>
      <c r="H90" t="s">
        <v>1263</v>
      </c>
      <c r="L90">
        <v>240.1</v>
      </c>
    </row>
    <row r="91" spans="1:12" x14ac:dyDescent="0.25">
      <c r="A91" t="s">
        <v>1262</v>
      </c>
      <c r="B91">
        <v>1231</v>
      </c>
      <c r="C91" t="s">
        <v>1220</v>
      </c>
      <c r="D91">
        <v>240</v>
      </c>
      <c r="E91" t="s">
        <v>1002</v>
      </c>
      <c r="F91" t="s">
        <v>1264</v>
      </c>
      <c r="G91">
        <v>1384836</v>
      </c>
      <c r="H91" t="s">
        <v>1263</v>
      </c>
      <c r="L91">
        <v>240.1</v>
      </c>
    </row>
    <row r="92" spans="1:12" x14ac:dyDescent="0.25">
      <c r="A92" t="s">
        <v>1262</v>
      </c>
      <c r="B92">
        <v>1221</v>
      </c>
      <c r="C92" t="s">
        <v>1220</v>
      </c>
      <c r="D92">
        <v>440</v>
      </c>
      <c r="E92" t="s">
        <v>1248</v>
      </c>
      <c r="F92" t="s">
        <v>1265</v>
      </c>
      <c r="G92">
        <v>0</v>
      </c>
      <c r="H92" t="s">
        <v>1263</v>
      </c>
      <c r="L92">
        <v>440.1</v>
      </c>
    </row>
    <row r="93" spans="1:12" x14ac:dyDescent="0.25">
      <c r="A93" t="s">
        <v>1266</v>
      </c>
      <c r="B93">
        <v>1341</v>
      </c>
      <c r="C93" t="s">
        <v>1267</v>
      </c>
      <c r="D93">
        <v>130</v>
      </c>
      <c r="E93" t="s">
        <v>1001</v>
      </c>
      <c r="F93" t="s">
        <v>1229</v>
      </c>
      <c r="G93">
        <v>0</v>
      </c>
      <c r="L93">
        <v>130.1</v>
      </c>
    </row>
    <row r="94" spans="1:12" x14ac:dyDescent="0.25">
      <c r="A94" t="s">
        <v>1268</v>
      </c>
      <c r="B94">
        <v>1343</v>
      </c>
      <c r="C94" t="s">
        <v>1267</v>
      </c>
      <c r="D94">
        <v>130</v>
      </c>
      <c r="E94" t="s">
        <v>1001</v>
      </c>
      <c r="F94" t="s">
        <v>1229</v>
      </c>
      <c r="G94">
        <v>0</v>
      </c>
      <c r="L94">
        <v>130.1</v>
      </c>
    </row>
    <row r="95" spans="1:12" x14ac:dyDescent="0.25">
      <c r="A95" t="s">
        <v>1268</v>
      </c>
      <c r="B95">
        <v>1343</v>
      </c>
      <c r="C95" t="s">
        <v>1267</v>
      </c>
      <c r="D95">
        <v>540</v>
      </c>
      <c r="E95" t="s">
        <v>1008</v>
      </c>
      <c r="F95" t="s">
        <v>1233</v>
      </c>
      <c r="G95">
        <v>0</v>
      </c>
      <c r="L95">
        <v>540.1</v>
      </c>
    </row>
    <row r="96" spans="1:12" x14ac:dyDescent="0.25">
      <c r="A96" t="s">
        <v>1269</v>
      </c>
      <c r="B96">
        <v>1341</v>
      </c>
      <c r="C96" t="s">
        <v>1267</v>
      </c>
      <c r="D96">
        <v>113</v>
      </c>
      <c r="E96" t="s">
        <v>1001</v>
      </c>
      <c r="F96" t="s">
        <v>1221</v>
      </c>
      <c r="G96">
        <v>2451.92</v>
      </c>
      <c r="H96" t="s">
        <v>1270</v>
      </c>
      <c r="L96">
        <v>113.1</v>
      </c>
    </row>
    <row r="97" spans="1:12" x14ac:dyDescent="0.25">
      <c r="A97" t="s">
        <v>1269</v>
      </c>
      <c r="B97">
        <v>1343</v>
      </c>
      <c r="C97" t="s">
        <v>1267</v>
      </c>
      <c r="D97">
        <v>113</v>
      </c>
      <c r="E97" t="s">
        <v>1001</v>
      </c>
      <c r="F97" t="s">
        <v>1221</v>
      </c>
      <c r="G97">
        <v>40992</v>
      </c>
      <c r="H97" t="s">
        <v>1270</v>
      </c>
      <c r="L97">
        <v>113.1</v>
      </c>
    </row>
    <row r="98" spans="1:12" x14ac:dyDescent="0.25">
      <c r="A98" t="s">
        <v>1269</v>
      </c>
      <c r="B98">
        <v>1344</v>
      </c>
      <c r="C98" t="s">
        <v>1267</v>
      </c>
      <c r="D98">
        <v>113</v>
      </c>
      <c r="E98" t="s">
        <v>1001</v>
      </c>
      <c r="F98" t="s">
        <v>1221</v>
      </c>
      <c r="G98">
        <v>51072</v>
      </c>
      <c r="H98" t="s">
        <v>1270</v>
      </c>
      <c r="L98">
        <v>113.1</v>
      </c>
    </row>
    <row r="99" spans="1:12" x14ac:dyDescent="0.25">
      <c r="A99" t="s">
        <v>1269</v>
      </c>
      <c r="B99">
        <v>1341</v>
      </c>
      <c r="C99" t="s">
        <v>1267</v>
      </c>
      <c r="D99">
        <v>115</v>
      </c>
      <c r="E99" t="s">
        <v>1001</v>
      </c>
      <c r="F99" t="s">
        <v>1224</v>
      </c>
      <c r="G99">
        <v>40333</v>
      </c>
      <c r="H99" t="s">
        <v>1270</v>
      </c>
      <c r="L99">
        <v>115.1</v>
      </c>
    </row>
    <row r="100" spans="1:12" x14ac:dyDescent="0.25">
      <c r="A100" t="s">
        <v>1269</v>
      </c>
      <c r="B100">
        <v>1343</v>
      </c>
      <c r="C100" t="s">
        <v>1267</v>
      </c>
      <c r="D100">
        <v>115</v>
      </c>
      <c r="E100" t="s">
        <v>1001</v>
      </c>
      <c r="F100" t="s">
        <v>1224</v>
      </c>
      <c r="G100">
        <v>76740.160000000003</v>
      </c>
      <c r="H100" t="s">
        <v>1270</v>
      </c>
      <c r="L100">
        <v>115.1</v>
      </c>
    </row>
    <row r="101" spans="1:12" x14ac:dyDescent="0.25">
      <c r="A101" t="s">
        <v>1269</v>
      </c>
      <c r="B101">
        <v>1344</v>
      </c>
      <c r="C101" t="s">
        <v>1267</v>
      </c>
      <c r="D101">
        <v>115</v>
      </c>
      <c r="E101" t="s">
        <v>1001</v>
      </c>
      <c r="F101" t="s">
        <v>1224</v>
      </c>
      <c r="G101">
        <v>97331.6</v>
      </c>
      <c r="H101" t="s">
        <v>1270</v>
      </c>
      <c r="L101">
        <v>115.1</v>
      </c>
    </row>
    <row r="102" spans="1:12" x14ac:dyDescent="0.25">
      <c r="A102" t="s">
        <v>1269</v>
      </c>
      <c r="B102">
        <v>1341</v>
      </c>
      <c r="C102" t="s">
        <v>1267</v>
      </c>
      <c r="D102">
        <v>116</v>
      </c>
      <c r="E102" t="s">
        <v>1001</v>
      </c>
      <c r="F102" t="s">
        <v>1225</v>
      </c>
      <c r="G102">
        <v>0</v>
      </c>
      <c r="H102" t="s">
        <v>1270</v>
      </c>
      <c r="L102">
        <v>116.1</v>
      </c>
    </row>
    <row r="103" spans="1:12" x14ac:dyDescent="0.25">
      <c r="A103" t="s">
        <v>1269</v>
      </c>
      <c r="B103">
        <v>1341</v>
      </c>
      <c r="C103" t="s">
        <v>1267</v>
      </c>
      <c r="D103">
        <v>130</v>
      </c>
      <c r="E103" t="s">
        <v>1001</v>
      </c>
      <c r="F103" t="s">
        <v>1229</v>
      </c>
      <c r="G103">
        <v>343965.61934963305</v>
      </c>
      <c r="H103" t="s">
        <v>1270</v>
      </c>
      <c r="L103">
        <v>130.1</v>
      </c>
    </row>
    <row r="104" spans="1:12" x14ac:dyDescent="0.25">
      <c r="A104" t="s">
        <v>1269</v>
      </c>
      <c r="B104">
        <v>1343</v>
      </c>
      <c r="C104" t="s">
        <v>1267</v>
      </c>
      <c r="D104">
        <v>130</v>
      </c>
      <c r="E104" t="s">
        <v>1001</v>
      </c>
      <c r="F104" t="s">
        <v>1229</v>
      </c>
      <c r="G104">
        <v>935191.14808983752</v>
      </c>
      <c r="H104" t="s">
        <v>1270</v>
      </c>
      <c r="L104">
        <v>130.1</v>
      </c>
    </row>
    <row r="105" spans="1:12" x14ac:dyDescent="0.25">
      <c r="A105" t="s">
        <v>1269</v>
      </c>
      <c r="B105">
        <v>1344</v>
      </c>
      <c r="C105" t="s">
        <v>1267</v>
      </c>
      <c r="D105">
        <v>130</v>
      </c>
      <c r="E105" t="s">
        <v>1001</v>
      </c>
      <c r="F105" t="s">
        <v>1229</v>
      </c>
      <c r="G105">
        <v>1215055.5792856719</v>
      </c>
      <c r="H105" t="s">
        <v>1270</v>
      </c>
      <c r="L105">
        <v>130.1</v>
      </c>
    </row>
    <row r="106" spans="1:12" x14ac:dyDescent="0.25">
      <c r="A106" t="s">
        <v>1269</v>
      </c>
      <c r="B106">
        <v>1341</v>
      </c>
      <c r="C106" t="s">
        <v>1267</v>
      </c>
      <c r="D106">
        <v>430</v>
      </c>
      <c r="E106" t="s">
        <v>1005</v>
      </c>
      <c r="F106" t="s">
        <v>1245</v>
      </c>
      <c r="G106">
        <v>284004</v>
      </c>
      <c r="H106" t="s">
        <v>1270</v>
      </c>
      <c r="L106">
        <v>430.1</v>
      </c>
    </row>
    <row r="107" spans="1:12" x14ac:dyDescent="0.25">
      <c r="A107" t="s">
        <v>1269</v>
      </c>
      <c r="B107">
        <v>1343</v>
      </c>
      <c r="C107" t="s">
        <v>1267</v>
      </c>
      <c r="D107">
        <v>430</v>
      </c>
      <c r="E107" t="s">
        <v>1005</v>
      </c>
      <c r="F107" t="s">
        <v>1245</v>
      </c>
      <c r="G107">
        <v>0</v>
      </c>
      <c r="H107" t="s">
        <v>1270</v>
      </c>
      <c r="L107">
        <v>430.1</v>
      </c>
    </row>
    <row r="108" spans="1:12" x14ac:dyDescent="0.25">
      <c r="A108" t="s">
        <v>1269</v>
      </c>
      <c r="B108">
        <v>1341</v>
      </c>
      <c r="C108" t="s">
        <v>1267</v>
      </c>
      <c r="D108">
        <v>440</v>
      </c>
      <c r="E108" t="s">
        <v>1248</v>
      </c>
      <c r="F108" t="s">
        <v>1265</v>
      </c>
      <c r="G108">
        <v>0</v>
      </c>
      <c r="H108" t="s">
        <v>1270</v>
      </c>
      <c r="L108">
        <v>440.1</v>
      </c>
    </row>
    <row r="109" spans="1:12" x14ac:dyDescent="0.25">
      <c r="A109" t="s">
        <v>1269</v>
      </c>
      <c r="B109">
        <v>1341</v>
      </c>
      <c r="C109" t="s">
        <v>1267</v>
      </c>
      <c r="D109">
        <v>445</v>
      </c>
      <c r="E109" t="s">
        <v>1248</v>
      </c>
      <c r="F109" t="s">
        <v>1271</v>
      </c>
      <c r="G109">
        <v>0</v>
      </c>
      <c r="H109" t="s">
        <v>1270</v>
      </c>
      <c r="L109">
        <v>445.1</v>
      </c>
    </row>
    <row r="110" spans="1:12" x14ac:dyDescent="0.25">
      <c r="A110" t="s">
        <v>1269</v>
      </c>
      <c r="B110">
        <v>1341</v>
      </c>
      <c r="C110" t="s">
        <v>1267</v>
      </c>
      <c r="D110">
        <v>470</v>
      </c>
      <c r="E110" t="s">
        <v>1005</v>
      </c>
      <c r="F110" t="s">
        <v>1247</v>
      </c>
      <c r="G110">
        <v>0</v>
      </c>
      <c r="H110" t="s">
        <v>1270</v>
      </c>
      <c r="L110">
        <v>470.1</v>
      </c>
    </row>
    <row r="111" spans="1:12" x14ac:dyDescent="0.25">
      <c r="A111" t="s">
        <v>1269</v>
      </c>
      <c r="B111">
        <v>1341</v>
      </c>
      <c r="C111" t="s">
        <v>1267</v>
      </c>
      <c r="D111">
        <v>510</v>
      </c>
      <c r="E111" t="s">
        <v>1008</v>
      </c>
      <c r="F111" t="s">
        <v>1231</v>
      </c>
      <c r="G111">
        <v>0</v>
      </c>
      <c r="H111" t="s">
        <v>1270</v>
      </c>
      <c r="L111">
        <v>510.1</v>
      </c>
    </row>
    <row r="112" spans="1:12" x14ac:dyDescent="0.25">
      <c r="A112" t="s">
        <v>1269</v>
      </c>
      <c r="B112">
        <v>1341</v>
      </c>
      <c r="C112" t="s">
        <v>1267</v>
      </c>
      <c r="D112">
        <v>520</v>
      </c>
      <c r="E112" t="s">
        <v>1008</v>
      </c>
      <c r="F112" t="s">
        <v>1232</v>
      </c>
      <c r="G112">
        <v>15000</v>
      </c>
      <c r="H112" t="s">
        <v>1270</v>
      </c>
      <c r="L112">
        <v>520.1</v>
      </c>
    </row>
    <row r="113" spans="1:12" x14ac:dyDescent="0.25">
      <c r="A113" t="s">
        <v>1269</v>
      </c>
      <c r="B113">
        <v>1343</v>
      </c>
      <c r="C113" t="s">
        <v>1267</v>
      </c>
      <c r="D113">
        <v>520</v>
      </c>
      <c r="E113" t="s">
        <v>1008</v>
      </c>
      <c r="F113" t="s">
        <v>1232</v>
      </c>
      <c r="G113">
        <v>24996</v>
      </c>
      <c r="H113" t="s">
        <v>1270</v>
      </c>
      <c r="L113">
        <v>520.1</v>
      </c>
    </row>
    <row r="114" spans="1:12" x14ac:dyDescent="0.25">
      <c r="A114" t="s">
        <v>1269</v>
      </c>
      <c r="B114">
        <v>1344</v>
      </c>
      <c r="C114" t="s">
        <v>1267</v>
      </c>
      <c r="D114">
        <v>520</v>
      </c>
      <c r="E114" t="s">
        <v>1008</v>
      </c>
      <c r="F114" t="s">
        <v>1232</v>
      </c>
      <c r="G114">
        <v>25000</v>
      </c>
      <c r="H114" t="s">
        <v>1270</v>
      </c>
      <c r="L114">
        <v>520.1</v>
      </c>
    </row>
    <row r="115" spans="1:12" x14ac:dyDescent="0.25">
      <c r="A115" t="s">
        <v>1269</v>
      </c>
      <c r="B115">
        <v>1341</v>
      </c>
      <c r="C115" t="s">
        <v>1267</v>
      </c>
      <c r="D115">
        <v>540</v>
      </c>
      <c r="E115" t="s">
        <v>1008</v>
      </c>
      <c r="F115" t="s">
        <v>1233</v>
      </c>
      <c r="G115">
        <v>5004</v>
      </c>
      <c r="H115" t="s">
        <v>1270</v>
      </c>
      <c r="L115">
        <v>540.1</v>
      </c>
    </row>
    <row r="116" spans="1:12" x14ac:dyDescent="0.25">
      <c r="A116" t="s">
        <v>1269</v>
      </c>
      <c r="B116">
        <v>1343</v>
      </c>
      <c r="C116" t="s">
        <v>1267</v>
      </c>
      <c r="D116">
        <v>540</v>
      </c>
      <c r="E116" t="s">
        <v>1008</v>
      </c>
      <c r="F116" t="s">
        <v>1233</v>
      </c>
      <c r="G116">
        <v>54996</v>
      </c>
      <c r="H116" t="s">
        <v>1270</v>
      </c>
      <c r="L116">
        <v>540.1</v>
      </c>
    </row>
    <row r="117" spans="1:12" x14ac:dyDescent="0.25">
      <c r="A117" t="s">
        <v>1269</v>
      </c>
      <c r="B117">
        <v>1344</v>
      </c>
      <c r="C117" t="s">
        <v>1267</v>
      </c>
      <c r="D117">
        <v>540</v>
      </c>
      <c r="E117" t="s">
        <v>1008</v>
      </c>
      <c r="F117" t="s">
        <v>1233</v>
      </c>
      <c r="G117">
        <v>39996</v>
      </c>
      <c r="H117" t="s">
        <v>1270</v>
      </c>
      <c r="L117">
        <v>540.1</v>
      </c>
    </row>
    <row r="118" spans="1:12" x14ac:dyDescent="0.25">
      <c r="A118" t="s">
        <v>1269</v>
      </c>
      <c r="B118">
        <v>1341</v>
      </c>
      <c r="C118" t="s">
        <v>1267</v>
      </c>
      <c r="D118">
        <v>550</v>
      </c>
      <c r="E118" t="s">
        <v>1008</v>
      </c>
      <c r="F118" t="s">
        <v>1234</v>
      </c>
      <c r="G118">
        <v>5004</v>
      </c>
      <c r="H118" t="s">
        <v>1270</v>
      </c>
      <c r="L118">
        <v>550.1</v>
      </c>
    </row>
    <row r="119" spans="1:12" x14ac:dyDescent="0.25">
      <c r="A119" t="s">
        <v>1269</v>
      </c>
      <c r="B119">
        <v>1341</v>
      </c>
      <c r="C119" t="s">
        <v>1267</v>
      </c>
      <c r="D119">
        <v>560</v>
      </c>
      <c r="E119" t="s">
        <v>1008</v>
      </c>
      <c r="F119" t="s">
        <v>1235</v>
      </c>
      <c r="G119">
        <v>0</v>
      </c>
      <c r="H119" t="s">
        <v>1270</v>
      </c>
      <c r="L119">
        <v>560.1</v>
      </c>
    </row>
    <row r="120" spans="1:12" x14ac:dyDescent="0.25">
      <c r="A120" t="s">
        <v>1269</v>
      </c>
      <c r="B120">
        <v>1341</v>
      </c>
      <c r="C120" t="s">
        <v>1267</v>
      </c>
      <c r="D120">
        <v>570</v>
      </c>
      <c r="E120" t="s">
        <v>1008</v>
      </c>
      <c r="F120" t="s">
        <v>1272</v>
      </c>
      <c r="G120">
        <v>3000</v>
      </c>
      <c r="H120" t="s">
        <v>1270</v>
      </c>
      <c r="L120">
        <v>570.1</v>
      </c>
    </row>
    <row r="121" spans="1:12" x14ac:dyDescent="0.25">
      <c r="A121" t="s">
        <v>1269</v>
      </c>
      <c r="B121">
        <v>1341</v>
      </c>
      <c r="C121" t="s">
        <v>1267</v>
      </c>
      <c r="D121">
        <v>580</v>
      </c>
      <c r="E121" t="s">
        <v>1008</v>
      </c>
      <c r="F121" t="s">
        <v>1236</v>
      </c>
      <c r="G121">
        <v>3996</v>
      </c>
      <c r="H121" t="s">
        <v>1270</v>
      </c>
      <c r="L121">
        <v>580.1</v>
      </c>
    </row>
    <row r="122" spans="1:12" x14ac:dyDescent="0.25">
      <c r="A122" t="s">
        <v>1269</v>
      </c>
      <c r="B122">
        <v>1343</v>
      </c>
      <c r="C122" t="s">
        <v>1267</v>
      </c>
      <c r="D122">
        <v>580</v>
      </c>
      <c r="E122" t="s">
        <v>1008</v>
      </c>
      <c r="F122" t="s">
        <v>1236</v>
      </c>
      <c r="G122">
        <v>2496</v>
      </c>
      <c r="L122">
        <v>580.1</v>
      </c>
    </row>
    <row r="123" spans="1:12" x14ac:dyDescent="0.25">
      <c r="A123" t="s">
        <v>1269</v>
      </c>
      <c r="B123">
        <v>1344</v>
      </c>
      <c r="C123" t="s">
        <v>1267</v>
      </c>
      <c r="D123">
        <v>580</v>
      </c>
      <c r="E123" t="s">
        <v>1008</v>
      </c>
      <c r="F123" t="s">
        <v>1236</v>
      </c>
      <c r="G123">
        <v>9600</v>
      </c>
      <c r="H123" t="s">
        <v>1270</v>
      </c>
      <c r="L123">
        <v>580.1</v>
      </c>
    </row>
    <row r="124" spans="1:12" x14ac:dyDescent="0.25">
      <c r="A124" t="s">
        <v>1269</v>
      </c>
      <c r="B124">
        <v>1341</v>
      </c>
      <c r="C124" t="s">
        <v>1267</v>
      </c>
      <c r="D124">
        <v>610</v>
      </c>
      <c r="E124" t="s">
        <v>1010</v>
      </c>
      <c r="F124" t="s">
        <v>1237</v>
      </c>
      <c r="G124">
        <v>9996</v>
      </c>
      <c r="H124" t="s">
        <v>1270</v>
      </c>
      <c r="L124">
        <v>610.1</v>
      </c>
    </row>
    <row r="125" spans="1:12" x14ac:dyDescent="0.25">
      <c r="A125" t="s">
        <v>1269</v>
      </c>
      <c r="B125">
        <v>1343</v>
      </c>
      <c r="C125" t="s">
        <v>1267</v>
      </c>
      <c r="D125">
        <v>610</v>
      </c>
      <c r="E125" t="s">
        <v>1010</v>
      </c>
      <c r="F125" t="s">
        <v>1237</v>
      </c>
      <c r="G125">
        <v>5004</v>
      </c>
      <c r="H125" t="s">
        <v>1270</v>
      </c>
      <c r="L125">
        <v>610.1</v>
      </c>
    </row>
    <row r="126" spans="1:12" x14ac:dyDescent="0.25">
      <c r="A126" t="s">
        <v>1269</v>
      </c>
      <c r="B126">
        <v>1344</v>
      </c>
      <c r="C126" t="s">
        <v>1267</v>
      </c>
      <c r="D126">
        <v>610</v>
      </c>
      <c r="E126" t="s">
        <v>1010</v>
      </c>
      <c r="F126" t="s">
        <v>1237</v>
      </c>
      <c r="G126">
        <v>6504</v>
      </c>
      <c r="H126" t="s">
        <v>1270</v>
      </c>
      <c r="L126">
        <v>610.1</v>
      </c>
    </row>
    <row r="127" spans="1:12" x14ac:dyDescent="0.25">
      <c r="A127" t="s">
        <v>1269</v>
      </c>
      <c r="B127">
        <v>1341</v>
      </c>
      <c r="C127" t="s">
        <v>1267</v>
      </c>
      <c r="D127">
        <v>615</v>
      </c>
      <c r="E127" t="s">
        <v>1010</v>
      </c>
      <c r="F127" t="s">
        <v>1238</v>
      </c>
      <c r="G127">
        <v>3000</v>
      </c>
      <c r="H127" t="s">
        <v>1270</v>
      </c>
      <c r="L127">
        <v>615.1</v>
      </c>
    </row>
    <row r="128" spans="1:12" x14ac:dyDescent="0.25">
      <c r="A128" t="s">
        <v>1269</v>
      </c>
      <c r="B128">
        <v>1343</v>
      </c>
      <c r="C128" t="s">
        <v>1267</v>
      </c>
      <c r="D128">
        <v>615</v>
      </c>
      <c r="E128" t="s">
        <v>1010</v>
      </c>
      <c r="F128" t="s">
        <v>1238</v>
      </c>
      <c r="G128">
        <v>9996</v>
      </c>
      <c r="H128" t="s">
        <v>1270</v>
      </c>
      <c r="L128">
        <v>615.1</v>
      </c>
    </row>
    <row r="129" spans="1:12" x14ac:dyDescent="0.25">
      <c r="A129" t="s">
        <v>1269</v>
      </c>
      <c r="B129">
        <v>1344</v>
      </c>
      <c r="C129" t="s">
        <v>1267</v>
      </c>
      <c r="D129">
        <v>615</v>
      </c>
      <c r="E129" t="s">
        <v>1010</v>
      </c>
      <c r="F129" t="s">
        <v>1238</v>
      </c>
      <c r="G129">
        <v>9996</v>
      </c>
      <c r="H129" t="s">
        <v>1270</v>
      </c>
      <c r="L129">
        <v>615.1</v>
      </c>
    </row>
    <row r="130" spans="1:12" x14ac:dyDescent="0.25">
      <c r="A130" t="s">
        <v>1269</v>
      </c>
      <c r="B130">
        <v>1341</v>
      </c>
      <c r="C130" t="s">
        <v>1267</v>
      </c>
      <c r="D130">
        <v>620</v>
      </c>
      <c r="E130" t="s">
        <v>1010</v>
      </c>
      <c r="F130" t="s">
        <v>1239</v>
      </c>
      <c r="G130">
        <v>996</v>
      </c>
      <c r="H130" t="s">
        <v>1270</v>
      </c>
      <c r="L130">
        <v>620.1</v>
      </c>
    </row>
    <row r="131" spans="1:12" x14ac:dyDescent="0.25">
      <c r="A131" t="s">
        <v>1269</v>
      </c>
      <c r="B131">
        <v>1341</v>
      </c>
      <c r="C131" t="s">
        <v>1267</v>
      </c>
      <c r="D131">
        <v>640</v>
      </c>
      <c r="E131" t="s">
        <v>1248</v>
      </c>
      <c r="F131" t="s">
        <v>1249</v>
      </c>
      <c r="G131">
        <v>168480</v>
      </c>
      <c r="H131" t="s">
        <v>1270</v>
      </c>
      <c r="L131">
        <v>640.1</v>
      </c>
    </row>
    <row r="132" spans="1:12" x14ac:dyDescent="0.25">
      <c r="A132" t="s">
        <v>1269</v>
      </c>
      <c r="B132">
        <v>1343</v>
      </c>
      <c r="C132" t="s">
        <v>1267</v>
      </c>
      <c r="D132">
        <v>640</v>
      </c>
      <c r="E132" t="s">
        <v>1248</v>
      </c>
      <c r="F132" t="s">
        <v>1249</v>
      </c>
      <c r="G132">
        <v>210000</v>
      </c>
      <c r="H132" t="s">
        <v>1270</v>
      </c>
      <c r="L132">
        <v>640.1</v>
      </c>
    </row>
    <row r="133" spans="1:12" x14ac:dyDescent="0.25">
      <c r="A133" t="s">
        <v>1269</v>
      </c>
      <c r="B133">
        <v>1344</v>
      </c>
      <c r="C133" t="s">
        <v>1267</v>
      </c>
      <c r="D133">
        <v>640</v>
      </c>
      <c r="E133" t="s">
        <v>1248</v>
      </c>
      <c r="F133" t="s">
        <v>1249</v>
      </c>
      <c r="G133">
        <v>350004</v>
      </c>
      <c r="H133" t="s">
        <v>1270</v>
      </c>
      <c r="L133">
        <v>640.1</v>
      </c>
    </row>
    <row r="134" spans="1:12" x14ac:dyDescent="0.25">
      <c r="A134" t="s">
        <v>1269</v>
      </c>
      <c r="B134">
        <v>1341</v>
      </c>
      <c r="C134" t="s">
        <v>1267</v>
      </c>
      <c r="D134">
        <v>655</v>
      </c>
      <c r="E134" t="s">
        <v>1010</v>
      </c>
      <c r="F134" t="s">
        <v>1240</v>
      </c>
      <c r="G134">
        <v>504</v>
      </c>
      <c r="H134" t="s">
        <v>1270</v>
      </c>
      <c r="L134">
        <v>655.1</v>
      </c>
    </row>
    <row r="135" spans="1:12" x14ac:dyDescent="0.25">
      <c r="A135" t="s">
        <v>1269</v>
      </c>
      <c r="B135">
        <v>1343</v>
      </c>
      <c r="C135" t="s">
        <v>1267</v>
      </c>
      <c r="D135">
        <v>655</v>
      </c>
      <c r="E135" t="s">
        <v>1010</v>
      </c>
      <c r="F135" t="s">
        <v>1240</v>
      </c>
      <c r="G135">
        <v>0</v>
      </c>
      <c r="H135" t="s">
        <v>1270</v>
      </c>
      <c r="L135">
        <v>655.1</v>
      </c>
    </row>
    <row r="136" spans="1:12" x14ac:dyDescent="0.25">
      <c r="A136" t="s">
        <v>1269</v>
      </c>
      <c r="B136">
        <v>1341</v>
      </c>
      <c r="C136" t="s">
        <v>1267</v>
      </c>
      <c r="D136">
        <v>670</v>
      </c>
      <c r="E136" t="s">
        <v>1010</v>
      </c>
      <c r="F136" t="s">
        <v>1242</v>
      </c>
      <c r="G136">
        <v>504</v>
      </c>
      <c r="H136" t="s">
        <v>1270</v>
      </c>
      <c r="L136">
        <v>670.1</v>
      </c>
    </row>
    <row r="137" spans="1:12" x14ac:dyDescent="0.25">
      <c r="A137" t="s">
        <v>1269</v>
      </c>
      <c r="B137">
        <v>1343</v>
      </c>
      <c r="C137" t="s">
        <v>1267</v>
      </c>
      <c r="D137">
        <v>670</v>
      </c>
      <c r="E137" t="s">
        <v>1010</v>
      </c>
      <c r="F137" t="s">
        <v>1242</v>
      </c>
      <c r="G137">
        <v>0</v>
      </c>
      <c r="H137" t="s">
        <v>1270</v>
      </c>
      <c r="L137">
        <v>670.1</v>
      </c>
    </row>
    <row r="138" spans="1:12" x14ac:dyDescent="0.25">
      <c r="A138" t="s">
        <v>1269</v>
      </c>
      <c r="B138">
        <v>1344</v>
      </c>
      <c r="C138" t="s">
        <v>1267</v>
      </c>
      <c r="D138">
        <v>670</v>
      </c>
      <c r="E138" t="s">
        <v>1010</v>
      </c>
      <c r="F138" t="s">
        <v>1242</v>
      </c>
      <c r="G138">
        <v>2500</v>
      </c>
      <c r="H138" t="s">
        <v>1270</v>
      </c>
      <c r="L138">
        <v>670.1</v>
      </c>
    </row>
    <row r="139" spans="1:12" x14ac:dyDescent="0.25">
      <c r="A139" t="s">
        <v>1273</v>
      </c>
      <c r="B139">
        <v>1342</v>
      </c>
      <c r="C139" t="s">
        <v>1267</v>
      </c>
      <c r="D139">
        <v>113</v>
      </c>
      <c r="E139" t="s">
        <v>1001</v>
      </c>
      <c r="F139" t="s">
        <v>1221</v>
      </c>
      <c r="G139">
        <v>4032</v>
      </c>
      <c r="H139" t="s">
        <v>1274</v>
      </c>
      <c r="L139">
        <v>113.1</v>
      </c>
    </row>
    <row r="140" spans="1:12" x14ac:dyDescent="0.25">
      <c r="A140" t="s">
        <v>1273</v>
      </c>
      <c r="B140">
        <v>1342</v>
      </c>
      <c r="C140" t="s">
        <v>1267</v>
      </c>
      <c r="D140">
        <v>115</v>
      </c>
      <c r="E140" t="s">
        <v>1001</v>
      </c>
      <c r="F140" t="s">
        <v>1224</v>
      </c>
      <c r="G140">
        <v>58329.48</v>
      </c>
      <c r="H140" t="s">
        <v>1274</v>
      </c>
      <c r="L140">
        <v>115.1</v>
      </c>
    </row>
    <row r="141" spans="1:12" x14ac:dyDescent="0.25">
      <c r="A141" t="s">
        <v>1273</v>
      </c>
      <c r="B141">
        <v>1342</v>
      </c>
      <c r="C141" t="s">
        <v>1267</v>
      </c>
      <c r="D141">
        <v>130</v>
      </c>
      <c r="E141" t="s">
        <v>1001</v>
      </c>
      <c r="F141" t="s">
        <v>1229</v>
      </c>
      <c r="G141">
        <v>654076.51879677479</v>
      </c>
      <c r="H141" t="s">
        <v>1274</v>
      </c>
      <c r="L141">
        <v>130.1</v>
      </c>
    </row>
    <row r="142" spans="1:12" x14ac:dyDescent="0.25">
      <c r="A142" t="s">
        <v>1273</v>
      </c>
      <c r="B142">
        <v>1342</v>
      </c>
      <c r="C142" t="s">
        <v>1267</v>
      </c>
      <c r="D142">
        <v>445</v>
      </c>
      <c r="E142" t="s">
        <v>1248</v>
      </c>
      <c r="F142" t="s">
        <v>1271</v>
      </c>
      <c r="G142">
        <v>335004</v>
      </c>
      <c r="H142" t="s">
        <v>1274</v>
      </c>
      <c r="L142">
        <v>445.1</v>
      </c>
    </row>
    <row r="143" spans="1:12" x14ac:dyDescent="0.25">
      <c r="A143" t="s">
        <v>1273</v>
      </c>
      <c r="B143">
        <v>1342</v>
      </c>
      <c r="C143" t="s">
        <v>1267</v>
      </c>
      <c r="D143">
        <v>470</v>
      </c>
      <c r="E143" t="s">
        <v>1005</v>
      </c>
      <c r="F143" t="s">
        <v>1247</v>
      </c>
      <c r="G143">
        <v>9700</v>
      </c>
      <c r="H143" t="s">
        <v>1274</v>
      </c>
      <c r="L143">
        <v>470.1</v>
      </c>
    </row>
    <row r="144" spans="1:12" x14ac:dyDescent="0.25">
      <c r="A144" t="s">
        <v>1273</v>
      </c>
      <c r="B144">
        <v>1342</v>
      </c>
      <c r="C144" t="s">
        <v>1267</v>
      </c>
      <c r="D144">
        <v>520</v>
      </c>
      <c r="E144" t="s">
        <v>1008</v>
      </c>
      <c r="F144" t="s">
        <v>1232</v>
      </c>
      <c r="G144">
        <v>30000</v>
      </c>
      <c r="H144" t="s">
        <v>1274</v>
      </c>
      <c r="L144">
        <v>520.1</v>
      </c>
    </row>
    <row r="145" spans="1:12" x14ac:dyDescent="0.25">
      <c r="A145" t="s">
        <v>1273</v>
      </c>
      <c r="B145">
        <v>1342</v>
      </c>
      <c r="C145" t="s">
        <v>1267</v>
      </c>
      <c r="D145">
        <v>540</v>
      </c>
      <c r="E145" t="s">
        <v>1008</v>
      </c>
      <c r="F145" t="s">
        <v>1233</v>
      </c>
      <c r="G145">
        <v>15996</v>
      </c>
      <c r="H145" t="s">
        <v>1274</v>
      </c>
      <c r="L145">
        <v>540.1</v>
      </c>
    </row>
    <row r="146" spans="1:12" x14ac:dyDescent="0.25">
      <c r="A146" t="s">
        <v>1273</v>
      </c>
      <c r="B146">
        <v>1342</v>
      </c>
      <c r="C146" t="s">
        <v>1267</v>
      </c>
      <c r="D146">
        <v>580</v>
      </c>
      <c r="E146" t="s">
        <v>1008</v>
      </c>
      <c r="F146" t="s">
        <v>1236</v>
      </c>
      <c r="G146">
        <v>0</v>
      </c>
      <c r="H146" t="s">
        <v>1274</v>
      </c>
      <c r="L146">
        <v>580.1</v>
      </c>
    </row>
    <row r="147" spans="1:12" x14ac:dyDescent="0.25">
      <c r="A147" t="s">
        <v>1273</v>
      </c>
      <c r="B147">
        <v>1342</v>
      </c>
      <c r="C147" t="s">
        <v>1267</v>
      </c>
      <c r="D147">
        <v>610</v>
      </c>
      <c r="E147" t="s">
        <v>1010</v>
      </c>
      <c r="F147" t="s">
        <v>1237</v>
      </c>
      <c r="G147">
        <v>3996</v>
      </c>
      <c r="H147" t="s">
        <v>1274</v>
      </c>
      <c r="L147">
        <v>610.1</v>
      </c>
    </row>
    <row r="148" spans="1:12" x14ac:dyDescent="0.25">
      <c r="A148" t="s">
        <v>1273</v>
      </c>
      <c r="B148">
        <v>1342</v>
      </c>
      <c r="C148" t="s">
        <v>1267</v>
      </c>
      <c r="D148">
        <v>614</v>
      </c>
      <c r="E148" t="s">
        <v>1010</v>
      </c>
      <c r="F148" t="s">
        <v>930</v>
      </c>
      <c r="G148">
        <v>8004</v>
      </c>
      <c r="L148">
        <v>614.1</v>
      </c>
    </row>
    <row r="149" spans="1:12" x14ac:dyDescent="0.25">
      <c r="A149" t="s">
        <v>1273</v>
      </c>
      <c r="B149">
        <v>1342</v>
      </c>
      <c r="C149" t="s">
        <v>1267</v>
      </c>
      <c r="D149">
        <v>615</v>
      </c>
      <c r="E149" t="s">
        <v>1010</v>
      </c>
      <c r="F149" t="s">
        <v>1238</v>
      </c>
      <c r="G149">
        <v>2004</v>
      </c>
      <c r="H149" t="s">
        <v>1274</v>
      </c>
      <c r="L149">
        <v>615.1</v>
      </c>
    </row>
    <row r="150" spans="1:12" x14ac:dyDescent="0.25">
      <c r="A150" t="s">
        <v>1273</v>
      </c>
      <c r="B150">
        <v>1342</v>
      </c>
      <c r="C150" t="s">
        <v>1267</v>
      </c>
      <c r="D150">
        <v>640</v>
      </c>
      <c r="E150" t="s">
        <v>1248</v>
      </c>
      <c r="F150" t="s">
        <v>1249</v>
      </c>
      <c r="G150">
        <v>0</v>
      </c>
      <c r="L150">
        <v>640.1</v>
      </c>
    </row>
    <row r="151" spans="1:12" x14ac:dyDescent="0.25">
      <c r="A151" t="s">
        <v>1273</v>
      </c>
      <c r="B151">
        <v>1342</v>
      </c>
      <c r="C151" t="s">
        <v>1267</v>
      </c>
      <c r="D151">
        <v>640</v>
      </c>
      <c r="E151" t="s">
        <v>1248</v>
      </c>
      <c r="F151" t="s">
        <v>1249</v>
      </c>
      <c r="G151">
        <v>0</v>
      </c>
      <c r="L151">
        <v>640.1</v>
      </c>
    </row>
    <row r="152" spans="1:12" x14ac:dyDescent="0.25">
      <c r="A152" t="s">
        <v>1273</v>
      </c>
      <c r="B152">
        <v>1342</v>
      </c>
      <c r="C152" t="s">
        <v>1267</v>
      </c>
      <c r="D152">
        <v>655</v>
      </c>
      <c r="E152" t="s">
        <v>1010</v>
      </c>
      <c r="F152" t="s">
        <v>1240</v>
      </c>
      <c r="G152">
        <v>0</v>
      </c>
      <c r="H152" t="s">
        <v>1274</v>
      </c>
      <c r="L152">
        <v>655.1</v>
      </c>
    </row>
    <row r="153" spans="1:12" x14ac:dyDescent="0.25">
      <c r="A153" t="s">
        <v>1273</v>
      </c>
      <c r="B153">
        <v>1342</v>
      </c>
      <c r="C153" t="s">
        <v>1267</v>
      </c>
      <c r="D153">
        <v>665</v>
      </c>
      <c r="E153" t="s">
        <v>1010</v>
      </c>
      <c r="F153" t="s">
        <v>1241</v>
      </c>
      <c r="G153">
        <v>0</v>
      </c>
      <c r="H153" t="s">
        <v>1274</v>
      </c>
      <c r="L153">
        <v>665.1</v>
      </c>
    </row>
    <row r="154" spans="1:12" x14ac:dyDescent="0.25">
      <c r="A154" t="s">
        <v>1273</v>
      </c>
      <c r="B154">
        <v>1342</v>
      </c>
      <c r="C154" t="s">
        <v>1267</v>
      </c>
      <c r="D154">
        <v>670</v>
      </c>
      <c r="E154" t="s">
        <v>1010</v>
      </c>
      <c r="F154" t="s">
        <v>1242</v>
      </c>
      <c r="G154">
        <v>1000</v>
      </c>
      <c r="H154" t="s">
        <v>1274</v>
      </c>
      <c r="L154">
        <v>670.1</v>
      </c>
    </row>
    <row r="155" spans="1:12" x14ac:dyDescent="0.25">
      <c r="A155" t="s">
        <v>1219</v>
      </c>
      <c r="B155">
        <v>1311</v>
      </c>
      <c r="C155" t="s">
        <v>1267</v>
      </c>
      <c r="D155">
        <v>113</v>
      </c>
      <c r="E155" t="s">
        <v>1001</v>
      </c>
      <c r="F155" t="s">
        <v>1221</v>
      </c>
      <c r="G155">
        <v>0</v>
      </c>
      <c r="H155" t="s">
        <v>1222</v>
      </c>
      <c r="L155">
        <v>113.1</v>
      </c>
    </row>
    <row r="156" spans="1:12" x14ac:dyDescent="0.25">
      <c r="A156" t="s">
        <v>1219</v>
      </c>
      <c r="B156">
        <v>1321</v>
      </c>
      <c r="C156" t="s">
        <v>1267</v>
      </c>
      <c r="D156">
        <v>113</v>
      </c>
      <c r="E156" t="s">
        <v>1001</v>
      </c>
      <c r="F156" t="s">
        <v>1221</v>
      </c>
      <c r="G156">
        <v>0</v>
      </c>
      <c r="H156" t="s">
        <v>1222</v>
      </c>
      <c r="L156">
        <v>113.1</v>
      </c>
    </row>
    <row r="157" spans="1:12" x14ac:dyDescent="0.25">
      <c r="A157" t="s">
        <v>1219</v>
      </c>
      <c r="B157">
        <v>1331</v>
      </c>
      <c r="C157" t="s">
        <v>1267</v>
      </c>
      <c r="D157">
        <v>113</v>
      </c>
      <c r="E157" t="s">
        <v>1001</v>
      </c>
      <c r="F157" t="s">
        <v>1221</v>
      </c>
      <c r="G157">
        <v>3360</v>
      </c>
      <c r="H157" t="s">
        <v>1222</v>
      </c>
      <c r="L157">
        <v>113.1</v>
      </c>
    </row>
    <row r="158" spans="1:12" x14ac:dyDescent="0.25">
      <c r="A158" t="s">
        <v>1219</v>
      </c>
      <c r="B158">
        <v>1311</v>
      </c>
      <c r="C158" t="s">
        <v>1267</v>
      </c>
      <c r="D158">
        <v>115</v>
      </c>
      <c r="E158" t="s">
        <v>1001</v>
      </c>
      <c r="F158" t="s">
        <v>1224</v>
      </c>
      <c r="G158">
        <v>107621.88</v>
      </c>
      <c r="H158" t="s">
        <v>682</v>
      </c>
      <c r="L158">
        <v>115.1</v>
      </c>
    </row>
    <row r="159" spans="1:12" x14ac:dyDescent="0.25">
      <c r="A159" t="s">
        <v>1219</v>
      </c>
      <c r="B159">
        <v>1321</v>
      </c>
      <c r="C159" t="s">
        <v>1267</v>
      </c>
      <c r="D159">
        <v>115</v>
      </c>
      <c r="E159" t="s">
        <v>1001</v>
      </c>
      <c r="F159" t="s">
        <v>1224</v>
      </c>
      <c r="G159">
        <v>73059.490000000005</v>
      </c>
      <c r="H159" t="s">
        <v>682</v>
      </c>
      <c r="L159">
        <v>115.1</v>
      </c>
    </row>
    <row r="160" spans="1:12" x14ac:dyDescent="0.25">
      <c r="A160" t="s">
        <v>1219</v>
      </c>
      <c r="B160">
        <v>1331</v>
      </c>
      <c r="C160" t="s">
        <v>1267</v>
      </c>
      <c r="D160">
        <v>115</v>
      </c>
      <c r="E160" t="s">
        <v>1001</v>
      </c>
      <c r="F160" t="s">
        <v>1224</v>
      </c>
      <c r="G160">
        <v>32694</v>
      </c>
      <c r="H160" t="s">
        <v>682</v>
      </c>
      <c r="L160">
        <v>115.1</v>
      </c>
    </row>
    <row r="161" spans="1:12" x14ac:dyDescent="0.25">
      <c r="A161" t="s">
        <v>1219</v>
      </c>
      <c r="B161">
        <v>1311</v>
      </c>
      <c r="C161" t="s">
        <v>1267</v>
      </c>
      <c r="D161">
        <v>116</v>
      </c>
      <c r="E161" t="s">
        <v>1001</v>
      </c>
      <c r="F161" t="s">
        <v>1225</v>
      </c>
      <c r="G161">
        <v>0</v>
      </c>
      <c r="L161">
        <v>116.1</v>
      </c>
    </row>
    <row r="162" spans="1:12" x14ac:dyDescent="0.25">
      <c r="A162" t="s">
        <v>1219</v>
      </c>
      <c r="B162">
        <v>1321</v>
      </c>
      <c r="C162" t="s">
        <v>1267</v>
      </c>
      <c r="D162">
        <v>116</v>
      </c>
      <c r="E162" t="s">
        <v>1001</v>
      </c>
      <c r="F162" t="s">
        <v>1225</v>
      </c>
      <c r="G162">
        <v>0</v>
      </c>
      <c r="H162" t="s">
        <v>682</v>
      </c>
      <c r="L162">
        <v>116.1</v>
      </c>
    </row>
    <row r="163" spans="1:12" x14ac:dyDescent="0.25">
      <c r="A163" t="s">
        <v>1219</v>
      </c>
      <c r="B163">
        <v>1331</v>
      </c>
      <c r="C163" t="s">
        <v>1267</v>
      </c>
      <c r="D163">
        <v>116</v>
      </c>
      <c r="E163" t="s">
        <v>1001</v>
      </c>
      <c r="F163" t="s">
        <v>1225</v>
      </c>
      <c r="G163">
        <v>0</v>
      </c>
      <c r="H163" t="s">
        <v>682</v>
      </c>
      <c r="L163">
        <v>116.1</v>
      </c>
    </row>
    <row r="164" spans="1:12" x14ac:dyDescent="0.25">
      <c r="A164" t="s">
        <v>1219</v>
      </c>
      <c r="B164">
        <v>1311</v>
      </c>
      <c r="C164" t="s">
        <v>1267</v>
      </c>
      <c r="D164">
        <v>130</v>
      </c>
      <c r="E164" t="s">
        <v>1001</v>
      </c>
      <c r="F164" t="s">
        <v>1229</v>
      </c>
      <c r="G164">
        <v>311339.61186278501</v>
      </c>
      <c r="H164" t="s">
        <v>682</v>
      </c>
      <c r="L164">
        <v>130.1</v>
      </c>
    </row>
    <row r="165" spans="1:12" x14ac:dyDescent="0.25">
      <c r="A165" t="s">
        <v>1219</v>
      </c>
      <c r="B165">
        <v>1321</v>
      </c>
      <c r="C165" t="s">
        <v>1267</v>
      </c>
      <c r="D165">
        <v>130</v>
      </c>
      <c r="E165" t="s">
        <v>1001</v>
      </c>
      <c r="F165" t="s">
        <v>1229</v>
      </c>
      <c r="G165">
        <v>615997.75521328789</v>
      </c>
      <c r="H165" t="s">
        <v>682</v>
      </c>
      <c r="L165">
        <v>130.1</v>
      </c>
    </row>
    <row r="166" spans="1:12" x14ac:dyDescent="0.25">
      <c r="A166" t="s">
        <v>1219</v>
      </c>
      <c r="B166">
        <v>1331</v>
      </c>
      <c r="C166" t="s">
        <v>1267</v>
      </c>
      <c r="D166">
        <v>130</v>
      </c>
      <c r="E166" t="s">
        <v>1001</v>
      </c>
      <c r="F166" t="s">
        <v>1229</v>
      </c>
      <c r="G166">
        <v>311542.38298274361</v>
      </c>
      <c r="H166" t="s">
        <v>682</v>
      </c>
      <c r="L166">
        <v>130.1</v>
      </c>
    </row>
    <row r="167" spans="1:12" x14ac:dyDescent="0.25">
      <c r="A167" t="s">
        <v>1219</v>
      </c>
      <c r="B167">
        <v>1341</v>
      </c>
      <c r="C167" t="s">
        <v>1267</v>
      </c>
      <c r="D167">
        <v>130</v>
      </c>
      <c r="E167" t="s">
        <v>1001</v>
      </c>
      <c r="F167" t="s">
        <v>1229</v>
      </c>
      <c r="G167">
        <v>0</v>
      </c>
      <c r="H167" t="s">
        <v>682</v>
      </c>
      <c r="L167">
        <v>130.1</v>
      </c>
    </row>
    <row r="168" spans="1:12" x14ac:dyDescent="0.25">
      <c r="A168" t="s">
        <v>1230</v>
      </c>
      <c r="B168">
        <v>1311</v>
      </c>
      <c r="C168" t="s">
        <v>1267</v>
      </c>
      <c r="D168">
        <v>510</v>
      </c>
      <c r="E168" t="s">
        <v>1008</v>
      </c>
      <c r="F168" t="s">
        <v>1231</v>
      </c>
      <c r="G168">
        <v>2496</v>
      </c>
      <c r="H168" t="s">
        <v>683</v>
      </c>
      <c r="L168">
        <v>510.1</v>
      </c>
    </row>
    <row r="169" spans="1:12" x14ac:dyDescent="0.25">
      <c r="A169" t="s">
        <v>1230</v>
      </c>
      <c r="B169">
        <v>1321</v>
      </c>
      <c r="C169" t="s">
        <v>1267</v>
      </c>
      <c r="D169">
        <v>510</v>
      </c>
      <c r="E169" t="s">
        <v>1008</v>
      </c>
      <c r="F169" t="s">
        <v>1231</v>
      </c>
      <c r="G169">
        <v>1752</v>
      </c>
      <c r="H169" t="s">
        <v>683</v>
      </c>
      <c r="L169">
        <v>510.1</v>
      </c>
    </row>
    <row r="170" spans="1:12" x14ac:dyDescent="0.25">
      <c r="A170" t="s">
        <v>1230</v>
      </c>
      <c r="B170">
        <v>1331</v>
      </c>
      <c r="C170" t="s">
        <v>1267</v>
      </c>
      <c r="D170">
        <v>510</v>
      </c>
      <c r="E170" t="s">
        <v>1008</v>
      </c>
      <c r="F170" t="s">
        <v>1231</v>
      </c>
      <c r="G170">
        <v>13900</v>
      </c>
      <c r="L170">
        <v>510.1</v>
      </c>
    </row>
    <row r="171" spans="1:12" x14ac:dyDescent="0.25">
      <c r="A171" t="s">
        <v>1230</v>
      </c>
      <c r="B171">
        <v>1311</v>
      </c>
      <c r="C171" t="s">
        <v>1267</v>
      </c>
      <c r="D171">
        <v>520</v>
      </c>
      <c r="E171" t="s">
        <v>1008</v>
      </c>
      <c r="F171" t="s">
        <v>1232</v>
      </c>
      <c r="G171">
        <v>6504</v>
      </c>
      <c r="H171" t="s">
        <v>683</v>
      </c>
      <c r="L171">
        <v>520.1</v>
      </c>
    </row>
    <row r="172" spans="1:12" x14ac:dyDescent="0.25">
      <c r="A172" t="s">
        <v>1230</v>
      </c>
      <c r="B172">
        <v>1321</v>
      </c>
      <c r="C172" t="s">
        <v>1267</v>
      </c>
      <c r="D172">
        <v>520</v>
      </c>
      <c r="E172" t="s">
        <v>1008</v>
      </c>
      <c r="F172" t="s">
        <v>1232</v>
      </c>
      <c r="G172">
        <v>21000</v>
      </c>
      <c r="H172" t="s">
        <v>683</v>
      </c>
      <c r="L172">
        <v>520.1</v>
      </c>
    </row>
    <row r="173" spans="1:12" x14ac:dyDescent="0.25">
      <c r="A173" t="s">
        <v>1230</v>
      </c>
      <c r="B173">
        <v>1331</v>
      </c>
      <c r="C173" t="s">
        <v>1267</v>
      </c>
      <c r="D173">
        <v>520</v>
      </c>
      <c r="E173" t="s">
        <v>1008</v>
      </c>
      <c r="F173" t="s">
        <v>1232</v>
      </c>
      <c r="G173">
        <v>9524</v>
      </c>
      <c r="H173" t="s">
        <v>683</v>
      </c>
      <c r="L173">
        <v>520.1</v>
      </c>
    </row>
    <row r="174" spans="1:12" x14ac:dyDescent="0.25">
      <c r="A174" t="s">
        <v>1230</v>
      </c>
      <c r="B174">
        <v>1311</v>
      </c>
      <c r="C174" t="s">
        <v>1267</v>
      </c>
      <c r="D174">
        <v>540</v>
      </c>
      <c r="E174" t="s">
        <v>1008</v>
      </c>
      <c r="F174" t="s">
        <v>1233</v>
      </c>
      <c r="G174">
        <v>12504</v>
      </c>
      <c r="H174" t="s">
        <v>683</v>
      </c>
      <c r="L174">
        <v>540.1</v>
      </c>
    </row>
    <row r="175" spans="1:12" x14ac:dyDescent="0.25">
      <c r="A175" t="s">
        <v>1230</v>
      </c>
      <c r="B175">
        <v>1321</v>
      </c>
      <c r="C175" t="s">
        <v>1267</v>
      </c>
      <c r="D175">
        <v>540</v>
      </c>
      <c r="E175" t="s">
        <v>1008</v>
      </c>
      <c r="F175" t="s">
        <v>1233</v>
      </c>
      <c r="G175">
        <v>35004</v>
      </c>
      <c r="H175" t="s">
        <v>683</v>
      </c>
      <c r="L175">
        <v>540.1</v>
      </c>
    </row>
    <row r="176" spans="1:12" x14ac:dyDescent="0.25">
      <c r="A176" t="s">
        <v>1230</v>
      </c>
      <c r="B176">
        <v>1331</v>
      </c>
      <c r="C176" t="s">
        <v>1267</v>
      </c>
      <c r="D176">
        <v>540</v>
      </c>
      <c r="E176" t="s">
        <v>1008</v>
      </c>
      <c r="F176" t="s">
        <v>1233</v>
      </c>
      <c r="G176">
        <v>6012</v>
      </c>
      <c r="H176" t="s">
        <v>683</v>
      </c>
      <c r="L176">
        <v>540.1</v>
      </c>
    </row>
    <row r="177" spans="1:12" x14ac:dyDescent="0.25">
      <c r="A177" t="s">
        <v>1230</v>
      </c>
      <c r="B177">
        <v>1321</v>
      </c>
      <c r="C177" t="s">
        <v>1267</v>
      </c>
      <c r="D177">
        <v>550</v>
      </c>
      <c r="E177" t="s">
        <v>1008</v>
      </c>
      <c r="F177" t="s">
        <v>1234</v>
      </c>
      <c r="G177">
        <v>0</v>
      </c>
      <c r="H177" t="s">
        <v>683</v>
      </c>
      <c r="L177">
        <v>550.1</v>
      </c>
    </row>
    <row r="178" spans="1:12" x14ac:dyDescent="0.25">
      <c r="A178" t="s">
        <v>1230</v>
      </c>
      <c r="B178">
        <v>1331</v>
      </c>
      <c r="C178" t="s">
        <v>1267</v>
      </c>
      <c r="D178">
        <v>550</v>
      </c>
      <c r="E178" t="s">
        <v>1008</v>
      </c>
      <c r="F178" t="s">
        <v>1234</v>
      </c>
      <c r="G178">
        <v>0</v>
      </c>
      <c r="L178">
        <v>550.1</v>
      </c>
    </row>
    <row r="179" spans="1:12" x14ac:dyDescent="0.25">
      <c r="A179" t="s">
        <v>1230</v>
      </c>
      <c r="B179">
        <v>1311</v>
      </c>
      <c r="C179" t="s">
        <v>1267</v>
      </c>
      <c r="D179">
        <v>560</v>
      </c>
      <c r="E179" t="s">
        <v>1008</v>
      </c>
      <c r="F179" t="s">
        <v>1235</v>
      </c>
      <c r="G179">
        <v>0</v>
      </c>
      <c r="H179" t="s">
        <v>683</v>
      </c>
      <c r="L179">
        <v>560.1</v>
      </c>
    </row>
    <row r="180" spans="1:12" x14ac:dyDescent="0.25">
      <c r="A180" t="s">
        <v>1230</v>
      </c>
      <c r="B180">
        <v>1321</v>
      </c>
      <c r="C180" t="s">
        <v>1267</v>
      </c>
      <c r="D180">
        <v>560</v>
      </c>
      <c r="E180" t="s">
        <v>1008</v>
      </c>
      <c r="F180" t="s">
        <v>1235</v>
      </c>
      <c r="G180">
        <v>0</v>
      </c>
      <c r="H180" t="s">
        <v>683</v>
      </c>
      <c r="L180">
        <v>560.1</v>
      </c>
    </row>
    <row r="181" spans="1:12" x14ac:dyDescent="0.25">
      <c r="A181" t="s">
        <v>1230</v>
      </c>
      <c r="B181">
        <v>1311</v>
      </c>
      <c r="C181" t="s">
        <v>1267</v>
      </c>
      <c r="D181">
        <v>570</v>
      </c>
      <c r="E181" t="s">
        <v>1008</v>
      </c>
      <c r="F181" t="s">
        <v>1272</v>
      </c>
      <c r="G181">
        <v>0</v>
      </c>
      <c r="H181" t="s">
        <v>683</v>
      </c>
      <c r="L181">
        <v>570.1</v>
      </c>
    </row>
    <row r="182" spans="1:12" x14ac:dyDescent="0.25">
      <c r="A182" t="s">
        <v>1230</v>
      </c>
      <c r="B182">
        <v>1311</v>
      </c>
      <c r="C182" t="s">
        <v>1267</v>
      </c>
      <c r="D182">
        <v>580</v>
      </c>
      <c r="E182" t="s">
        <v>1008</v>
      </c>
      <c r="F182" t="s">
        <v>1236</v>
      </c>
      <c r="G182">
        <v>0</v>
      </c>
      <c r="H182" t="s">
        <v>683</v>
      </c>
      <c r="L182">
        <v>580.1</v>
      </c>
    </row>
    <row r="183" spans="1:12" x14ac:dyDescent="0.25">
      <c r="A183" t="s">
        <v>1230</v>
      </c>
      <c r="B183">
        <v>1321</v>
      </c>
      <c r="C183" t="s">
        <v>1267</v>
      </c>
      <c r="D183">
        <v>580</v>
      </c>
      <c r="E183" t="s">
        <v>1008</v>
      </c>
      <c r="F183" t="s">
        <v>1236</v>
      </c>
      <c r="G183">
        <v>0</v>
      </c>
      <c r="H183" t="s">
        <v>683</v>
      </c>
      <c r="L183">
        <v>580.1</v>
      </c>
    </row>
    <row r="184" spans="1:12" x14ac:dyDescent="0.25">
      <c r="A184" t="s">
        <v>1230</v>
      </c>
      <c r="B184">
        <v>1331</v>
      </c>
      <c r="C184" t="s">
        <v>1267</v>
      </c>
      <c r="D184">
        <v>580</v>
      </c>
      <c r="E184" t="s">
        <v>1008</v>
      </c>
      <c r="F184" t="s">
        <v>1236</v>
      </c>
      <c r="G184">
        <v>732</v>
      </c>
      <c r="L184">
        <v>580.1</v>
      </c>
    </row>
    <row r="185" spans="1:12" x14ac:dyDescent="0.25">
      <c r="A185" t="s">
        <v>1230</v>
      </c>
      <c r="B185">
        <v>1311</v>
      </c>
      <c r="C185" t="s">
        <v>1267</v>
      </c>
      <c r="D185">
        <v>610</v>
      </c>
      <c r="E185" t="s">
        <v>1010</v>
      </c>
      <c r="F185" t="s">
        <v>1237</v>
      </c>
      <c r="G185">
        <v>0</v>
      </c>
      <c r="H185" t="s">
        <v>683</v>
      </c>
      <c r="L185">
        <v>610.1</v>
      </c>
    </row>
    <row r="186" spans="1:12" x14ac:dyDescent="0.25">
      <c r="A186" t="s">
        <v>1230</v>
      </c>
      <c r="B186">
        <v>1321</v>
      </c>
      <c r="C186" t="s">
        <v>1267</v>
      </c>
      <c r="D186">
        <v>610</v>
      </c>
      <c r="E186" t="s">
        <v>1010</v>
      </c>
      <c r="F186" t="s">
        <v>1237</v>
      </c>
      <c r="G186">
        <v>52500</v>
      </c>
      <c r="H186" t="s">
        <v>683</v>
      </c>
      <c r="L186">
        <v>610.1</v>
      </c>
    </row>
    <row r="187" spans="1:12" x14ac:dyDescent="0.25">
      <c r="A187" t="s">
        <v>1230</v>
      </c>
      <c r="B187">
        <v>1331</v>
      </c>
      <c r="C187" t="s">
        <v>1267</v>
      </c>
      <c r="D187">
        <v>610</v>
      </c>
      <c r="E187" t="s">
        <v>1010</v>
      </c>
      <c r="F187" t="s">
        <v>1237</v>
      </c>
      <c r="G187">
        <v>0</v>
      </c>
      <c r="H187" t="s">
        <v>683</v>
      </c>
      <c r="L187">
        <v>610.1</v>
      </c>
    </row>
    <row r="188" spans="1:12" x14ac:dyDescent="0.25">
      <c r="A188" t="s">
        <v>1230</v>
      </c>
      <c r="B188">
        <v>1311</v>
      </c>
      <c r="C188" t="s">
        <v>1267</v>
      </c>
      <c r="D188">
        <v>615</v>
      </c>
      <c r="E188" t="s">
        <v>1010</v>
      </c>
      <c r="F188" t="s">
        <v>1238</v>
      </c>
      <c r="G188">
        <v>0</v>
      </c>
      <c r="H188" t="s">
        <v>683</v>
      </c>
      <c r="L188">
        <v>615.1</v>
      </c>
    </row>
    <row r="189" spans="1:12" x14ac:dyDescent="0.25">
      <c r="A189" t="s">
        <v>1230</v>
      </c>
      <c r="B189">
        <v>1321</v>
      </c>
      <c r="C189" t="s">
        <v>1267</v>
      </c>
      <c r="D189">
        <v>615</v>
      </c>
      <c r="E189" t="s">
        <v>1010</v>
      </c>
      <c r="F189" t="s">
        <v>1238</v>
      </c>
      <c r="G189">
        <v>24996</v>
      </c>
      <c r="H189" t="s">
        <v>683</v>
      </c>
      <c r="L189">
        <v>615.1</v>
      </c>
    </row>
    <row r="190" spans="1:12" x14ac:dyDescent="0.25">
      <c r="A190" t="s">
        <v>1230</v>
      </c>
      <c r="B190">
        <v>1331</v>
      </c>
      <c r="C190" t="s">
        <v>1267</v>
      </c>
      <c r="D190">
        <v>615</v>
      </c>
      <c r="E190" t="s">
        <v>1010</v>
      </c>
      <c r="F190" t="s">
        <v>1238</v>
      </c>
      <c r="G190">
        <v>0</v>
      </c>
      <c r="H190" t="s">
        <v>683</v>
      </c>
      <c r="L190">
        <v>615.1</v>
      </c>
    </row>
    <row r="191" spans="1:12" x14ac:dyDescent="0.25">
      <c r="A191" t="s">
        <v>1230</v>
      </c>
      <c r="B191">
        <v>1311</v>
      </c>
      <c r="C191" t="s">
        <v>1267</v>
      </c>
      <c r="D191">
        <v>620</v>
      </c>
      <c r="E191" t="s">
        <v>1010</v>
      </c>
      <c r="F191" t="s">
        <v>1239</v>
      </c>
      <c r="G191">
        <v>0</v>
      </c>
      <c r="H191" t="s">
        <v>683</v>
      </c>
      <c r="L191">
        <v>620.1</v>
      </c>
    </row>
    <row r="192" spans="1:12" x14ac:dyDescent="0.25">
      <c r="A192" t="s">
        <v>1230</v>
      </c>
      <c r="B192">
        <v>1321</v>
      </c>
      <c r="C192" t="s">
        <v>1267</v>
      </c>
      <c r="D192">
        <v>620</v>
      </c>
      <c r="E192" t="s">
        <v>1010</v>
      </c>
      <c r="F192" t="s">
        <v>1239</v>
      </c>
      <c r="G192">
        <v>10500</v>
      </c>
      <c r="H192" t="s">
        <v>683</v>
      </c>
      <c r="L192">
        <v>620.1</v>
      </c>
    </row>
    <row r="193" spans="1:12" x14ac:dyDescent="0.25">
      <c r="A193" t="s">
        <v>1230</v>
      </c>
      <c r="B193">
        <v>1311</v>
      </c>
      <c r="C193" t="s">
        <v>1267</v>
      </c>
      <c r="D193">
        <v>655</v>
      </c>
      <c r="E193" t="s">
        <v>1010</v>
      </c>
      <c r="F193" t="s">
        <v>1240</v>
      </c>
      <c r="G193">
        <v>0</v>
      </c>
      <c r="H193" t="s">
        <v>683</v>
      </c>
      <c r="L193">
        <v>655.1</v>
      </c>
    </row>
    <row r="194" spans="1:12" x14ac:dyDescent="0.25">
      <c r="A194" t="s">
        <v>1230</v>
      </c>
      <c r="B194">
        <v>1321</v>
      </c>
      <c r="C194" t="s">
        <v>1267</v>
      </c>
      <c r="D194">
        <v>655</v>
      </c>
      <c r="E194" t="s">
        <v>1010</v>
      </c>
      <c r="F194" t="s">
        <v>1240</v>
      </c>
      <c r="G194">
        <v>0</v>
      </c>
      <c r="H194" t="s">
        <v>683</v>
      </c>
      <c r="L194">
        <v>655.1</v>
      </c>
    </row>
    <row r="195" spans="1:12" x14ac:dyDescent="0.25">
      <c r="A195" t="s">
        <v>1230</v>
      </c>
      <c r="B195">
        <v>1311</v>
      </c>
      <c r="C195" t="s">
        <v>1267</v>
      </c>
      <c r="D195">
        <v>660</v>
      </c>
      <c r="E195" t="s">
        <v>1010</v>
      </c>
      <c r="F195" t="s">
        <v>1275</v>
      </c>
      <c r="G195">
        <v>0</v>
      </c>
      <c r="H195" t="s">
        <v>683</v>
      </c>
      <c r="L195">
        <v>660.1</v>
      </c>
    </row>
    <row r="196" spans="1:12" x14ac:dyDescent="0.25">
      <c r="A196" t="s">
        <v>1230</v>
      </c>
      <c r="B196">
        <v>1331</v>
      </c>
      <c r="C196" t="s">
        <v>1267</v>
      </c>
      <c r="D196">
        <v>660</v>
      </c>
      <c r="E196" t="s">
        <v>1010</v>
      </c>
      <c r="F196" t="s">
        <v>1275</v>
      </c>
      <c r="G196">
        <v>81996</v>
      </c>
      <c r="L196">
        <v>660.1</v>
      </c>
    </row>
    <row r="197" spans="1:12" x14ac:dyDescent="0.25">
      <c r="A197" t="s">
        <v>1230</v>
      </c>
      <c r="B197">
        <v>1311</v>
      </c>
      <c r="C197" t="s">
        <v>1267</v>
      </c>
      <c r="D197">
        <v>670</v>
      </c>
      <c r="E197" t="s">
        <v>1010</v>
      </c>
      <c r="F197" t="s">
        <v>1242</v>
      </c>
      <c r="G197">
        <v>0</v>
      </c>
      <c r="H197" t="s">
        <v>683</v>
      </c>
      <c r="L197">
        <v>670.1</v>
      </c>
    </row>
    <row r="198" spans="1:12" x14ac:dyDescent="0.25">
      <c r="A198" t="s">
        <v>1230</v>
      </c>
      <c r="B198">
        <v>1321</v>
      </c>
      <c r="C198" t="s">
        <v>1267</v>
      </c>
      <c r="D198">
        <v>670</v>
      </c>
      <c r="E198" t="s">
        <v>1010</v>
      </c>
      <c r="F198" t="s">
        <v>1242</v>
      </c>
      <c r="G198">
        <v>0</v>
      </c>
      <c r="H198" t="s">
        <v>683</v>
      </c>
      <c r="L198">
        <v>670.1</v>
      </c>
    </row>
    <row r="199" spans="1:12" x14ac:dyDescent="0.25">
      <c r="A199" t="s">
        <v>1230</v>
      </c>
      <c r="B199">
        <v>1331</v>
      </c>
      <c r="C199" t="s">
        <v>1267</v>
      </c>
      <c r="D199">
        <v>670</v>
      </c>
      <c r="E199" t="s">
        <v>1010</v>
      </c>
      <c r="F199" t="s">
        <v>1242</v>
      </c>
      <c r="G199">
        <v>0</v>
      </c>
      <c r="H199" t="s">
        <v>683</v>
      </c>
      <c r="L199">
        <v>670.1</v>
      </c>
    </row>
    <row r="200" spans="1:12" x14ac:dyDescent="0.25">
      <c r="A200" t="s">
        <v>1230</v>
      </c>
      <c r="B200">
        <v>1311</v>
      </c>
      <c r="C200" t="s">
        <v>1267</v>
      </c>
      <c r="D200">
        <v>710</v>
      </c>
      <c r="E200" t="s">
        <v>1012</v>
      </c>
      <c r="F200" t="s">
        <v>1243</v>
      </c>
      <c r="G200">
        <v>0</v>
      </c>
      <c r="H200" t="s">
        <v>683</v>
      </c>
      <c r="L200">
        <v>710.1</v>
      </c>
    </row>
    <row r="201" spans="1:12" x14ac:dyDescent="0.25">
      <c r="A201" t="s">
        <v>1244</v>
      </c>
      <c r="B201">
        <v>1311</v>
      </c>
      <c r="C201" t="s">
        <v>1267</v>
      </c>
      <c r="D201">
        <v>430</v>
      </c>
      <c r="E201" t="s">
        <v>1005</v>
      </c>
      <c r="F201" t="s">
        <v>1245</v>
      </c>
      <c r="G201">
        <v>99996</v>
      </c>
      <c r="H201" t="s">
        <v>684</v>
      </c>
      <c r="L201">
        <v>430.1</v>
      </c>
    </row>
    <row r="202" spans="1:12" x14ac:dyDescent="0.25">
      <c r="A202" t="s">
        <v>1244</v>
      </c>
      <c r="B202">
        <v>1321</v>
      </c>
      <c r="C202" t="s">
        <v>1267</v>
      </c>
      <c r="D202">
        <v>430</v>
      </c>
      <c r="E202" t="s">
        <v>1005</v>
      </c>
      <c r="F202" t="s">
        <v>1245</v>
      </c>
      <c r="G202">
        <v>100000</v>
      </c>
      <c r="H202" t="s">
        <v>684</v>
      </c>
      <c r="L202">
        <v>430.1</v>
      </c>
    </row>
    <row r="203" spans="1:12" x14ac:dyDescent="0.25">
      <c r="A203" t="s">
        <v>1244</v>
      </c>
      <c r="B203">
        <v>1331</v>
      </c>
      <c r="C203" t="s">
        <v>1267</v>
      </c>
      <c r="D203">
        <v>430</v>
      </c>
      <c r="E203" t="s">
        <v>1005</v>
      </c>
      <c r="F203" t="s">
        <v>1245</v>
      </c>
      <c r="G203">
        <v>75000</v>
      </c>
      <c r="L203">
        <v>430.1</v>
      </c>
    </row>
    <row r="204" spans="1:12" x14ac:dyDescent="0.25">
      <c r="A204" t="s">
        <v>1244</v>
      </c>
      <c r="B204">
        <v>1311</v>
      </c>
      <c r="C204" t="s">
        <v>1267</v>
      </c>
      <c r="D204">
        <v>450</v>
      </c>
      <c r="E204">
        <v>6</v>
      </c>
      <c r="F204" t="s">
        <v>1246</v>
      </c>
      <c r="G204">
        <v>0</v>
      </c>
      <c r="H204" t="s">
        <v>684</v>
      </c>
      <c r="L204">
        <v>450.1</v>
      </c>
    </row>
    <row r="205" spans="1:12" x14ac:dyDescent="0.25">
      <c r="A205" t="s">
        <v>1244</v>
      </c>
      <c r="B205">
        <v>1321</v>
      </c>
      <c r="C205" t="s">
        <v>1267</v>
      </c>
      <c r="D205">
        <v>450</v>
      </c>
      <c r="E205">
        <v>6</v>
      </c>
      <c r="F205" t="s">
        <v>1246</v>
      </c>
      <c r="G205">
        <v>1200004</v>
      </c>
      <c r="H205" t="s">
        <v>684</v>
      </c>
      <c r="L205">
        <v>450.1</v>
      </c>
    </row>
    <row r="206" spans="1:12" x14ac:dyDescent="0.25">
      <c r="A206" t="s">
        <v>1244</v>
      </c>
      <c r="B206">
        <v>1311</v>
      </c>
      <c r="C206" t="s">
        <v>1267</v>
      </c>
      <c r="D206">
        <v>470</v>
      </c>
      <c r="E206" t="s">
        <v>1005</v>
      </c>
      <c r="F206" t="s">
        <v>1247</v>
      </c>
      <c r="G206">
        <v>0</v>
      </c>
      <c r="H206" t="s">
        <v>684</v>
      </c>
      <c r="L206">
        <v>470.1</v>
      </c>
    </row>
    <row r="207" spans="1:12" x14ac:dyDescent="0.25">
      <c r="A207" t="s">
        <v>1244</v>
      </c>
      <c r="B207">
        <v>1321</v>
      </c>
      <c r="C207" t="s">
        <v>1267</v>
      </c>
      <c r="D207">
        <v>470</v>
      </c>
      <c r="E207" t="s">
        <v>1005</v>
      </c>
      <c r="F207" t="s">
        <v>1247</v>
      </c>
      <c r="G207">
        <v>0</v>
      </c>
      <c r="H207" t="s">
        <v>684</v>
      </c>
      <c r="L207">
        <v>470.1</v>
      </c>
    </row>
    <row r="208" spans="1:12" x14ac:dyDescent="0.25">
      <c r="A208" t="s">
        <v>1244</v>
      </c>
      <c r="B208">
        <v>1311</v>
      </c>
      <c r="C208" t="s">
        <v>1267</v>
      </c>
      <c r="D208">
        <v>640</v>
      </c>
      <c r="E208" t="s">
        <v>1248</v>
      </c>
      <c r="F208" t="s">
        <v>1249</v>
      </c>
      <c r="G208">
        <v>0</v>
      </c>
      <c r="H208" t="s">
        <v>684</v>
      </c>
      <c r="L208">
        <v>640.1</v>
      </c>
    </row>
    <row r="209" spans="1:12" x14ac:dyDescent="0.25">
      <c r="A209" t="s">
        <v>1244</v>
      </c>
      <c r="B209">
        <v>1321</v>
      </c>
      <c r="C209" t="s">
        <v>1267</v>
      </c>
      <c r="D209">
        <v>640</v>
      </c>
      <c r="E209" t="s">
        <v>1248</v>
      </c>
      <c r="F209" t="s">
        <v>1249</v>
      </c>
      <c r="G209">
        <v>0</v>
      </c>
      <c r="H209" t="s">
        <v>684</v>
      </c>
      <c r="L209">
        <v>640.1</v>
      </c>
    </row>
    <row r="210" spans="1:12" x14ac:dyDescent="0.25">
      <c r="A210" t="s">
        <v>1244</v>
      </c>
      <c r="B210">
        <v>1331</v>
      </c>
      <c r="C210" t="s">
        <v>1267</v>
      </c>
      <c r="D210">
        <v>640</v>
      </c>
      <c r="E210" t="s">
        <v>1248</v>
      </c>
      <c r="F210" t="s">
        <v>1249</v>
      </c>
      <c r="G210">
        <v>15000</v>
      </c>
      <c r="H210" t="s">
        <v>684</v>
      </c>
      <c r="L210">
        <v>640.1</v>
      </c>
    </row>
    <row r="211" spans="1:12" x14ac:dyDescent="0.25">
      <c r="A211" t="s">
        <v>1276</v>
      </c>
      <c r="B211">
        <v>1311</v>
      </c>
      <c r="C211" t="s">
        <v>1267</v>
      </c>
      <c r="D211">
        <v>310</v>
      </c>
      <c r="E211" t="s">
        <v>1004</v>
      </c>
      <c r="F211" t="s">
        <v>1277</v>
      </c>
      <c r="G211">
        <v>0</v>
      </c>
      <c r="H211" t="s">
        <v>685</v>
      </c>
      <c r="L211">
        <v>310.10000000000002</v>
      </c>
    </row>
    <row r="212" spans="1:12" x14ac:dyDescent="0.25">
      <c r="A212" t="s">
        <v>1276</v>
      </c>
      <c r="B212">
        <v>1321</v>
      </c>
      <c r="C212" t="s">
        <v>1267</v>
      </c>
      <c r="D212">
        <v>310</v>
      </c>
      <c r="E212" t="s">
        <v>1004</v>
      </c>
      <c r="F212" t="s">
        <v>1277</v>
      </c>
      <c r="G212">
        <v>0</v>
      </c>
      <c r="H212" t="s">
        <v>685</v>
      </c>
      <c r="L212">
        <v>310.10000000000002</v>
      </c>
    </row>
    <row r="213" spans="1:12" x14ac:dyDescent="0.25">
      <c r="A213" t="s">
        <v>1276</v>
      </c>
      <c r="B213">
        <v>1331</v>
      </c>
      <c r="C213" t="s">
        <v>1267</v>
      </c>
      <c r="D213">
        <v>310</v>
      </c>
      <c r="E213" t="s">
        <v>1004</v>
      </c>
      <c r="F213" t="s">
        <v>1277</v>
      </c>
      <c r="G213">
        <v>899074</v>
      </c>
      <c r="L213">
        <v>310.10000000000002</v>
      </c>
    </row>
    <row r="214" spans="1:12" x14ac:dyDescent="0.25">
      <c r="A214" t="s">
        <v>1278</v>
      </c>
      <c r="B214">
        <v>1311</v>
      </c>
      <c r="C214" t="s">
        <v>1267</v>
      </c>
      <c r="D214">
        <v>310</v>
      </c>
      <c r="E214" t="s">
        <v>1004</v>
      </c>
      <c r="F214" t="s">
        <v>1277</v>
      </c>
      <c r="G214">
        <v>0</v>
      </c>
      <c r="H214" t="s">
        <v>1279</v>
      </c>
      <c r="L214">
        <v>310.10000000000002</v>
      </c>
    </row>
    <row r="215" spans="1:12" x14ac:dyDescent="0.25">
      <c r="A215" t="s">
        <v>1280</v>
      </c>
      <c r="B215">
        <v>1321</v>
      </c>
      <c r="C215" t="s">
        <v>1267</v>
      </c>
      <c r="D215">
        <v>450</v>
      </c>
      <c r="E215">
        <v>6</v>
      </c>
      <c r="F215" t="s">
        <v>1246</v>
      </c>
      <c r="G215">
        <v>0</v>
      </c>
      <c r="L215">
        <v>450.1</v>
      </c>
    </row>
    <row r="216" spans="1:12" x14ac:dyDescent="0.25">
      <c r="A216" t="s">
        <v>1281</v>
      </c>
      <c r="B216">
        <v>1311</v>
      </c>
      <c r="C216" t="s">
        <v>1267</v>
      </c>
      <c r="D216">
        <v>660</v>
      </c>
      <c r="E216" t="s">
        <v>1010</v>
      </c>
      <c r="F216" t="s">
        <v>1275</v>
      </c>
      <c r="G216">
        <v>0</v>
      </c>
      <c r="L216">
        <v>660.1</v>
      </c>
    </row>
    <row r="217" spans="1:12" x14ac:dyDescent="0.25">
      <c r="A217" t="s">
        <v>1281</v>
      </c>
      <c r="B217">
        <v>1321</v>
      </c>
      <c r="C217" t="s">
        <v>1267</v>
      </c>
      <c r="D217">
        <v>660</v>
      </c>
      <c r="E217" t="s">
        <v>1010</v>
      </c>
      <c r="F217" t="s">
        <v>1275</v>
      </c>
      <c r="G217">
        <v>0</v>
      </c>
      <c r="H217" t="s">
        <v>1282</v>
      </c>
      <c r="L217">
        <v>660.1</v>
      </c>
    </row>
    <row r="218" spans="1:12" x14ac:dyDescent="0.25">
      <c r="A218" t="s">
        <v>1283</v>
      </c>
      <c r="B218">
        <v>1311</v>
      </c>
      <c r="C218" t="s">
        <v>1267</v>
      </c>
      <c r="D218">
        <v>850</v>
      </c>
      <c r="E218" t="s">
        <v>1012</v>
      </c>
      <c r="F218" t="s">
        <v>1284</v>
      </c>
      <c r="G218">
        <v>0</v>
      </c>
      <c r="H218" t="s">
        <v>437</v>
      </c>
      <c r="L218">
        <v>850.1</v>
      </c>
    </row>
    <row r="219" spans="1:12" x14ac:dyDescent="0.25">
      <c r="A219" t="s">
        <v>1253</v>
      </c>
      <c r="B219">
        <v>1321</v>
      </c>
      <c r="C219" t="s">
        <v>1267</v>
      </c>
      <c r="D219">
        <v>680</v>
      </c>
      <c r="E219" t="s">
        <v>1010</v>
      </c>
      <c r="F219" t="s">
        <v>1254</v>
      </c>
      <c r="G219">
        <v>0</v>
      </c>
      <c r="H219" t="s">
        <v>1255</v>
      </c>
      <c r="L219">
        <v>680.1</v>
      </c>
    </row>
    <row r="220" spans="1:12" x14ac:dyDescent="0.25">
      <c r="A220" t="s">
        <v>1258</v>
      </c>
      <c r="B220">
        <v>1311</v>
      </c>
      <c r="C220" t="s">
        <v>1267</v>
      </c>
      <c r="D220">
        <v>210</v>
      </c>
      <c r="E220" t="s">
        <v>1002</v>
      </c>
      <c r="F220" t="s">
        <v>336</v>
      </c>
      <c r="G220">
        <v>0</v>
      </c>
      <c r="H220" t="s">
        <v>1259</v>
      </c>
      <c r="L220">
        <v>210.1</v>
      </c>
    </row>
    <row r="221" spans="1:12" x14ac:dyDescent="0.25">
      <c r="A221" t="s">
        <v>1262</v>
      </c>
      <c r="B221">
        <v>1311</v>
      </c>
      <c r="C221" t="s">
        <v>1267</v>
      </c>
      <c r="D221">
        <v>240</v>
      </c>
      <c r="E221" t="s">
        <v>1002</v>
      </c>
      <c r="F221" t="s">
        <v>1264</v>
      </c>
      <c r="G221">
        <v>0</v>
      </c>
      <c r="H221" t="s">
        <v>1263</v>
      </c>
      <c r="L221">
        <v>240.1</v>
      </c>
    </row>
    <row r="222" spans="1:12" x14ac:dyDescent="0.25">
      <c r="A222" t="s">
        <v>1262</v>
      </c>
      <c r="B222">
        <v>1321</v>
      </c>
      <c r="C222" t="s">
        <v>1267</v>
      </c>
      <c r="D222">
        <v>240</v>
      </c>
      <c r="E222" t="s">
        <v>1002</v>
      </c>
      <c r="F222" t="s">
        <v>1264</v>
      </c>
      <c r="G222">
        <v>0</v>
      </c>
      <c r="H222" t="s">
        <v>1263</v>
      </c>
      <c r="L222">
        <v>240.1</v>
      </c>
    </row>
    <row r="223" spans="1:12" x14ac:dyDescent="0.25">
      <c r="A223" t="s">
        <v>1262</v>
      </c>
      <c r="B223">
        <v>1321</v>
      </c>
      <c r="C223" t="s">
        <v>1267</v>
      </c>
      <c r="D223">
        <v>440</v>
      </c>
      <c r="E223" t="s">
        <v>1248</v>
      </c>
      <c r="F223" t="s">
        <v>1265</v>
      </c>
      <c r="G223">
        <v>0</v>
      </c>
      <c r="H223" t="s">
        <v>1263</v>
      </c>
      <c r="L223">
        <v>440.1</v>
      </c>
    </row>
    <row r="224" spans="1:12" x14ac:dyDescent="0.25">
      <c r="A224" t="s">
        <v>1285</v>
      </c>
      <c r="B224">
        <v>1441</v>
      </c>
      <c r="C224" t="s">
        <v>1080</v>
      </c>
      <c r="D224">
        <v>230</v>
      </c>
      <c r="E224" t="s">
        <v>1002</v>
      </c>
      <c r="F224" t="s">
        <v>1261</v>
      </c>
      <c r="G224">
        <v>0</v>
      </c>
      <c r="H224" t="s">
        <v>663</v>
      </c>
      <c r="L224">
        <v>230.1</v>
      </c>
    </row>
    <row r="225" spans="1:12" x14ac:dyDescent="0.25">
      <c r="A225" t="s">
        <v>1285</v>
      </c>
      <c r="B225">
        <v>1441</v>
      </c>
      <c r="C225" t="s">
        <v>1080</v>
      </c>
      <c r="D225">
        <v>415</v>
      </c>
      <c r="E225" t="s">
        <v>1248</v>
      </c>
      <c r="F225" t="s">
        <v>1286</v>
      </c>
      <c r="G225">
        <v>29681004</v>
      </c>
      <c r="H225" t="s">
        <v>663</v>
      </c>
      <c r="L225">
        <v>415.1</v>
      </c>
    </row>
    <row r="226" spans="1:12" x14ac:dyDescent="0.25">
      <c r="A226" t="s">
        <v>1287</v>
      </c>
      <c r="B226">
        <v>1461</v>
      </c>
      <c r="C226" t="s">
        <v>1080</v>
      </c>
      <c r="D226">
        <v>113</v>
      </c>
      <c r="E226" t="s">
        <v>1001</v>
      </c>
      <c r="F226" t="s">
        <v>1221</v>
      </c>
      <c r="G226">
        <v>84678.46</v>
      </c>
      <c r="H226" t="s">
        <v>1222</v>
      </c>
      <c r="L226">
        <v>113.1</v>
      </c>
    </row>
    <row r="227" spans="1:12" x14ac:dyDescent="0.25">
      <c r="A227" t="s">
        <v>1287</v>
      </c>
      <c r="B227">
        <v>1463</v>
      </c>
      <c r="C227" t="s">
        <v>1080</v>
      </c>
      <c r="D227">
        <v>113</v>
      </c>
      <c r="E227" t="s">
        <v>1001</v>
      </c>
      <c r="F227" t="s">
        <v>1221</v>
      </c>
      <c r="G227">
        <v>1225.96</v>
      </c>
      <c r="H227" t="s">
        <v>1222</v>
      </c>
      <c r="L227">
        <v>113.1</v>
      </c>
    </row>
    <row r="228" spans="1:12" x14ac:dyDescent="0.25">
      <c r="A228" t="s">
        <v>1287</v>
      </c>
      <c r="B228">
        <v>1464</v>
      </c>
      <c r="C228" t="s">
        <v>1080</v>
      </c>
      <c r="D228">
        <v>113</v>
      </c>
      <c r="E228" t="s">
        <v>1001</v>
      </c>
      <c r="F228" t="s">
        <v>1221</v>
      </c>
      <c r="G228">
        <v>0</v>
      </c>
      <c r="H228" t="s">
        <v>1222</v>
      </c>
      <c r="L228">
        <v>113.1</v>
      </c>
    </row>
    <row r="229" spans="1:12" x14ac:dyDescent="0.25">
      <c r="A229" t="s">
        <v>1287</v>
      </c>
      <c r="B229">
        <v>1461</v>
      </c>
      <c r="C229" t="s">
        <v>1080</v>
      </c>
      <c r="D229">
        <v>115</v>
      </c>
      <c r="E229" t="s">
        <v>1001</v>
      </c>
      <c r="F229" t="s">
        <v>1224</v>
      </c>
      <c r="G229">
        <v>153036.44</v>
      </c>
      <c r="H229" t="s">
        <v>668</v>
      </c>
      <c r="L229">
        <v>115.1</v>
      </c>
    </row>
    <row r="230" spans="1:12" x14ac:dyDescent="0.25">
      <c r="A230" t="s">
        <v>1287</v>
      </c>
      <c r="B230">
        <v>1463</v>
      </c>
      <c r="C230" t="s">
        <v>1080</v>
      </c>
      <c r="D230">
        <v>115</v>
      </c>
      <c r="E230" t="s">
        <v>1001</v>
      </c>
      <c r="F230" t="s">
        <v>1224</v>
      </c>
      <c r="G230">
        <v>28978.400000000001</v>
      </c>
      <c r="H230" t="s">
        <v>668</v>
      </c>
      <c r="L230">
        <v>115.1</v>
      </c>
    </row>
    <row r="231" spans="1:12" x14ac:dyDescent="0.25">
      <c r="A231" t="s">
        <v>1287</v>
      </c>
      <c r="B231">
        <v>1464</v>
      </c>
      <c r="C231" t="s">
        <v>1080</v>
      </c>
      <c r="D231">
        <v>115</v>
      </c>
      <c r="E231" t="s">
        <v>1001</v>
      </c>
      <c r="F231" t="s">
        <v>1224</v>
      </c>
      <c r="G231">
        <v>32674.799999999999</v>
      </c>
      <c r="H231" t="s">
        <v>668</v>
      </c>
      <c r="L231">
        <v>115.1</v>
      </c>
    </row>
    <row r="232" spans="1:12" x14ac:dyDescent="0.25">
      <c r="A232" t="s">
        <v>1287</v>
      </c>
      <c r="B232">
        <v>1461</v>
      </c>
      <c r="C232" t="s">
        <v>1080</v>
      </c>
      <c r="D232">
        <v>130</v>
      </c>
      <c r="E232" t="s">
        <v>1001</v>
      </c>
      <c r="F232" t="s">
        <v>1229</v>
      </c>
      <c r="G232">
        <v>1596972.9694450391</v>
      </c>
      <c r="H232" t="s">
        <v>668</v>
      </c>
      <c r="L232">
        <v>130.1</v>
      </c>
    </row>
    <row r="233" spans="1:12" x14ac:dyDescent="0.25">
      <c r="A233" t="s">
        <v>1287</v>
      </c>
      <c r="B233">
        <v>1463</v>
      </c>
      <c r="C233" t="s">
        <v>1080</v>
      </c>
      <c r="D233">
        <v>130</v>
      </c>
      <c r="E233" t="s">
        <v>1001</v>
      </c>
      <c r="F233" t="s">
        <v>1229</v>
      </c>
      <c r="G233">
        <v>220228.2362464222</v>
      </c>
      <c r="H233" t="s">
        <v>668</v>
      </c>
      <c r="L233">
        <v>130.1</v>
      </c>
    </row>
    <row r="234" spans="1:12" x14ac:dyDescent="0.25">
      <c r="A234" t="s">
        <v>1287</v>
      </c>
      <c r="B234">
        <v>1464</v>
      </c>
      <c r="C234" t="s">
        <v>1080</v>
      </c>
      <c r="D234">
        <v>130</v>
      </c>
      <c r="E234" t="s">
        <v>1001</v>
      </c>
      <c r="F234" t="s">
        <v>1229</v>
      </c>
      <c r="G234">
        <v>500884.95195070416</v>
      </c>
      <c r="H234" t="s">
        <v>668</v>
      </c>
      <c r="L234">
        <v>130.1</v>
      </c>
    </row>
    <row r="235" spans="1:12" x14ac:dyDescent="0.25">
      <c r="A235" t="s">
        <v>1287</v>
      </c>
      <c r="B235">
        <v>1461</v>
      </c>
      <c r="C235" t="s">
        <v>1080</v>
      </c>
      <c r="D235">
        <v>430</v>
      </c>
      <c r="E235" t="s">
        <v>1005</v>
      </c>
      <c r="F235" t="s">
        <v>1245</v>
      </c>
      <c r="G235">
        <v>250000</v>
      </c>
      <c r="H235" t="s">
        <v>668</v>
      </c>
      <c r="L235">
        <v>430.1</v>
      </c>
    </row>
    <row r="236" spans="1:12" x14ac:dyDescent="0.25">
      <c r="A236" t="s">
        <v>1287</v>
      </c>
      <c r="B236">
        <v>1463</v>
      </c>
      <c r="C236" t="s">
        <v>1080</v>
      </c>
      <c r="D236">
        <v>430</v>
      </c>
      <c r="E236" t="s">
        <v>1005</v>
      </c>
      <c r="F236" t="s">
        <v>1245</v>
      </c>
      <c r="G236">
        <v>0</v>
      </c>
      <c r="H236" t="s">
        <v>668</v>
      </c>
      <c r="L236">
        <v>430.1</v>
      </c>
    </row>
    <row r="237" spans="1:12" x14ac:dyDescent="0.25">
      <c r="A237" t="s">
        <v>1287</v>
      </c>
      <c r="B237">
        <v>1464</v>
      </c>
      <c r="C237" t="s">
        <v>1080</v>
      </c>
      <c r="D237">
        <v>430</v>
      </c>
      <c r="E237" t="s">
        <v>1005</v>
      </c>
      <c r="F237" t="s">
        <v>1245</v>
      </c>
      <c r="G237">
        <v>0</v>
      </c>
      <c r="H237" t="s">
        <v>668</v>
      </c>
      <c r="L237">
        <v>430.1</v>
      </c>
    </row>
    <row r="238" spans="1:12" x14ac:dyDescent="0.25">
      <c r="A238" t="s">
        <v>1287</v>
      </c>
      <c r="B238">
        <v>1461</v>
      </c>
      <c r="C238" t="s">
        <v>1080</v>
      </c>
      <c r="D238">
        <v>440</v>
      </c>
      <c r="E238" t="s">
        <v>1248</v>
      </c>
      <c r="F238" t="s">
        <v>1265</v>
      </c>
      <c r="G238">
        <v>20004</v>
      </c>
      <c r="H238" t="s">
        <v>668</v>
      </c>
      <c r="L238">
        <v>440.1</v>
      </c>
    </row>
    <row r="239" spans="1:12" x14ac:dyDescent="0.25">
      <c r="A239" t="s">
        <v>1287</v>
      </c>
      <c r="B239">
        <v>1463</v>
      </c>
      <c r="C239" t="s">
        <v>1080</v>
      </c>
      <c r="D239">
        <v>440</v>
      </c>
      <c r="E239" t="s">
        <v>1248</v>
      </c>
      <c r="F239" t="s">
        <v>1265</v>
      </c>
      <c r="G239">
        <v>0</v>
      </c>
      <c r="H239" t="s">
        <v>668</v>
      </c>
      <c r="L239">
        <v>440.1</v>
      </c>
    </row>
    <row r="240" spans="1:12" x14ac:dyDescent="0.25">
      <c r="A240" t="s">
        <v>1287</v>
      </c>
      <c r="B240">
        <v>1464</v>
      </c>
      <c r="C240" t="s">
        <v>1080</v>
      </c>
      <c r="D240">
        <v>440</v>
      </c>
      <c r="E240" t="s">
        <v>1248</v>
      </c>
      <c r="F240" t="s">
        <v>1265</v>
      </c>
      <c r="G240">
        <v>220000</v>
      </c>
      <c r="H240" t="s">
        <v>668</v>
      </c>
      <c r="L240">
        <v>440.1</v>
      </c>
    </row>
    <row r="241" spans="1:12" x14ac:dyDescent="0.25">
      <c r="A241" t="s">
        <v>1287</v>
      </c>
      <c r="B241">
        <v>1461</v>
      </c>
      <c r="C241" t="s">
        <v>1080</v>
      </c>
      <c r="D241">
        <v>445</v>
      </c>
      <c r="E241" t="s">
        <v>1248</v>
      </c>
      <c r="F241" t="s">
        <v>1271</v>
      </c>
      <c r="G241">
        <v>15000</v>
      </c>
      <c r="H241" t="s">
        <v>668</v>
      </c>
      <c r="L241">
        <v>445.1</v>
      </c>
    </row>
    <row r="242" spans="1:12" x14ac:dyDescent="0.25">
      <c r="A242" t="s">
        <v>1287</v>
      </c>
      <c r="B242">
        <v>1463</v>
      </c>
      <c r="C242" t="s">
        <v>1080</v>
      </c>
      <c r="D242">
        <v>445</v>
      </c>
      <c r="E242" t="s">
        <v>1248</v>
      </c>
      <c r="F242" t="s">
        <v>1271</v>
      </c>
      <c r="G242">
        <v>0</v>
      </c>
      <c r="H242" t="s">
        <v>668</v>
      </c>
      <c r="L242">
        <v>445.1</v>
      </c>
    </row>
    <row r="243" spans="1:12" x14ac:dyDescent="0.25">
      <c r="A243" t="s">
        <v>1287</v>
      </c>
      <c r="B243">
        <v>1464</v>
      </c>
      <c r="C243" t="s">
        <v>1080</v>
      </c>
      <c r="D243">
        <v>445</v>
      </c>
      <c r="E243" t="s">
        <v>1248</v>
      </c>
      <c r="F243" t="s">
        <v>1271</v>
      </c>
      <c r="G243">
        <v>808996</v>
      </c>
      <c r="H243" t="s">
        <v>668</v>
      </c>
      <c r="L243">
        <v>445.1</v>
      </c>
    </row>
    <row r="244" spans="1:12" x14ac:dyDescent="0.25">
      <c r="A244" t="s">
        <v>1287</v>
      </c>
      <c r="B244">
        <v>1461</v>
      </c>
      <c r="C244" t="s">
        <v>1080</v>
      </c>
      <c r="D244">
        <v>470</v>
      </c>
      <c r="E244" t="s">
        <v>1005</v>
      </c>
      <c r="F244" t="s">
        <v>1247</v>
      </c>
      <c r="G244">
        <v>0</v>
      </c>
      <c r="H244" t="s">
        <v>668</v>
      </c>
      <c r="L244">
        <v>470.1</v>
      </c>
    </row>
    <row r="245" spans="1:12" x14ac:dyDescent="0.25">
      <c r="A245" t="s">
        <v>1287</v>
      </c>
      <c r="B245">
        <v>1463</v>
      </c>
      <c r="C245" t="s">
        <v>1080</v>
      </c>
      <c r="D245">
        <v>470</v>
      </c>
      <c r="E245" t="s">
        <v>1005</v>
      </c>
      <c r="F245" t="s">
        <v>1247</v>
      </c>
      <c r="G245">
        <v>0</v>
      </c>
      <c r="H245" t="s">
        <v>668</v>
      </c>
      <c r="L245">
        <v>470.1</v>
      </c>
    </row>
    <row r="246" spans="1:12" x14ac:dyDescent="0.25">
      <c r="A246" t="s">
        <v>1287</v>
      </c>
      <c r="B246">
        <v>1464</v>
      </c>
      <c r="C246" t="s">
        <v>1080</v>
      </c>
      <c r="D246">
        <v>470</v>
      </c>
      <c r="E246" t="s">
        <v>1005</v>
      </c>
      <c r="F246" t="s">
        <v>1247</v>
      </c>
      <c r="G246">
        <v>0</v>
      </c>
      <c r="H246" t="s">
        <v>668</v>
      </c>
      <c r="L246">
        <v>470.1</v>
      </c>
    </row>
    <row r="247" spans="1:12" x14ac:dyDescent="0.25">
      <c r="A247" t="s">
        <v>1287</v>
      </c>
      <c r="B247">
        <v>1464</v>
      </c>
      <c r="C247" t="s">
        <v>1080</v>
      </c>
      <c r="D247">
        <v>470</v>
      </c>
      <c r="E247" t="s">
        <v>1005</v>
      </c>
      <c r="F247" t="s">
        <v>1272</v>
      </c>
      <c r="G247">
        <v>12000</v>
      </c>
      <c r="L247">
        <v>470.1</v>
      </c>
    </row>
    <row r="248" spans="1:12" x14ac:dyDescent="0.25">
      <c r="A248" t="s">
        <v>1287</v>
      </c>
      <c r="B248">
        <v>1461</v>
      </c>
      <c r="C248" t="s">
        <v>1080</v>
      </c>
      <c r="D248">
        <v>510</v>
      </c>
      <c r="E248" t="s">
        <v>1008</v>
      </c>
      <c r="F248" t="s">
        <v>1231</v>
      </c>
      <c r="G248">
        <v>17880</v>
      </c>
      <c r="H248" t="s">
        <v>668</v>
      </c>
      <c r="L248">
        <v>510.1</v>
      </c>
    </row>
    <row r="249" spans="1:12" x14ac:dyDescent="0.25">
      <c r="A249" t="s">
        <v>1287</v>
      </c>
      <c r="B249">
        <v>1463</v>
      </c>
      <c r="C249" t="s">
        <v>1080</v>
      </c>
      <c r="D249">
        <v>510</v>
      </c>
      <c r="E249" t="s">
        <v>1008</v>
      </c>
      <c r="F249" t="s">
        <v>1231</v>
      </c>
      <c r="G249">
        <v>0</v>
      </c>
      <c r="H249" t="s">
        <v>668</v>
      </c>
      <c r="L249">
        <v>510.1</v>
      </c>
    </row>
    <row r="250" spans="1:12" x14ac:dyDescent="0.25">
      <c r="A250" t="s">
        <v>1287</v>
      </c>
      <c r="B250">
        <v>1464</v>
      </c>
      <c r="C250" t="s">
        <v>1080</v>
      </c>
      <c r="D250">
        <v>510</v>
      </c>
      <c r="E250" t="s">
        <v>1008</v>
      </c>
      <c r="F250" t="s">
        <v>1231</v>
      </c>
      <c r="G250">
        <v>0</v>
      </c>
      <c r="H250" t="s">
        <v>668</v>
      </c>
      <c r="L250">
        <v>510.1</v>
      </c>
    </row>
    <row r="251" spans="1:12" x14ac:dyDescent="0.25">
      <c r="A251" t="s">
        <v>1287</v>
      </c>
      <c r="B251">
        <v>1461</v>
      </c>
      <c r="C251" t="s">
        <v>1080</v>
      </c>
      <c r="D251">
        <v>520</v>
      </c>
      <c r="E251" t="s">
        <v>1008</v>
      </c>
      <c r="F251" t="s">
        <v>1232</v>
      </c>
      <c r="G251">
        <v>71536</v>
      </c>
      <c r="H251" t="s">
        <v>668</v>
      </c>
      <c r="L251">
        <v>520.1</v>
      </c>
    </row>
    <row r="252" spans="1:12" x14ac:dyDescent="0.25">
      <c r="A252" t="s">
        <v>1287</v>
      </c>
      <c r="B252">
        <v>1463</v>
      </c>
      <c r="C252" t="s">
        <v>1080</v>
      </c>
      <c r="D252">
        <v>520</v>
      </c>
      <c r="E252" t="s">
        <v>1008</v>
      </c>
      <c r="F252" t="s">
        <v>1232</v>
      </c>
      <c r="G252">
        <v>0</v>
      </c>
      <c r="H252" t="s">
        <v>668</v>
      </c>
      <c r="L252">
        <v>520.1</v>
      </c>
    </row>
    <row r="253" spans="1:12" x14ac:dyDescent="0.25">
      <c r="A253" t="s">
        <v>1287</v>
      </c>
      <c r="B253">
        <v>1464</v>
      </c>
      <c r="C253" t="s">
        <v>1080</v>
      </c>
      <c r="D253">
        <v>520</v>
      </c>
      <c r="E253" t="s">
        <v>1008</v>
      </c>
      <c r="F253" t="s">
        <v>1232</v>
      </c>
      <c r="G253">
        <v>155604</v>
      </c>
      <c r="H253" t="s">
        <v>668</v>
      </c>
      <c r="L253">
        <v>520.1</v>
      </c>
    </row>
    <row r="254" spans="1:12" x14ac:dyDescent="0.25">
      <c r="A254" t="s">
        <v>1287</v>
      </c>
      <c r="B254">
        <v>1461</v>
      </c>
      <c r="C254" t="s">
        <v>1080</v>
      </c>
      <c r="D254">
        <v>540</v>
      </c>
      <c r="E254" t="s">
        <v>1008</v>
      </c>
      <c r="F254" t="s">
        <v>1233</v>
      </c>
      <c r="G254">
        <v>29808</v>
      </c>
      <c r="H254" t="s">
        <v>668</v>
      </c>
      <c r="L254">
        <v>540.1</v>
      </c>
    </row>
    <row r="255" spans="1:12" x14ac:dyDescent="0.25">
      <c r="A255" t="s">
        <v>1287</v>
      </c>
      <c r="B255">
        <v>1463</v>
      </c>
      <c r="C255" t="s">
        <v>1080</v>
      </c>
      <c r="D255">
        <v>540</v>
      </c>
      <c r="E255" t="s">
        <v>1008</v>
      </c>
      <c r="F255" t="s">
        <v>1233</v>
      </c>
      <c r="G255">
        <v>0</v>
      </c>
      <c r="H255" t="s">
        <v>668</v>
      </c>
      <c r="L255">
        <v>540.1</v>
      </c>
    </row>
    <row r="256" spans="1:12" x14ac:dyDescent="0.25">
      <c r="A256" t="s">
        <v>1287</v>
      </c>
      <c r="B256">
        <v>1464</v>
      </c>
      <c r="C256" t="s">
        <v>1080</v>
      </c>
      <c r="D256">
        <v>540</v>
      </c>
      <c r="E256" t="s">
        <v>1008</v>
      </c>
      <c r="F256" t="s">
        <v>1233</v>
      </c>
      <c r="G256">
        <v>39996</v>
      </c>
      <c r="H256" t="s">
        <v>668</v>
      </c>
      <c r="L256">
        <v>540.1</v>
      </c>
    </row>
    <row r="257" spans="1:12" x14ac:dyDescent="0.25">
      <c r="A257" t="s">
        <v>1287</v>
      </c>
      <c r="B257">
        <v>1461</v>
      </c>
      <c r="C257" t="s">
        <v>1080</v>
      </c>
      <c r="D257">
        <v>580</v>
      </c>
      <c r="E257" t="s">
        <v>1008</v>
      </c>
      <c r="F257" t="s">
        <v>1236</v>
      </c>
      <c r="G257">
        <v>900</v>
      </c>
      <c r="H257" t="s">
        <v>668</v>
      </c>
      <c r="L257">
        <v>580.1</v>
      </c>
    </row>
    <row r="258" spans="1:12" x14ac:dyDescent="0.25">
      <c r="A258" t="s">
        <v>1287</v>
      </c>
      <c r="B258">
        <v>1463</v>
      </c>
      <c r="C258" t="s">
        <v>1080</v>
      </c>
      <c r="D258">
        <v>580</v>
      </c>
      <c r="E258" t="s">
        <v>1008</v>
      </c>
      <c r="F258" t="s">
        <v>1236</v>
      </c>
      <c r="G258">
        <v>0</v>
      </c>
      <c r="H258" t="s">
        <v>668</v>
      </c>
      <c r="L258">
        <v>580.1</v>
      </c>
    </row>
    <row r="259" spans="1:12" x14ac:dyDescent="0.25">
      <c r="A259" t="s">
        <v>1287</v>
      </c>
      <c r="B259">
        <v>1464</v>
      </c>
      <c r="C259" t="s">
        <v>1080</v>
      </c>
      <c r="D259">
        <v>580</v>
      </c>
      <c r="E259" t="s">
        <v>1008</v>
      </c>
      <c r="F259" t="s">
        <v>1236</v>
      </c>
      <c r="G259">
        <v>4</v>
      </c>
      <c r="H259" t="s">
        <v>668</v>
      </c>
      <c r="L259">
        <v>580.1</v>
      </c>
    </row>
    <row r="260" spans="1:12" x14ac:dyDescent="0.25">
      <c r="A260" t="s">
        <v>1287</v>
      </c>
      <c r="B260">
        <v>1461</v>
      </c>
      <c r="C260" t="s">
        <v>1080</v>
      </c>
      <c r="D260">
        <v>610</v>
      </c>
      <c r="E260" t="s">
        <v>1010</v>
      </c>
      <c r="F260" t="s">
        <v>1237</v>
      </c>
      <c r="G260">
        <v>28896</v>
      </c>
      <c r="H260" t="s">
        <v>668</v>
      </c>
      <c r="L260">
        <v>610.1</v>
      </c>
    </row>
    <row r="261" spans="1:12" x14ac:dyDescent="0.25">
      <c r="A261" t="s">
        <v>1287</v>
      </c>
      <c r="B261">
        <v>1463</v>
      </c>
      <c r="C261" t="s">
        <v>1080</v>
      </c>
      <c r="D261">
        <v>610</v>
      </c>
      <c r="E261" t="s">
        <v>1010</v>
      </c>
      <c r="F261" t="s">
        <v>1237</v>
      </c>
      <c r="G261">
        <v>0</v>
      </c>
      <c r="H261" t="s">
        <v>668</v>
      </c>
      <c r="L261">
        <v>610.1</v>
      </c>
    </row>
    <row r="262" spans="1:12" x14ac:dyDescent="0.25">
      <c r="A262" t="s">
        <v>1287</v>
      </c>
      <c r="B262">
        <v>1464</v>
      </c>
      <c r="C262" t="s">
        <v>1080</v>
      </c>
      <c r="D262">
        <v>610</v>
      </c>
      <c r="E262" t="s">
        <v>1010</v>
      </c>
      <c r="F262" t="s">
        <v>1237</v>
      </c>
      <c r="G262">
        <v>4</v>
      </c>
      <c r="H262" t="s">
        <v>668</v>
      </c>
      <c r="L262">
        <v>610.1</v>
      </c>
    </row>
    <row r="263" spans="1:12" x14ac:dyDescent="0.25">
      <c r="A263" t="s">
        <v>1287</v>
      </c>
      <c r="B263">
        <v>1461</v>
      </c>
      <c r="C263" t="s">
        <v>1080</v>
      </c>
      <c r="D263">
        <v>615</v>
      </c>
      <c r="E263" t="s">
        <v>1010</v>
      </c>
      <c r="F263" t="s">
        <v>1238</v>
      </c>
      <c r="G263">
        <v>0</v>
      </c>
      <c r="H263" t="s">
        <v>668</v>
      </c>
      <c r="L263">
        <v>615.1</v>
      </c>
    </row>
    <row r="264" spans="1:12" x14ac:dyDescent="0.25">
      <c r="A264" t="s">
        <v>1287</v>
      </c>
      <c r="B264">
        <v>1463</v>
      </c>
      <c r="C264" t="s">
        <v>1080</v>
      </c>
      <c r="D264">
        <v>615</v>
      </c>
      <c r="E264" t="s">
        <v>1010</v>
      </c>
      <c r="F264" t="s">
        <v>1238</v>
      </c>
      <c r="G264">
        <v>0</v>
      </c>
      <c r="H264" t="s">
        <v>668</v>
      </c>
      <c r="L264">
        <v>615.1</v>
      </c>
    </row>
    <row r="265" spans="1:12" x14ac:dyDescent="0.25">
      <c r="A265" t="s">
        <v>1287</v>
      </c>
      <c r="B265">
        <v>1464</v>
      </c>
      <c r="C265" t="s">
        <v>1080</v>
      </c>
      <c r="D265">
        <v>615</v>
      </c>
      <c r="E265" t="s">
        <v>1010</v>
      </c>
      <c r="F265" t="s">
        <v>1238</v>
      </c>
      <c r="G265">
        <v>0</v>
      </c>
      <c r="H265" t="s">
        <v>668</v>
      </c>
      <c r="L265">
        <v>615.1</v>
      </c>
    </row>
    <row r="266" spans="1:12" x14ac:dyDescent="0.25">
      <c r="A266" t="s">
        <v>1287</v>
      </c>
      <c r="B266">
        <v>1461</v>
      </c>
      <c r="C266" t="s">
        <v>1080</v>
      </c>
      <c r="D266">
        <v>640</v>
      </c>
      <c r="E266" t="s">
        <v>1248</v>
      </c>
      <c r="F266" t="s">
        <v>1249</v>
      </c>
      <c r="G266">
        <v>0</v>
      </c>
      <c r="H266" t="s">
        <v>668</v>
      </c>
      <c r="L266">
        <v>640.1</v>
      </c>
    </row>
    <row r="267" spans="1:12" x14ac:dyDescent="0.25">
      <c r="A267" t="s">
        <v>1287</v>
      </c>
      <c r="B267">
        <v>1463</v>
      </c>
      <c r="C267" t="s">
        <v>1080</v>
      </c>
      <c r="D267">
        <v>640</v>
      </c>
      <c r="E267" t="s">
        <v>1248</v>
      </c>
      <c r="F267" t="s">
        <v>1249</v>
      </c>
      <c r="G267">
        <v>0</v>
      </c>
      <c r="H267" t="s">
        <v>668</v>
      </c>
      <c r="L267">
        <v>640.1</v>
      </c>
    </row>
    <row r="268" spans="1:12" x14ac:dyDescent="0.25">
      <c r="A268" t="s">
        <v>1287</v>
      </c>
      <c r="B268">
        <v>1464</v>
      </c>
      <c r="C268" t="s">
        <v>1080</v>
      </c>
      <c r="D268">
        <v>640</v>
      </c>
      <c r="E268" t="s">
        <v>1248</v>
      </c>
      <c r="F268" t="s">
        <v>1249</v>
      </c>
      <c r="G268">
        <v>645996</v>
      </c>
      <c r="H268" t="s">
        <v>668</v>
      </c>
      <c r="L268">
        <v>640.1</v>
      </c>
    </row>
    <row r="269" spans="1:12" x14ac:dyDescent="0.25">
      <c r="A269" t="s">
        <v>1287</v>
      </c>
      <c r="B269">
        <v>1461</v>
      </c>
      <c r="C269" t="s">
        <v>1080</v>
      </c>
      <c r="D269">
        <v>655</v>
      </c>
      <c r="E269" t="s">
        <v>1010</v>
      </c>
      <c r="F269" t="s">
        <v>1240</v>
      </c>
      <c r="G269">
        <v>0</v>
      </c>
      <c r="L269">
        <v>655.1</v>
      </c>
    </row>
    <row r="270" spans="1:12" x14ac:dyDescent="0.25">
      <c r="A270" t="s">
        <v>1287</v>
      </c>
      <c r="B270">
        <v>1461</v>
      </c>
      <c r="C270" t="s">
        <v>1080</v>
      </c>
      <c r="D270">
        <v>670</v>
      </c>
      <c r="E270" t="s">
        <v>1010</v>
      </c>
      <c r="F270" t="s">
        <v>1242</v>
      </c>
      <c r="G270">
        <v>3000</v>
      </c>
      <c r="H270" t="s">
        <v>668</v>
      </c>
      <c r="L270">
        <v>670.1</v>
      </c>
    </row>
    <row r="271" spans="1:12" x14ac:dyDescent="0.25">
      <c r="A271" t="s">
        <v>1287</v>
      </c>
      <c r="B271">
        <v>1463</v>
      </c>
      <c r="C271" t="s">
        <v>1080</v>
      </c>
      <c r="D271">
        <v>670</v>
      </c>
      <c r="E271" t="s">
        <v>1010</v>
      </c>
      <c r="F271" t="s">
        <v>1242</v>
      </c>
      <c r="G271">
        <v>0</v>
      </c>
      <c r="H271" t="s">
        <v>668</v>
      </c>
      <c r="L271">
        <v>670.1</v>
      </c>
    </row>
    <row r="272" spans="1:12" x14ac:dyDescent="0.25">
      <c r="A272" t="s">
        <v>1287</v>
      </c>
      <c r="B272">
        <v>1464</v>
      </c>
      <c r="C272" t="s">
        <v>1080</v>
      </c>
      <c r="D272">
        <v>670</v>
      </c>
      <c r="E272" t="s">
        <v>1010</v>
      </c>
      <c r="F272" t="s">
        <v>1242</v>
      </c>
      <c r="G272">
        <v>4</v>
      </c>
      <c r="H272" t="s">
        <v>668</v>
      </c>
      <c r="L272">
        <v>670.1</v>
      </c>
    </row>
    <row r="273" spans="1:12" x14ac:dyDescent="0.25">
      <c r="A273" t="s">
        <v>1287</v>
      </c>
      <c r="B273">
        <v>1464</v>
      </c>
      <c r="C273" t="s">
        <v>1080</v>
      </c>
      <c r="D273">
        <v>130</v>
      </c>
      <c r="E273" t="s">
        <v>1001</v>
      </c>
      <c r="F273" t="s">
        <v>1243</v>
      </c>
      <c r="G273">
        <v>30000</v>
      </c>
      <c r="L273">
        <v>710.1</v>
      </c>
    </row>
    <row r="274" spans="1:12" x14ac:dyDescent="0.25">
      <c r="A274" t="s">
        <v>1268</v>
      </c>
      <c r="B274">
        <v>1462</v>
      </c>
      <c r="C274" t="s">
        <v>1080</v>
      </c>
      <c r="D274">
        <v>113</v>
      </c>
      <c r="E274" t="s">
        <v>1001</v>
      </c>
      <c r="F274" t="s">
        <v>1221</v>
      </c>
      <c r="G274">
        <v>0</v>
      </c>
      <c r="H274" t="s">
        <v>1222</v>
      </c>
      <c r="L274">
        <v>113.1</v>
      </c>
    </row>
    <row r="275" spans="1:12" x14ac:dyDescent="0.25">
      <c r="A275" t="s">
        <v>1268</v>
      </c>
      <c r="B275">
        <v>1462</v>
      </c>
      <c r="C275" t="s">
        <v>1080</v>
      </c>
      <c r="D275">
        <v>115</v>
      </c>
      <c r="E275" t="s">
        <v>1001</v>
      </c>
      <c r="F275" t="s">
        <v>1224</v>
      </c>
      <c r="G275">
        <v>128201.7</v>
      </c>
      <c r="H275" t="s">
        <v>1038</v>
      </c>
      <c r="L275">
        <v>115.1</v>
      </c>
    </row>
    <row r="276" spans="1:12" x14ac:dyDescent="0.25">
      <c r="A276" t="s">
        <v>1268</v>
      </c>
      <c r="B276">
        <v>1462</v>
      </c>
      <c r="C276" t="s">
        <v>1080</v>
      </c>
      <c r="D276">
        <v>116</v>
      </c>
      <c r="E276" t="s">
        <v>1001</v>
      </c>
      <c r="F276" t="s">
        <v>1225</v>
      </c>
      <c r="G276">
        <v>0</v>
      </c>
      <c r="H276" t="s">
        <v>1038</v>
      </c>
      <c r="L276">
        <v>116.1</v>
      </c>
    </row>
    <row r="277" spans="1:12" x14ac:dyDescent="0.25">
      <c r="A277" t="s">
        <v>1268</v>
      </c>
      <c r="B277">
        <v>1462</v>
      </c>
      <c r="C277" t="s">
        <v>1080</v>
      </c>
      <c r="D277">
        <v>130</v>
      </c>
      <c r="E277" t="s">
        <v>1001</v>
      </c>
      <c r="F277" t="s">
        <v>1229</v>
      </c>
      <c r="G277">
        <v>1357878.2904843234</v>
      </c>
      <c r="H277" t="s">
        <v>1038</v>
      </c>
      <c r="L277">
        <v>130.1</v>
      </c>
    </row>
    <row r="278" spans="1:12" x14ac:dyDescent="0.25">
      <c r="A278" t="s">
        <v>1268</v>
      </c>
      <c r="B278">
        <v>1462</v>
      </c>
      <c r="C278" t="s">
        <v>1080</v>
      </c>
      <c r="D278">
        <v>240</v>
      </c>
      <c r="E278" t="s">
        <v>1002</v>
      </c>
      <c r="F278" t="s">
        <v>1264</v>
      </c>
      <c r="G278">
        <v>0</v>
      </c>
      <c r="H278" t="s">
        <v>1038</v>
      </c>
      <c r="L278">
        <v>240.1</v>
      </c>
    </row>
    <row r="279" spans="1:12" x14ac:dyDescent="0.25">
      <c r="A279" t="s">
        <v>1268</v>
      </c>
      <c r="B279">
        <v>1462</v>
      </c>
      <c r="C279" t="s">
        <v>1080</v>
      </c>
      <c r="D279">
        <v>430</v>
      </c>
      <c r="E279" t="s">
        <v>1005</v>
      </c>
      <c r="F279" t="s">
        <v>1245</v>
      </c>
      <c r="G279">
        <v>0</v>
      </c>
      <c r="H279" t="s">
        <v>1038</v>
      </c>
      <c r="L279">
        <v>430.1</v>
      </c>
    </row>
    <row r="280" spans="1:12" x14ac:dyDescent="0.25">
      <c r="A280" t="s">
        <v>1268</v>
      </c>
      <c r="B280">
        <v>1462</v>
      </c>
      <c r="C280" t="s">
        <v>1080</v>
      </c>
      <c r="D280">
        <v>440</v>
      </c>
      <c r="E280" t="s">
        <v>1248</v>
      </c>
      <c r="F280" t="s">
        <v>1265</v>
      </c>
      <c r="G280">
        <v>0</v>
      </c>
      <c r="H280" t="s">
        <v>1038</v>
      </c>
      <c r="L280">
        <v>440.1</v>
      </c>
    </row>
    <row r="281" spans="1:12" x14ac:dyDescent="0.25">
      <c r="A281" t="s">
        <v>1268</v>
      </c>
      <c r="B281">
        <v>1462</v>
      </c>
      <c r="C281" t="s">
        <v>1080</v>
      </c>
      <c r="D281">
        <v>445</v>
      </c>
      <c r="E281" t="s">
        <v>1248</v>
      </c>
      <c r="F281" t="s">
        <v>1271</v>
      </c>
      <c r="G281">
        <v>240000</v>
      </c>
      <c r="H281" t="s">
        <v>1038</v>
      </c>
      <c r="L281">
        <v>445.1</v>
      </c>
    </row>
    <row r="282" spans="1:12" x14ac:dyDescent="0.25">
      <c r="A282" t="s">
        <v>1268</v>
      </c>
      <c r="B282">
        <v>1462</v>
      </c>
      <c r="C282" t="s">
        <v>1080</v>
      </c>
      <c r="D282">
        <v>470</v>
      </c>
      <c r="E282" t="s">
        <v>1005</v>
      </c>
      <c r="F282" t="s">
        <v>1247</v>
      </c>
      <c r="G282">
        <v>99996</v>
      </c>
      <c r="H282" t="s">
        <v>1038</v>
      </c>
      <c r="L282">
        <v>470.1</v>
      </c>
    </row>
    <row r="283" spans="1:12" x14ac:dyDescent="0.25">
      <c r="A283" t="s">
        <v>1268</v>
      </c>
      <c r="B283">
        <v>1462</v>
      </c>
      <c r="C283" t="s">
        <v>1080</v>
      </c>
      <c r="D283">
        <v>510</v>
      </c>
      <c r="E283" t="s">
        <v>1008</v>
      </c>
      <c r="F283" t="s">
        <v>1231</v>
      </c>
      <c r="G283">
        <v>0</v>
      </c>
      <c r="H283" t="s">
        <v>1038</v>
      </c>
      <c r="L283">
        <v>510.1</v>
      </c>
    </row>
    <row r="284" spans="1:12" x14ac:dyDescent="0.25">
      <c r="A284" t="s">
        <v>1268</v>
      </c>
      <c r="B284">
        <v>1462</v>
      </c>
      <c r="C284" t="s">
        <v>1080</v>
      </c>
      <c r="D284">
        <v>520</v>
      </c>
      <c r="E284" t="s">
        <v>1008</v>
      </c>
      <c r="F284" t="s">
        <v>1232</v>
      </c>
      <c r="G284">
        <v>99996</v>
      </c>
      <c r="H284" t="s">
        <v>1038</v>
      </c>
      <c r="L284">
        <v>520.1</v>
      </c>
    </row>
    <row r="285" spans="1:12" x14ac:dyDescent="0.25">
      <c r="A285" t="s">
        <v>1268</v>
      </c>
      <c r="B285">
        <v>1462</v>
      </c>
      <c r="C285" t="s">
        <v>1080</v>
      </c>
      <c r="D285">
        <v>530</v>
      </c>
      <c r="E285" t="s">
        <v>1008</v>
      </c>
      <c r="F285" t="s">
        <v>1288</v>
      </c>
      <c r="G285">
        <v>18000</v>
      </c>
      <c r="H285" t="s">
        <v>1038</v>
      </c>
      <c r="L285">
        <v>530.1</v>
      </c>
    </row>
    <row r="286" spans="1:12" x14ac:dyDescent="0.25">
      <c r="A286" t="s">
        <v>1268</v>
      </c>
      <c r="B286">
        <v>1462</v>
      </c>
      <c r="C286" t="s">
        <v>1080</v>
      </c>
      <c r="D286">
        <v>540</v>
      </c>
      <c r="E286" t="s">
        <v>1008</v>
      </c>
      <c r="F286" t="s">
        <v>1233</v>
      </c>
      <c r="G286">
        <v>51996</v>
      </c>
      <c r="H286" t="s">
        <v>1038</v>
      </c>
      <c r="L286">
        <v>540.1</v>
      </c>
    </row>
    <row r="287" spans="1:12" x14ac:dyDescent="0.25">
      <c r="A287" t="s">
        <v>1268</v>
      </c>
      <c r="B287">
        <v>1462</v>
      </c>
      <c r="C287" t="s">
        <v>1080</v>
      </c>
      <c r="D287">
        <v>550</v>
      </c>
      <c r="E287" t="s">
        <v>1008</v>
      </c>
      <c r="F287" t="s">
        <v>1234</v>
      </c>
      <c r="G287">
        <v>2496</v>
      </c>
      <c r="H287" t="s">
        <v>1038</v>
      </c>
      <c r="L287">
        <v>550.1</v>
      </c>
    </row>
    <row r="288" spans="1:12" x14ac:dyDescent="0.25">
      <c r="A288" t="s">
        <v>1268</v>
      </c>
      <c r="B288">
        <v>1462</v>
      </c>
      <c r="C288" t="s">
        <v>1080</v>
      </c>
      <c r="D288">
        <v>560</v>
      </c>
      <c r="E288" t="s">
        <v>1008</v>
      </c>
      <c r="F288" t="s">
        <v>1235</v>
      </c>
      <c r="G288">
        <v>3000</v>
      </c>
      <c r="H288" t="s">
        <v>1038</v>
      </c>
      <c r="L288">
        <v>560.1</v>
      </c>
    </row>
    <row r="289" spans="1:12" x14ac:dyDescent="0.25">
      <c r="A289" t="s">
        <v>1268</v>
      </c>
      <c r="B289">
        <v>1462</v>
      </c>
      <c r="C289" t="s">
        <v>1080</v>
      </c>
      <c r="D289">
        <v>570</v>
      </c>
      <c r="E289" t="s">
        <v>1008</v>
      </c>
      <c r="F289" t="s">
        <v>1272</v>
      </c>
      <c r="G289">
        <v>0</v>
      </c>
      <c r="H289" t="s">
        <v>1038</v>
      </c>
      <c r="L289">
        <v>570.1</v>
      </c>
    </row>
    <row r="290" spans="1:12" x14ac:dyDescent="0.25">
      <c r="A290" t="s">
        <v>1268</v>
      </c>
      <c r="B290">
        <v>1462</v>
      </c>
      <c r="C290" t="s">
        <v>1080</v>
      </c>
      <c r="D290">
        <v>580</v>
      </c>
      <c r="E290" t="s">
        <v>1008</v>
      </c>
      <c r="F290" t="s">
        <v>1236</v>
      </c>
      <c r="G290">
        <v>2496</v>
      </c>
      <c r="H290" t="s">
        <v>1038</v>
      </c>
      <c r="L290">
        <v>580.1</v>
      </c>
    </row>
    <row r="291" spans="1:12" x14ac:dyDescent="0.25">
      <c r="A291" t="s">
        <v>1268</v>
      </c>
      <c r="B291">
        <v>1462</v>
      </c>
      <c r="C291" t="s">
        <v>1080</v>
      </c>
      <c r="D291">
        <v>610</v>
      </c>
      <c r="E291" t="s">
        <v>1010</v>
      </c>
      <c r="F291" t="s">
        <v>1237</v>
      </c>
      <c r="G291">
        <v>14004</v>
      </c>
      <c r="H291" t="s">
        <v>1038</v>
      </c>
      <c r="L291">
        <v>610.1</v>
      </c>
    </row>
    <row r="292" spans="1:12" x14ac:dyDescent="0.25">
      <c r="A292" t="s">
        <v>1268</v>
      </c>
      <c r="B292">
        <v>1462</v>
      </c>
      <c r="C292" t="s">
        <v>1080</v>
      </c>
      <c r="D292">
        <v>614</v>
      </c>
      <c r="E292" t="s">
        <v>1010</v>
      </c>
      <c r="F292" t="s">
        <v>930</v>
      </c>
      <c r="G292">
        <v>0</v>
      </c>
      <c r="L292">
        <v>614.1</v>
      </c>
    </row>
    <row r="293" spans="1:12" x14ac:dyDescent="0.25">
      <c r="A293" t="s">
        <v>1268</v>
      </c>
      <c r="B293">
        <v>1462</v>
      </c>
      <c r="C293" t="s">
        <v>1080</v>
      </c>
      <c r="D293">
        <v>615</v>
      </c>
      <c r="E293" t="s">
        <v>1010</v>
      </c>
      <c r="F293" t="s">
        <v>1238</v>
      </c>
      <c r="G293">
        <v>12000</v>
      </c>
      <c r="H293" t="s">
        <v>1038</v>
      </c>
      <c r="L293">
        <v>615.1</v>
      </c>
    </row>
    <row r="294" spans="1:12" x14ac:dyDescent="0.25">
      <c r="A294" t="s">
        <v>1268</v>
      </c>
      <c r="B294">
        <v>1462</v>
      </c>
      <c r="C294" t="s">
        <v>1080</v>
      </c>
      <c r="D294">
        <v>620</v>
      </c>
      <c r="E294" t="s">
        <v>1010</v>
      </c>
      <c r="F294" t="s">
        <v>1239</v>
      </c>
      <c r="G294">
        <v>0</v>
      </c>
      <c r="H294" t="s">
        <v>1038</v>
      </c>
      <c r="L294">
        <v>620.1</v>
      </c>
    </row>
    <row r="295" spans="1:12" x14ac:dyDescent="0.25">
      <c r="A295" t="s">
        <v>1268</v>
      </c>
      <c r="B295">
        <v>1462</v>
      </c>
      <c r="C295" t="s">
        <v>1080</v>
      </c>
      <c r="D295">
        <v>640</v>
      </c>
      <c r="E295" t="s">
        <v>1248</v>
      </c>
      <c r="F295" t="s">
        <v>1249</v>
      </c>
      <c r="G295">
        <v>0</v>
      </c>
      <c r="H295" t="s">
        <v>1038</v>
      </c>
      <c r="L295">
        <v>640.1</v>
      </c>
    </row>
    <row r="296" spans="1:12" x14ac:dyDescent="0.25">
      <c r="A296" t="s">
        <v>1268</v>
      </c>
      <c r="B296">
        <v>1462</v>
      </c>
      <c r="C296" t="s">
        <v>1080</v>
      </c>
      <c r="D296">
        <v>655</v>
      </c>
      <c r="E296" t="s">
        <v>1010</v>
      </c>
      <c r="F296" t="s">
        <v>1240</v>
      </c>
      <c r="G296">
        <v>0</v>
      </c>
      <c r="H296" t="s">
        <v>1038</v>
      </c>
      <c r="L296">
        <v>655.1</v>
      </c>
    </row>
    <row r="297" spans="1:12" x14ac:dyDescent="0.25">
      <c r="A297" t="s">
        <v>1268</v>
      </c>
      <c r="B297">
        <v>1462</v>
      </c>
      <c r="C297" t="s">
        <v>1080</v>
      </c>
      <c r="D297">
        <v>670</v>
      </c>
      <c r="E297" t="s">
        <v>1010</v>
      </c>
      <c r="F297" t="s">
        <v>1242</v>
      </c>
      <c r="G297">
        <v>3000</v>
      </c>
      <c r="H297" t="s">
        <v>1038</v>
      </c>
      <c r="L297">
        <v>670.1</v>
      </c>
    </row>
    <row r="298" spans="1:12" x14ac:dyDescent="0.25">
      <c r="A298" t="s">
        <v>1219</v>
      </c>
      <c r="B298">
        <v>1411</v>
      </c>
      <c r="C298" t="s">
        <v>1080</v>
      </c>
      <c r="D298">
        <v>113</v>
      </c>
      <c r="E298" t="s">
        <v>1001</v>
      </c>
      <c r="F298" t="s">
        <v>1221</v>
      </c>
      <c r="G298">
        <v>0</v>
      </c>
      <c r="H298" t="s">
        <v>1222</v>
      </c>
      <c r="L298">
        <v>113.1</v>
      </c>
    </row>
    <row r="299" spans="1:12" x14ac:dyDescent="0.25">
      <c r="A299" t="s">
        <v>1219</v>
      </c>
      <c r="B299">
        <v>1421</v>
      </c>
      <c r="C299" t="s">
        <v>1080</v>
      </c>
      <c r="D299">
        <v>113</v>
      </c>
      <c r="E299" t="s">
        <v>1001</v>
      </c>
      <c r="F299" t="s">
        <v>1221</v>
      </c>
      <c r="G299">
        <v>0</v>
      </c>
      <c r="H299" t="s">
        <v>1222</v>
      </c>
      <c r="L299">
        <v>113.1</v>
      </c>
    </row>
    <row r="300" spans="1:12" x14ac:dyDescent="0.25">
      <c r="A300" t="s">
        <v>1219</v>
      </c>
      <c r="B300">
        <v>1422</v>
      </c>
      <c r="C300" t="s">
        <v>1080</v>
      </c>
      <c r="D300">
        <v>113</v>
      </c>
      <c r="E300" t="s">
        <v>1001</v>
      </c>
      <c r="F300" t="s">
        <v>1221</v>
      </c>
      <c r="G300">
        <v>0</v>
      </c>
      <c r="H300" t="s">
        <v>1222</v>
      </c>
      <c r="L300">
        <v>113.1</v>
      </c>
    </row>
    <row r="301" spans="1:12" x14ac:dyDescent="0.25">
      <c r="A301" t="s">
        <v>1219</v>
      </c>
      <c r="B301">
        <v>1423</v>
      </c>
      <c r="C301" t="s">
        <v>1080</v>
      </c>
      <c r="D301">
        <v>113</v>
      </c>
      <c r="E301" t="s">
        <v>1001</v>
      </c>
      <c r="F301" t="s">
        <v>1221</v>
      </c>
      <c r="G301">
        <v>0</v>
      </c>
      <c r="H301" t="s">
        <v>1222</v>
      </c>
      <c r="L301">
        <v>113.1</v>
      </c>
    </row>
    <row r="302" spans="1:12" x14ac:dyDescent="0.25">
      <c r="A302" t="s">
        <v>1219</v>
      </c>
      <c r="B302">
        <v>1431</v>
      </c>
      <c r="C302" t="s">
        <v>1080</v>
      </c>
      <c r="D302">
        <v>113</v>
      </c>
      <c r="E302" t="s">
        <v>1001</v>
      </c>
      <c r="F302" t="s">
        <v>1221</v>
      </c>
      <c r="G302">
        <v>0</v>
      </c>
      <c r="H302" t="s">
        <v>1222</v>
      </c>
      <c r="L302">
        <v>113.1</v>
      </c>
    </row>
    <row r="303" spans="1:12" x14ac:dyDescent="0.25">
      <c r="A303" t="s">
        <v>1219</v>
      </c>
      <c r="B303">
        <v>1432</v>
      </c>
      <c r="C303" t="s">
        <v>1080</v>
      </c>
      <c r="D303">
        <v>113</v>
      </c>
      <c r="E303" t="s">
        <v>1001</v>
      </c>
      <c r="F303" t="s">
        <v>1221</v>
      </c>
      <c r="G303">
        <v>0</v>
      </c>
      <c r="H303" t="s">
        <v>1222</v>
      </c>
      <c r="L303">
        <v>113.1</v>
      </c>
    </row>
    <row r="304" spans="1:12" x14ac:dyDescent="0.25">
      <c r="A304" t="s">
        <v>1219</v>
      </c>
      <c r="B304">
        <v>1433</v>
      </c>
      <c r="C304" t="s">
        <v>1080</v>
      </c>
      <c r="D304">
        <v>113</v>
      </c>
      <c r="E304" t="s">
        <v>1001</v>
      </c>
      <c r="F304" t="s">
        <v>1221</v>
      </c>
      <c r="G304">
        <v>0</v>
      </c>
      <c r="H304" t="s">
        <v>1222</v>
      </c>
      <c r="L304">
        <v>113.1</v>
      </c>
    </row>
    <row r="305" spans="1:12" x14ac:dyDescent="0.25">
      <c r="A305" t="s">
        <v>1219</v>
      </c>
      <c r="B305">
        <v>1441</v>
      </c>
      <c r="C305" t="s">
        <v>1080</v>
      </c>
      <c r="D305">
        <v>113</v>
      </c>
      <c r="E305" t="s">
        <v>1001</v>
      </c>
      <c r="F305" t="s">
        <v>1221</v>
      </c>
      <c r="G305">
        <v>0</v>
      </c>
      <c r="H305" t="s">
        <v>1222</v>
      </c>
      <c r="L305">
        <v>113.1</v>
      </c>
    </row>
    <row r="306" spans="1:12" x14ac:dyDescent="0.25">
      <c r="A306" t="s">
        <v>1219</v>
      </c>
      <c r="B306">
        <v>1451</v>
      </c>
      <c r="C306" t="s">
        <v>1080</v>
      </c>
      <c r="D306">
        <v>113</v>
      </c>
      <c r="E306" t="s">
        <v>1001</v>
      </c>
      <c r="F306" t="s">
        <v>1221</v>
      </c>
      <c r="G306">
        <v>0</v>
      </c>
      <c r="H306" t="s">
        <v>1222</v>
      </c>
      <c r="L306">
        <v>113.1</v>
      </c>
    </row>
    <row r="307" spans="1:12" x14ac:dyDescent="0.25">
      <c r="A307" t="s">
        <v>1219</v>
      </c>
      <c r="B307">
        <v>1411</v>
      </c>
      <c r="C307" t="s">
        <v>1080</v>
      </c>
      <c r="D307">
        <v>115</v>
      </c>
      <c r="E307" t="s">
        <v>1001</v>
      </c>
      <c r="F307" t="s">
        <v>1224</v>
      </c>
      <c r="G307">
        <v>103682.12</v>
      </c>
      <c r="H307" t="s">
        <v>682</v>
      </c>
      <c r="L307">
        <v>115.1</v>
      </c>
    </row>
    <row r="308" spans="1:12" x14ac:dyDescent="0.25">
      <c r="A308" t="s">
        <v>1219</v>
      </c>
      <c r="B308">
        <v>1421</v>
      </c>
      <c r="C308" t="s">
        <v>1080</v>
      </c>
      <c r="D308">
        <v>115</v>
      </c>
      <c r="E308" t="s">
        <v>1001</v>
      </c>
      <c r="F308" t="s">
        <v>1224</v>
      </c>
      <c r="G308">
        <v>204082.69</v>
      </c>
      <c r="H308" t="s">
        <v>682</v>
      </c>
      <c r="L308">
        <v>115.1</v>
      </c>
    </row>
    <row r="309" spans="1:12" x14ac:dyDescent="0.25">
      <c r="A309" t="s">
        <v>1219</v>
      </c>
      <c r="B309">
        <v>1422</v>
      </c>
      <c r="C309" t="s">
        <v>1080</v>
      </c>
      <c r="D309">
        <v>115</v>
      </c>
      <c r="E309" t="s">
        <v>1001</v>
      </c>
      <c r="F309" t="s">
        <v>1224</v>
      </c>
      <c r="G309">
        <v>0</v>
      </c>
      <c r="H309" t="s">
        <v>682</v>
      </c>
      <c r="L309">
        <v>115.1</v>
      </c>
    </row>
    <row r="310" spans="1:12" x14ac:dyDescent="0.25">
      <c r="A310" t="s">
        <v>1219</v>
      </c>
      <c r="B310">
        <v>1423</v>
      </c>
      <c r="C310" t="s">
        <v>1080</v>
      </c>
      <c r="D310">
        <v>115</v>
      </c>
      <c r="E310" t="s">
        <v>1001</v>
      </c>
      <c r="F310" t="s">
        <v>1224</v>
      </c>
      <c r="G310">
        <v>0</v>
      </c>
      <c r="H310" t="s">
        <v>682</v>
      </c>
      <c r="L310">
        <v>115.1</v>
      </c>
    </row>
    <row r="311" spans="1:12" x14ac:dyDescent="0.25">
      <c r="A311" t="s">
        <v>1219</v>
      </c>
      <c r="B311">
        <v>1431</v>
      </c>
      <c r="C311" t="s">
        <v>1080</v>
      </c>
      <c r="D311">
        <v>115</v>
      </c>
      <c r="E311" t="s">
        <v>1001</v>
      </c>
      <c r="F311" t="s">
        <v>1224</v>
      </c>
      <c r="G311">
        <v>226140.4</v>
      </c>
      <c r="H311" t="s">
        <v>682</v>
      </c>
      <c r="L311">
        <v>115.1</v>
      </c>
    </row>
    <row r="312" spans="1:12" x14ac:dyDescent="0.25">
      <c r="A312" t="s">
        <v>1219</v>
      </c>
      <c r="B312">
        <v>1432</v>
      </c>
      <c r="C312" t="s">
        <v>1080</v>
      </c>
      <c r="D312">
        <v>115</v>
      </c>
      <c r="E312" t="s">
        <v>1001</v>
      </c>
      <c r="F312" t="s">
        <v>1224</v>
      </c>
      <c r="G312">
        <v>0</v>
      </c>
      <c r="H312" t="s">
        <v>682</v>
      </c>
      <c r="L312">
        <v>115.1</v>
      </c>
    </row>
    <row r="313" spans="1:12" x14ac:dyDescent="0.25">
      <c r="A313" t="s">
        <v>1219</v>
      </c>
      <c r="B313">
        <v>1433</v>
      </c>
      <c r="C313" t="s">
        <v>1080</v>
      </c>
      <c r="D313">
        <v>115</v>
      </c>
      <c r="E313" t="s">
        <v>1001</v>
      </c>
      <c r="F313" t="s">
        <v>1224</v>
      </c>
      <c r="G313">
        <v>0</v>
      </c>
      <c r="H313" t="s">
        <v>682</v>
      </c>
      <c r="L313">
        <v>115.1</v>
      </c>
    </row>
    <row r="314" spans="1:12" x14ac:dyDescent="0.25">
      <c r="A314" t="s">
        <v>1219</v>
      </c>
      <c r="B314">
        <v>1441</v>
      </c>
      <c r="C314" t="s">
        <v>1080</v>
      </c>
      <c r="D314">
        <v>115</v>
      </c>
      <c r="E314" t="s">
        <v>1001</v>
      </c>
      <c r="F314" t="s">
        <v>1224</v>
      </c>
      <c r="G314">
        <v>133647.29999999999</v>
      </c>
      <c r="H314" t="s">
        <v>682</v>
      </c>
      <c r="L314">
        <v>115.1</v>
      </c>
    </row>
    <row r="315" spans="1:12" x14ac:dyDescent="0.25">
      <c r="A315" t="s">
        <v>1219</v>
      </c>
      <c r="B315">
        <v>1451</v>
      </c>
      <c r="C315" t="s">
        <v>1080</v>
      </c>
      <c r="D315">
        <v>115</v>
      </c>
      <c r="E315" t="s">
        <v>1001</v>
      </c>
      <c r="F315" t="s">
        <v>1224</v>
      </c>
      <c r="G315">
        <v>102773.8</v>
      </c>
      <c r="H315" t="s">
        <v>682</v>
      </c>
      <c r="L315">
        <v>115.1</v>
      </c>
    </row>
    <row r="316" spans="1:12" x14ac:dyDescent="0.25">
      <c r="A316" t="s">
        <v>1219</v>
      </c>
      <c r="B316">
        <v>1411</v>
      </c>
      <c r="C316" t="s">
        <v>1080</v>
      </c>
      <c r="D316">
        <v>116</v>
      </c>
      <c r="E316" t="s">
        <v>1001</v>
      </c>
      <c r="F316" t="s">
        <v>1225</v>
      </c>
      <c r="G316">
        <v>0</v>
      </c>
      <c r="H316" t="s">
        <v>682</v>
      </c>
      <c r="L316">
        <v>116.1</v>
      </c>
    </row>
    <row r="317" spans="1:12" x14ac:dyDescent="0.25">
      <c r="A317" t="s">
        <v>1219</v>
      </c>
      <c r="B317">
        <v>1421</v>
      </c>
      <c r="C317" t="s">
        <v>1080</v>
      </c>
      <c r="D317">
        <v>116</v>
      </c>
      <c r="E317" t="s">
        <v>1001</v>
      </c>
      <c r="F317" t="s">
        <v>1225</v>
      </c>
      <c r="G317">
        <v>0</v>
      </c>
      <c r="H317" t="s">
        <v>682</v>
      </c>
      <c r="L317">
        <v>116.1</v>
      </c>
    </row>
    <row r="318" spans="1:12" x14ac:dyDescent="0.25">
      <c r="A318" t="s">
        <v>1219</v>
      </c>
      <c r="B318">
        <v>1422</v>
      </c>
      <c r="C318" t="s">
        <v>1080</v>
      </c>
      <c r="D318">
        <v>116</v>
      </c>
      <c r="E318" t="s">
        <v>1001</v>
      </c>
      <c r="F318" t="s">
        <v>1225</v>
      </c>
      <c r="G318">
        <v>0</v>
      </c>
      <c r="H318" t="s">
        <v>682</v>
      </c>
      <c r="L318">
        <v>116.1</v>
      </c>
    </row>
    <row r="319" spans="1:12" x14ac:dyDescent="0.25">
      <c r="A319" t="s">
        <v>1219</v>
      </c>
      <c r="B319">
        <v>1423</v>
      </c>
      <c r="C319" t="s">
        <v>1080</v>
      </c>
      <c r="D319">
        <v>116</v>
      </c>
      <c r="E319" t="s">
        <v>1001</v>
      </c>
      <c r="F319" t="s">
        <v>1225</v>
      </c>
      <c r="G319">
        <v>0</v>
      </c>
      <c r="H319" t="s">
        <v>682</v>
      </c>
      <c r="L319">
        <v>116.1</v>
      </c>
    </row>
    <row r="320" spans="1:12" x14ac:dyDescent="0.25">
      <c r="A320" t="s">
        <v>1219</v>
      </c>
      <c r="B320">
        <v>1431</v>
      </c>
      <c r="C320" t="s">
        <v>1080</v>
      </c>
      <c r="D320">
        <v>116</v>
      </c>
      <c r="E320" t="s">
        <v>1001</v>
      </c>
      <c r="F320" t="s">
        <v>1225</v>
      </c>
      <c r="G320">
        <v>0</v>
      </c>
      <c r="H320" t="s">
        <v>682</v>
      </c>
      <c r="L320">
        <v>116.1</v>
      </c>
    </row>
    <row r="321" spans="1:12" x14ac:dyDescent="0.25">
      <c r="A321" t="s">
        <v>1219</v>
      </c>
      <c r="B321">
        <v>1432</v>
      </c>
      <c r="C321" t="s">
        <v>1080</v>
      </c>
      <c r="D321">
        <v>116</v>
      </c>
      <c r="E321" t="s">
        <v>1001</v>
      </c>
      <c r="F321" t="s">
        <v>1225</v>
      </c>
      <c r="G321">
        <v>0</v>
      </c>
      <c r="H321" t="s">
        <v>682</v>
      </c>
      <c r="L321">
        <v>116.1</v>
      </c>
    </row>
    <row r="322" spans="1:12" x14ac:dyDescent="0.25">
      <c r="A322" t="s">
        <v>1219</v>
      </c>
      <c r="B322">
        <v>1433</v>
      </c>
      <c r="C322" t="s">
        <v>1080</v>
      </c>
      <c r="D322">
        <v>116</v>
      </c>
      <c r="E322" t="s">
        <v>1001</v>
      </c>
      <c r="F322" t="s">
        <v>1225</v>
      </c>
      <c r="G322">
        <v>0</v>
      </c>
      <c r="H322" t="s">
        <v>682</v>
      </c>
      <c r="L322">
        <v>116.1</v>
      </c>
    </row>
    <row r="323" spans="1:12" x14ac:dyDescent="0.25">
      <c r="A323" t="s">
        <v>1219</v>
      </c>
      <c r="B323">
        <v>1441</v>
      </c>
      <c r="C323" t="s">
        <v>1080</v>
      </c>
      <c r="D323">
        <v>116</v>
      </c>
      <c r="E323" t="s">
        <v>1001</v>
      </c>
      <c r="F323" t="s">
        <v>1225</v>
      </c>
      <c r="G323">
        <v>0</v>
      </c>
      <c r="H323" t="s">
        <v>682</v>
      </c>
      <c r="L323">
        <v>116.1</v>
      </c>
    </row>
    <row r="324" spans="1:12" x14ac:dyDescent="0.25">
      <c r="A324" t="s">
        <v>1219</v>
      </c>
      <c r="B324">
        <v>1451</v>
      </c>
      <c r="C324" t="s">
        <v>1080</v>
      </c>
      <c r="D324">
        <v>116</v>
      </c>
      <c r="E324" t="s">
        <v>1001</v>
      </c>
      <c r="F324" t="s">
        <v>1225</v>
      </c>
      <c r="G324">
        <v>0</v>
      </c>
      <c r="H324" t="s">
        <v>682</v>
      </c>
      <c r="L324">
        <v>116.1</v>
      </c>
    </row>
    <row r="325" spans="1:12" x14ac:dyDescent="0.25">
      <c r="A325" t="s">
        <v>1219</v>
      </c>
      <c r="B325">
        <v>1411</v>
      </c>
      <c r="C325" t="s">
        <v>1080</v>
      </c>
      <c r="D325">
        <v>119</v>
      </c>
      <c r="E325" t="s">
        <v>1001</v>
      </c>
      <c r="F325" t="s">
        <v>1228</v>
      </c>
      <c r="G325">
        <v>0</v>
      </c>
      <c r="L325">
        <v>119.1</v>
      </c>
    </row>
    <row r="326" spans="1:12" x14ac:dyDescent="0.25">
      <c r="A326" t="s">
        <v>1219</v>
      </c>
      <c r="B326">
        <v>1411</v>
      </c>
      <c r="C326" t="s">
        <v>1080</v>
      </c>
      <c r="D326">
        <v>130</v>
      </c>
      <c r="E326" t="s">
        <v>1001</v>
      </c>
      <c r="F326" t="s">
        <v>1229</v>
      </c>
      <c r="G326">
        <v>405342.15450743161</v>
      </c>
      <c r="H326" t="s">
        <v>682</v>
      </c>
      <c r="L326">
        <v>130.1</v>
      </c>
    </row>
    <row r="327" spans="1:12" x14ac:dyDescent="0.25">
      <c r="A327" t="s">
        <v>1219</v>
      </c>
      <c r="B327">
        <v>1421</v>
      </c>
      <c r="C327" t="s">
        <v>1080</v>
      </c>
      <c r="D327">
        <v>130</v>
      </c>
      <c r="E327" t="s">
        <v>1001</v>
      </c>
      <c r="F327" t="s">
        <v>1229</v>
      </c>
      <c r="G327">
        <v>2118222.8561150818</v>
      </c>
      <c r="H327" t="s">
        <v>682</v>
      </c>
      <c r="L327">
        <v>130.1</v>
      </c>
    </row>
    <row r="328" spans="1:12" x14ac:dyDescent="0.25">
      <c r="A328" t="s">
        <v>1219</v>
      </c>
      <c r="B328">
        <v>1422</v>
      </c>
      <c r="C328" t="s">
        <v>1080</v>
      </c>
      <c r="D328">
        <v>130</v>
      </c>
      <c r="E328" t="s">
        <v>1001</v>
      </c>
      <c r="F328" t="s">
        <v>1229</v>
      </c>
      <c r="G328">
        <v>0</v>
      </c>
      <c r="H328" t="s">
        <v>682</v>
      </c>
      <c r="L328">
        <v>130.1</v>
      </c>
    </row>
    <row r="329" spans="1:12" x14ac:dyDescent="0.25">
      <c r="A329" t="s">
        <v>1219</v>
      </c>
      <c r="B329">
        <v>1423</v>
      </c>
      <c r="C329" t="s">
        <v>1080</v>
      </c>
      <c r="D329">
        <v>130</v>
      </c>
      <c r="E329" t="s">
        <v>1001</v>
      </c>
      <c r="F329" t="s">
        <v>1229</v>
      </c>
      <c r="G329">
        <v>0</v>
      </c>
      <c r="H329" t="s">
        <v>682</v>
      </c>
      <c r="L329">
        <v>130.1</v>
      </c>
    </row>
    <row r="330" spans="1:12" x14ac:dyDescent="0.25">
      <c r="A330" t="s">
        <v>1219</v>
      </c>
      <c r="B330">
        <v>1431</v>
      </c>
      <c r="C330" t="s">
        <v>1080</v>
      </c>
      <c r="D330">
        <v>130</v>
      </c>
      <c r="E330" t="s">
        <v>1001</v>
      </c>
      <c r="F330" t="s">
        <v>1229</v>
      </c>
      <c r="G330">
        <v>2015392.7869057208</v>
      </c>
      <c r="H330" t="s">
        <v>682</v>
      </c>
      <c r="L330">
        <v>130.1</v>
      </c>
    </row>
    <row r="331" spans="1:12" x14ac:dyDescent="0.25">
      <c r="A331" t="s">
        <v>1219</v>
      </c>
      <c r="B331">
        <v>1432</v>
      </c>
      <c r="C331" t="s">
        <v>1080</v>
      </c>
      <c r="D331">
        <v>130</v>
      </c>
      <c r="E331" t="s">
        <v>1001</v>
      </c>
      <c r="F331" t="s">
        <v>1229</v>
      </c>
      <c r="G331">
        <v>0</v>
      </c>
      <c r="H331" t="s">
        <v>682</v>
      </c>
      <c r="L331">
        <v>130.1</v>
      </c>
    </row>
    <row r="332" spans="1:12" x14ac:dyDescent="0.25">
      <c r="A332" t="s">
        <v>1219</v>
      </c>
      <c r="B332">
        <v>1433</v>
      </c>
      <c r="C332" t="s">
        <v>1080</v>
      </c>
      <c r="D332">
        <v>130</v>
      </c>
      <c r="E332" t="s">
        <v>1001</v>
      </c>
      <c r="F332" t="s">
        <v>1229</v>
      </c>
      <c r="G332">
        <v>0</v>
      </c>
      <c r="H332" t="s">
        <v>682</v>
      </c>
      <c r="L332">
        <v>130.1</v>
      </c>
    </row>
    <row r="333" spans="1:12" x14ac:dyDescent="0.25">
      <c r="A333" t="s">
        <v>1219</v>
      </c>
      <c r="B333">
        <v>1441</v>
      </c>
      <c r="C333" t="s">
        <v>1080</v>
      </c>
      <c r="D333">
        <v>130</v>
      </c>
      <c r="E333" t="s">
        <v>1001</v>
      </c>
      <c r="F333" t="s">
        <v>1229</v>
      </c>
      <c r="G333">
        <v>1449085.0088127197</v>
      </c>
      <c r="H333" t="s">
        <v>682</v>
      </c>
      <c r="L333">
        <v>130.1</v>
      </c>
    </row>
    <row r="334" spans="1:12" x14ac:dyDescent="0.25">
      <c r="A334" t="s">
        <v>1219</v>
      </c>
      <c r="B334">
        <v>1451</v>
      </c>
      <c r="C334" t="s">
        <v>1080</v>
      </c>
      <c r="D334">
        <v>130</v>
      </c>
      <c r="E334" t="s">
        <v>1001</v>
      </c>
      <c r="F334" t="s">
        <v>1229</v>
      </c>
      <c r="G334">
        <v>916846.40458153037</v>
      </c>
      <c r="H334" t="s">
        <v>682</v>
      </c>
      <c r="L334">
        <v>130.1</v>
      </c>
    </row>
    <row r="335" spans="1:12" x14ac:dyDescent="0.25">
      <c r="A335" t="s">
        <v>1230</v>
      </c>
      <c r="B335">
        <v>1411</v>
      </c>
      <c r="C335" t="s">
        <v>1080</v>
      </c>
      <c r="D335">
        <v>510</v>
      </c>
      <c r="E335" t="s">
        <v>1008</v>
      </c>
      <c r="F335" t="s">
        <v>1231</v>
      </c>
      <c r="G335">
        <v>996</v>
      </c>
      <c r="H335" t="s">
        <v>683</v>
      </c>
      <c r="L335">
        <v>510.1</v>
      </c>
    </row>
    <row r="336" spans="1:12" x14ac:dyDescent="0.25">
      <c r="A336" t="s">
        <v>1230</v>
      </c>
      <c r="B336">
        <v>1421</v>
      </c>
      <c r="C336" t="s">
        <v>1080</v>
      </c>
      <c r="D336">
        <v>510</v>
      </c>
      <c r="E336" t="s">
        <v>1008</v>
      </c>
      <c r="F336" t="s">
        <v>1231</v>
      </c>
      <c r="G336">
        <v>840</v>
      </c>
      <c r="H336" t="s">
        <v>683</v>
      </c>
      <c r="L336">
        <v>510.1</v>
      </c>
    </row>
    <row r="337" spans="1:12" x14ac:dyDescent="0.25">
      <c r="A337" t="s">
        <v>1230</v>
      </c>
      <c r="B337">
        <v>1422</v>
      </c>
      <c r="C337" t="s">
        <v>1080</v>
      </c>
      <c r="D337">
        <v>510</v>
      </c>
      <c r="E337" t="s">
        <v>1008</v>
      </c>
      <c r="F337" t="s">
        <v>1231</v>
      </c>
      <c r="G337">
        <v>0</v>
      </c>
      <c r="H337" t="s">
        <v>683</v>
      </c>
      <c r="L337">
        <v>510.1</v>
      </c>
    </row>
    <row r="338" spans="1:12" x14ac:dyDescent="0.25">
      <c r="A338" t="s">
        <v>1230</v>
      </c>
      <c r="B338">
        <v>1423</v>
      </c>
      <c r="C338" t="s">
        <v>1080</v>
      </c>
      <c r="D338">
        <v>510</v>
      </c>
      <c r="E338" t="s">
        <v>1008</v>
      </c>
      <c r="F338" t="s">
        <v>1231</v>
      </c>
      <c r="G338">
        <v>0</v>
      </c>
      <c r="H338" t="s">
        <v>683</v>
      </c>
      <c r="L338">
        <v>510.1</v>
      </c>
    </row>
    <row r="339" spans="1:12" x14ac:dyDescent="0.25">
      <c r="A339" t="s">
        <v>1230</v>
      </c>
      <c r="B339">
        <v>1431</v>
      </c>
      <c r="C339" t="s">
        <v>1080</v>
      </c>
      <c r="D339">
        <v>510</v>
      </c>
      <c r="E339" t="s">
        <v>1008</v>
      </c>
      <c r="F339" t="s">
        <v>1231</v>
      </c>
      <c r="G339">
        <v>1000</v>
      </c>
      <c r="H339" t="s">
        <v>683</v>
      </c>
      <c r="L339">
        <v>510.1</v>
      </c>
    </row>
    <row r="340" spans="1:12" x14ac:dyDescent="0.25">
      <c r="A340" t="s">
        <v>1230</v>
      </c>
      <c r="B340">
        <v>1432</v>
      </c>
      <c r="C340" t="s">
        <v>1080</v>
      </c>
      <c r="D340">
        <v>510</v>
      </c>
      <c r="E340" t="s">
        <v>1008</v>
      </c>
      <c r="F340" t="s">
        <v>1231</v>
      </c>
      <c r="G340">
        <v>0</v>
      </c>
      <c r="H340" t="s">
        <v>683</v>
      </c>
      <c r="L340">
        <v>510.1</v>
      </c>
    </row>
    <row r="341" spans="1:12" x14ac:dyDescent="0.25">
      <c r="A341" t="s">
        <v>1230</v>
      </c>
      <c r="B341">
        <v>1433</v>
      </c>
      <c r="C341" t="s">
        <v>1080</v>
      </c>
      <c r="D341">
        <v>510</v>
      </c>
      <c r="E341" t="s">
        <v>1008</v>
      </c>
      <c r="F341" t="s">
        <v>1231</v>
      </c>
      <c r="G341">
        <v>0</v>
      </c>
      <c r="H341" t="s">
        <v>683</v>
      </c>
      <c r="L341">
        <v>510.1</v>
      </c>
    </row>
    <row r="342" spans="1:12" x14ac:dyDescent="0.25">
      <c r="A342" t="s">
        <v>1230</v>
      </c>
      <c r="B342">
        <v>1441</v>
      </c>
      <c r="C342" t="s">
        <v>1080</v>
      </c>
      <c r="D342">
        <v>510</v>
      </c>
      <c r="E342" t="s">
        <v>1008</v>
      </c>
      <c r="F342" t="s">
        <v>1231</v>
      </c>
      <c r="G342">
        <v>0</v>
      </c>
      <c r="H342" t="s">
        <v>683</v>
      </c>
      <c r="L342">
        <v>510.1</v>
      </c>
    </row>
    <row r="343" spans="1:12" x14ac:dyDescent="0.25">
      <c r="A343" t="s">
        <v>1230</v>
      </c>
      <c r="B343">
        <v>1451</v>
      </c>
      <c r="C343" t="s">
        <v>1080</v>
      </c>
      <c r="D343">
        <v>510</v>
      </c>
      <c r="E343" t="s">
        <v>1008</v>
      </c>
      <c r="F343" t="s">
        <v>1231</v>
      </c>
      <c r="G343">
        <v>500</v>
      </c>
      <c r="H343" t="s">
        <v>683</v>
      </c>
      <c r="L343">
        <v>510.1</v>
      </c>
    </row>
    <row r="344" spans="1:12" x14ac:dyDescent="0.25">
      <c r="A344" t="s">
        <v>1230</v>
      </c>
      <c r="B344">
        <v>1411</v>
      </c>
      <c r="C344" t="s">
        <v>1080</v>
      </c>
      <c r="D344">
        <v>520</v>
      </c>
      <c r="E344" t="s">
        <v>1008</v>
      </c>
      <c r="F344" t="s">
        <v>1232</v>
      </c>
      <c r="G344">
        <v>20004</v>
      </c>
      <c r="H344" t="s">
        <v>683</v>
      </c>
      <c r="L344">
        <v>520.1</v>
      </c>
    </row>
    <row r="345" spans="1:12" x14ac:dyDescent="0.25">
      <c r="A345" t="s">
        <v>1230</v>
      </c>
      <c r="B345">
        <v>1419</v>
      </c>
      <c r="C345" t="s">
        <v>1080</v>
      </c>
      <c r="D345">
        <v>520</v>
      </c>
      <c r="E345" t="s">
        <v>1008</v>
      </c>
      <c r="F345" t="s">
        <v>1232</v>
      </c>
      <c r="G345">
        <v>0</v>
      </c>
      <c r="L345">
        <v>520.1</v>
      </c>
    </row>
    <row r="346" spans="1:12" x14ac:dyDescent="0.25">
      <c r="A346" t="s">
        <v>1230</v>
      </c>
      <c r="B346">
        <v>1421</v>
      </c>
      <c r="C346" t="s">
        <v>1080</v>
      </c>
      <c r="D346">
        <v>520</v>
      </c>
      <c r="E346" t="s">
        <v>1008</v>
      </c>
      <c r="F346" t="s">
        <v>1232</v>
      </c>
      <c r="G346">
        <v>48000</v>
      </c>
      <c r="H346" t="s">
        <v>683</v>
      </c>
      <c r="L346">
        <v>520.1</v>
      </c>
    </row>
    <row r="347" spans="1:12" x14ac:dyDescent="0.25">
      <c r="A347" t="s">
        <v>1230</v>
      </c>
      <c r="B347">
        <v>1422</v>
      </c>
      <c r="C347" t="s">
        <v>1080</v>
      </c>
      <c r="D347">
        <v>520</v>
      </c>
      <c r="E347" t="s">
        <v>1008</v>
      </c>
      <c r="F347" t="s">
        <v>1232</v>
      </c>
      <c r="G347">
        <v>0</v>
      </c>
      <c r="H347" t="s">
        <v>683</v>
      </c>
      <c r="L347">
        <v>520.1</v>
      </c>
    </row>
    <row r="348" spans="1:12" x14ac:dyDescent="0.25">
      <c r="A348" t="s">
        <v>1230</v>
      </c>
      <c r="B348">
        <v>1423</v>
      </c>
      <c r="C348" t="s">
        <v>1080</v>
      </c>
      <c r="D348">
        <v>520</v>
      </c>
      <c r="E348" t="s">
        <v>1008</v>
      </c>
      <c r="F348" t="s">
        <v>1232</v>
      </c>
      <c r="G348">
        <v>0</v>
      </c>
      <c r="H348" t="s">
        <v>683</v>
      </c>
      <c r="L348">
        <v>520.1</v>
      </c>
    </row>
    <row r="349" spans="1:12" x14ac:dyDescent="0.25">
      <c r="A349" t="s">
        <v>1230</v>
      </c>
      <c r="B349">
        <v>1431</v>
      </c>
      <c r="C349" t="s">
        <v>1080</v>
      </c>
      <c r="D349">
        <v>520</v>
      </c>
      <c r="E349" t="s">
        <v>1008</v>
      </c>
      <c r="F349" t="s">
        <v>1232</v>
      </c>
      <c r="G349">
        <v>21600</v>
      </c>
      <c r="H349" t="s">
        <v>683</v>
      </c>
      <c r="L349">
        <v>520.1</v>
      </c>
    </row>
    <row r="350" spans="1:12" x14ac:dyDescent="0.25">
      <c r="A350" t="s">
        <v>1230</v>
      </c>
      <c r="B350">
        <v>1432</v>
      </c>
      <c r="C350" t="s">
        <v>1080</v>
      </c>
      <c r="D350">
        <v>520</v>
      </c>
      <c r="E350" t="s">
        <v>1008</v>
      </c>
      <c r="F350" t="s">
        <v>1232</v>
      </c>
      <c r="G350">
        <v>0</v>
      </c>
      <c r="H350" t="s">
        <v>683</v>
      </c>
      <c r="L350">
        <v>520.1</v>
      </c>
    </row>
    <row r="351" spans="1:12" x14ac:dyDescent="0.25">
      <c r="A351" t="s">
        <v>1230</v>
      </c>
      <c r="B351">
        <v>1433</v>
      </c>
      <c r="C351" t="s">
        <v>1080</v>
      </c>
      <c r="D351">
        <v>520</v>
      </c>
      <c r="E351" t="s">
        <v>1008</v>
      </c>
      <c r="F351" t="s">
        <v>1232</v>
      </c>
      <c r="G351">
        <v>0</v>
      </c>
      <c r="H351" t="s">
        <v>683</v>
      </c>
      <c r="L351">
        <v>520.1</v>
      </c>
    </row>
    <row r="352" spans="1:12" x14ac:dyDescent="0.25">
      <c r="A352" t="s">
        <v>1230</v>
      </c>
      <c r="B352">
        <v>1441</v>
      </c>
      <c r="C352" t="s">
        <v>1080</v>
      </c>
      <c r="D352">
        <v>520</v>
      </c>
      <c r="E352" t="s">
        <v>1008</v>
      </c>
      <c r="F352" t="s">
        <v>1232</v>
      </c>
      <c r="G352">
        <v>110004</v>
      </c>
      <c r="H352" t="s">
        <v>683</v>
      </c>
      <c r="L352">
        <v>520.1</v>
      </c>
    </row>
    <row r="353" spans="1:12" x14ac:dyDescent="0.25">
      <c r="A353" t="s">
        <v>1230</v>
      </c>
      <c r="B353">
        <v>1451</v>
      </c>
      <c r="C353" t="s">
        <v>1080</v>
      </c>
      <c r="D353">
        <v>520</v>
      </c>
      <c r="E353" t="s">
        <v>1008</v>
      </c>
      <c r="F353" t="s">
        <v>1232</v>
      </c>
      <c r="G353">
        <v>28104</v>
      </c>
      <c r="H353" t="s">
        <v>683</v>
      </c>
      <c r="L353">
        <v>520.1</v>
      </c>
    </row>
    <row r="354" spans="1:12" x14ac:dyDescent="0.25">
      <c r="A354" t="s">
        <v>1230</v>
      </c>
      <c r="B354">
        <v>1411</v>
      </c>
      <c r="C354" t="s">
        <v>1080</v>
      </c>
      <c r="D354">
        <v>540</v>
      </c>
      <c r="E354" t="s">
        <v>1008</v>
      </c>
      <c r="F354" t="s">
        <v>1233</v>
      </c>
      <c r="G354">
        <v>3996</v>
      </c>
      <c r="H354" t="s">
        <v>683</v>
      </c>
      <c r="L354">
        <v>540.1</v>
      </c>
    </row>
    <row r="355" spans="1:12" x14ac:dyDescent="0.25">
      <c r="A355" t="s">
        <v>1230</v>
      </c>
      <c r="B355">
        <v>1421</v>
      </c>
      <c r="C355" t="s">
        <v>1080</v>
      </c>
      <c r="D355">
        <v>540</v>
      </c>
      <c r="E355" t="s">
        <v>1008</v>
      </c>
      <c r="F355" t="s">
        <v>1233</v>
      </c>
      <c r="G355">
        <v>24000</v>
      </c>
      <c r="H355" t="s">
        <v>683</v>
      </c>
      <c r="L355">
        <v>540.1</v>
      </c>
    </row>
    <row r="356" spans="1:12" x14ac:dyDescent="0.25">
      <c r="A356" t="s">
        <v>1230</v>
      </c>
      <c r="B356">
        <v>1422</v>
      </c>
      <c r="C356" t="s">
        <v>1080</v>
      </c>
      <c r="D356">
        <v>540</v>
      </c>
      <c r="E356" t="s">
        <v>1008</v>
      </c>
      <c r="F356" t="s">
        <v>1233</v>
      </c>
      <c r="G356">
        <v>0</v>
      </c>
      <c r="H356" t="s">
        <v>683</v>
      </c>
      <c r="L356">
        <v>540.1</v>
      </c>
    </row>
    <row r="357" spans="1:12" x14ac:dyDescent="0.25">
      <c r="A357" t="s">
        <v>1230</v>
      </c>
      <c r="B357">
        <v>1423</v>
      </c>
      <c r="C357" t="s">
        <v>1080</v>
      </c>
      <c r="D357">
        <v>540</v>
      </c>
      <c r="E357" t="s">
        <v>1008</v>
      </c>
      <c r="F357" t="s">
        <v>1233</v>
      </c>
      <c r="G357">
        <v>0</v>
      </c>
      <c r="H357" t="s">
        <v>683</v>
      </c>
      <c r="L357">
        <v>540.1</v>
      </c>
    </row>
    <row r="358" spans="1:12" x14ac:dyDescent="0.25">
      <c r="A358" t="s">
        <v>1230</v>
      </c>
      <c r="B358">
        <v>1431</v>
      </c>
      <c r="C358" t="s">
        <v>1080</v>
      </c>
      <c r="D358">
        <v>540</v>
      </c>
      <c r="E358" t="s">
        <v>1008</v>
      </c>
      <c r="F358" t="s">
        <v>1233</v>
      </c>
      <c r="G358">
        <v>84000</v>
      </c>
      <c r="H358" t="s">
        <v>683</v>
      </c>
      <c r="L358">
        <v>540.1</v>
      </c>
    </row>
    <row r="359" spans="1:12" x14ac:dyDescent="0.25">
      <c r="A359" t="s">
        <v>1230</v>
      </c>
      <c r="B359">
        <v>1432</v>
      </c>
      <c r="C359" t="s">
        <v>1080</v>
      </c>
      <c r="D359">
        <v>540</v>
      </c>
      <c r="E359" t="s">
        <v>1008</v>
      </c>
      <c r="F359" t="s">
        <v>1233</v>
      </c>
      <c r="G359">
        <v>0</v>
      </c>
      <c r="H359" t="s">
        <v>683</v>
      </c>
      <c r="L359">
        <v>540.1</v>
      </c>
    </row>
    <row r="360" spans="1:12" x14ac:dyDescent="0.25">
      <c r="A360" t="s">
        <v>1230</v>
      </c>
      <c r="B360">
        <v>1433</v>
      </c>
      <c r="C360" t="s">
        <v>1080</v>
      </c>
      <c r="D360">
        <v>540</v>
      </c>
      <c r="E360" t="s">
        <v>1008</v>
      </c>
      <c r="F360" t="s">
        <v>1233</v>
      </c>
      <c r="G360">
        <v>0</v>
      </c>
      <c r="H360" t="s">
        <v>683</v>
      </c>
      <c r="L360">
        <v>540.1</v>
      </c>
    </row>
    <row r="361" spans="1:12" x14ac:dyDescent="0.25">
      <c r="A361" t="s">
        <v>1230</v>
      </c>
      <c r="B361">
        <v>1441</v>
      </c>
      <c r="C361" t="s">
        <v>1080</v>
      </c>
      <c r="D361">
        <v>540</v>
      </c>
      <c r="E361" t="s">
        <v>1008</v>
      </c>
      <c r="F361" t="s">
        <v>1233</v>
      </c>
      <c r="G361">
        <v>21996</v>
      </c>
      <c r="H361" t="s">
        <v>683</v>
      </c>
      <c r="L361">
        <v>540.1</v>
      </c>
    </row>
    <row r="362" spans="1:12" x14ac:dyDescent="0.25">
      <c r="A362" t="s">
        <v>1230</v>
      </c>
      <c r="B362">
        <v>1451</v>
      </c>
      <c r="C362" t="s">
        <v>1080</v>
      </c>
      <c r="D362">
        <v>540</v>
      </c>
      <c r="E362" t="s">
        <v>1008</v>
      </c>
      <c r="F362" t="s">
        <v>1233</v>
      </c>
      <c r="G362">
        <v>15000</v>
      </c>
      <c r="H362" t="s">
        <v>683</v>
      </c>
      <c r="L362">
        <v>540.1</v>
      </c>
    </row>
    <row r="363" spans="1:12" x14ac:dyDescent="0.25">
      <c r="A363" t="s">
        <v>1230</v>
      </c>
      <c r="B363">
        <v>1411</v>
      </c>
      <c r="C363" t="s">
        <v>1080</v>
      </c>
      <c r="D363">
        <v>550</v>
      </c>
      <c r="E363" t="s">
        <v>1008</v>
      </c>
      <c r="F363" t="s">
        <v>1234</v>
      </c>
      <c r="G363">
        <v>30000</v>
      </c>
      <c r="H363" t="s">
        <v>683</v>
      </c>
      <c r="L363">
        <v>550.1</v>
      </c>
    </row>
    <row r="364" spans="1:12" x14ac:dyDescent="0.25">
      <c r="A364" t="s">
        <v>1230</v>
      </c>
      <c r="B364">
        <v>1421</v>
      </c>
      <c r="C364" t="s">
        <v>1080</v>
      </c>
      <c r="D364">
        <v>550</v>
      </c>
      <c r="E364" t="s">
        <v>1008</v>
      </c>
      <c r="F364" t="s">
        <v>1234</v>
      </c>
      <c r="G364">
        <v>6000</v>
      </c>
      <c r="H364" t="s">
        <v>683</v>
      </c>
      <c r="L364">
        <v>550.1</v>
      </c>
    </row>
    <row r="365" spans="1:12" x14ac:dyDescent="0.25">
      <c r="A365" t="s">
        <v>1230</v>
      </c>
      <c r="B365">
        <v>1422</v>
      </c>
      <c r="C365" t="s">
        <v>1080</v>
      </c>
      <c r="D365">
        <v>550</v>
      </c>
      <c r="E365" t="s">
        <v>1008</v>
      </c>
      <c r="F365" t="s">
        <v>1234</v>
      </c>
      <c r="G365">
        <v>0</v>
      </c>
      <c r="H365" t="s">
        <v>683</v>
      </c>
      <c r="L365">
        <v>550.1</v>
      </c>
    </row>
    <row r="366" spans="1:12" x14ac:dyDescent="0.25">
      <c r="A366" t="s">
        <v>1230</v>
      </c>
      <c r="B366">
        <v>1423</v>
      </c>
      <c r="C366" t="s">
        <v>1080</v>
      </c>
      <c r="D366">
        <v>550</v>
      </c>
      <c r="E366" t="s">
        <v>1008</v>
      </c>
      <c r="F366" t="s">
        <v>1234</v>
      </c>
      <c r="G366">
        <v>0</v>
      </c>
      <c r="H366" t="s">
        <v>683</v>
      </c>
      <c r="L366">
        <v>550.1</v>
      </c>
    </row>
    <row r="367" spans="1:12" x14ac:dyDescent="0.25">
      <c r="A367" t="s">
        <v>1230</v>
      </c>
      <c r="B367">
        <v>1431</v>
      </c>
      <c r="C367" t="s">
        <v>1080</v>
      </c>
      <c r="D367">
        <v>550</v>
      </c>
      <c r="E367" t="s">
        <v>1008</v>
      </c>
      <c r="F367" t="s">
        <v>1234</v>
      </c>
      <c r="G367">
        <v>0</v>
      </c>
      <c r="H367" t="s">
        <v>683</v>
      </c>
      <c r="L367">
        <v>550.1</v>
      </c>
    </row>
    <row r="368" spans="1:12" x14ac:dyDescent="0.25">
      <c r="A368" t="s">
        <v>1230</v>
      </c>
      <c r="B368">
        <v>1432</v>
      </c>
      <c r="C368" t="s">
        <v>1080</v>
      </c>
      <c r="D368">
        <v>550</v>
      </c>
      <c r="E368" t="s">
        <v>1008</v>
      </c>
      <c r="F368" t="s">
        <v>1234</v>
      </c>
      <c r="G368">
        <v>0</v>
      </c>
      <c r="H368" t="s">
        <v>683</v>
      </c>
      <c r="L368">
        <v>550.1</v>
      </c>
    </row>
    <row r="369" spans="1:12" x14ac:dyDescent="0.25">
      <c r="A369" t="s">
        <v>1230</v>
      </c>
      <c r="B369">
        <v>1433</v>
      </c>
      <c r="C369" t="s">
        <v>1080</v>
      </c>
      <c r="D369">
        <v>550</v>
      </c>
      <c r="E369" t="s">
        <v>1008</v>
      </c>
      <c r="F369" t="s">
        <v>1234</v>
      </c>
      <c r="G369">
        <v>0</v>
      </c>
      <c r="H369" t="s">
        <v>683</v>
      </c>
      <c r="L369">
        <v>550.1</v>
      </c>
    </row>
    <row r="370" spans="1:12" x14ac:dyDescent="0.25">
      <c r="A370" t="s">
        <v>1230</v>
      </c>
      <c r="B370">
        <v>1441</v>
      </c>
      <c r="C370" t="s">
        <v>1080</v>
      </c>
      <c r="D370">
        <v>550</v>
      </c>
      <c r="E370" t="s">
        <v>1008</v>
      </c>
      <c r="F370" t="s">
        <v>1234</v>
      </c>
      <c r="G370">
        <v>15000</v>
      </c>
      <c r="H370" t="s">
        <v>683</v>
      </c>
      <c r="L370">
        <v>550.1</v>
      </c>
    </row>
    <row r="371" spans="1:12" x14ac:dyDescent="0.25">
      <c r="A371" t="s">
        <v>1230</v>
      </c>
      <c r="B371">
        <v>1451</v>
      </c>
      <c r="C371" t="s">
        <v>1080</v>
      </c>
      <c r="D371">
        <v>550</v>
      </c>
      <c r="E371" t="s">
        <v>1008</v>
      </c>
      <c r="F371" t="s">
        <v>1234</v>
      </c>
      <c r="G371">
        <v>7000</v>
      </c>
      <c r="H371" t="s">
        <v>683</v>
      </c>
      <c r="L371">
        <v>550.1</v>
      </c>
    </row>
    <row r="372" spans="1:12" x14ac:dyDescent="0.25">
      <c r="A372" t="s">
        <v>1230</v>
      </c>
      <c r="B372">
        <v>1411</v>
      </c>
      <c r="C372" t="s">
        <v>1080</v>
      </c>
      <c r="D372">
        <v>560</v>
      </c>
      <c r="E372" t="s">
        <v>1008</v>
      </c>
      <c r="F372" t="s">
        <v>1235</v>
      </c>
      <c r="G372">
        <v>3000</v>
      </c>
      <c r="H372" t="s">
        <v>683</v>
      </c>
      <c r="L372">
        <v>560.1</v>
      </c>
    </row>
    <row r="373" spans="1:12" x14ac:dyDescent="0.25">
      <c r="A373" t="s">
        <v>1230</v>
      </c>
      <c r="B373">
        <v>1421</v>
      </c>
      <c r="C373" t="s">
        <v>1080</v>
      </c>
      <c r="D373">
        <v>560</v>
      </c>
      <c r="E373" t="s">
        <v>1008</v>
      </c>
      <c r="F373" t="s">
        <v>1235</v>
      </c>
      <c r="G373">
        <v>0</v>
      </c>
      <c r="H373" t="s">
        <v>683</v>
      </c>
      <c r="L373">
        <v>560.1</v>
      </c>
    </row>
    <row r="374" spans="1:12" x14ac:dyDescent="0.25">
      <c r="A374" t="s">
        <v>1230</v>
      </c>
      <c r="B374">
        <v>1422</v>
      </c>
      <c r="C374" t="s">
        <v>1080</v>
      </c>
      <c r="D374">
        <v>560</v>
      </c>
      <c r="E374" t="s">
        <v>1008</v>
      </c>
      <c r="F374" t="s">
        <v>1235</v>
      </c>
      <c r="G374">
        <v>0</v>
      </c>
      <c r="H374" t="s">
        <v>683</v>
      </c>
      <c r="L374">
        <v>560.1</v>
      </c>
    </row>
    <row r="375" spans="1:12" x14ac:dyDescent="0.25">
      <c r="A375" t="s">
        <v>1230</v>
      </c>
      <c r="B375">
        <v>1423</v>
      </c>
      <c r="C375" t="s">
        <v>1080</v>
      </c>
      <c r="D375">
        <v>560</v>
      </c>
      <c r="E375" t="s">
        <v>1008</v>
      </c>
      <c r="F375" t="s">
        <v>1235</v>
      </c>
      <c r="G375">
        <v>0</v>
      </c>
      <c r="H375" t="s">
        <v>683</v>
      </c>
      <c r="L375">
        <v>560.1</v>
      </c>
    </row>
    <row r="376" spans="1:12" x14ac:dyDescent="0.25">
      <c r="A376" t="s">
        <v>1230</v>
      </c>
      <c r="B376">
        <v>1431</v>
      </c>
      <c r="C376" t="s">
        <v>1080</v>
      </c>
      <c r="D376">
        <v>560</v>
      </c>
      <c r="E376" t="s">
        <v>1008</v>
      </c>
      <c r="F376" t="s">
        <v>1235</v>
      </c>
      <c r="G376">
        <v>0</v>
      </c>
      <c r="H376" t="s">
        <v>683</v>
      </c>
      <c r="L376">
        <v>560.1</v>
      </c>
    </row>
    <row r="377" spans="1:12" x14ac:dyDescent="0.25">
      <c r="A377" t="s">
        <v>1230</v>
      </c>
      <c r="B377">
        <v>1432</v>
      </c>
      <c r="C377" t="s">
        <v>1080</v>
      </c>
      <c r="D377">
        <v>560</v>
      </c>
      <c r="E377" t="s">
        <v>1008</v>
      </c>
      <c r="F377" t="s">
        <v>1235</v>
      </c>
      <c r="G377">
        <v>0</v>
      </c>
      <c r="H377" t="s">
        <v>683</v>
      </c>
      <c r="L377">
        <v>560.1</v>
      </c>
    </row>
    <row r="378" spans="1:12" x14ac:dyDescent="0.25">
      <c r="A378" t="s">
        <v>1230</v>
      </c>
      <c r="B378">
        <v>1433</v>
      </c>
      <c r="C378" t="s">
        <v>1080</v>
      </c>
      <c r="D378">
        <v>560</v>
      </c>
      <c r="E378" t="s">
        <v>1008</v>
      </c>
      <c r="F378" t="s">
        <v>1235</v>
      </c>
      <c r="G378">
        <v>0</v>
      </c>
      <c r="H378" t="s">
        <v>683</v>
      </c>
      <c r="L378">
        <v>560.1</v>
      </c>
    </row>
    <row r="379" spans="1:12" x14ac:dyDescent="0.25">
      <c r="A379" t="s">
        <v>1230</v>
      </c>
      <c r="B379">
        <v>1441</v>
      </c>
      <c r="C379" t="s">
        <v>1080</v>
      </c>
      <c r="D379">
        <v>560</v>
      </c>
      <c r="E379" t="s">
        <v>1008</v>
      </c>
      <c r="F379" t="s">
        <v>1235</v>
      </c>
      <c r="G379">
        <v>0</v>
      </c>
      <c r="H379" t="s">
        <v>683</v>
      </c>
      <c r="L379">
        <v>560.1</v>
      </c>
    </row>
    <row r="380" spans="1:12" x14ac:dyDescent="0.25">
      <c r="A380" t="s">
        <v>1230</v>
      </c>
      <c r="B380">
        <v>1451</v>
      </c>
      <c r="C380" t="s">
        <v>1080</v>
      </c>
      <c r="D380">
        <v>560</v>
      </c>
      <c r="E380" t="s">
        <v>1008</v>
      </c>
      <c r="F380" t="s">
        <v>1235</v>
      </c>
      <c r="G380">
        <v>37000</v>
      </c>
      <c r="H380" t="s">
        <v>683</v>
      </c>
      <c r="L380">
        <v>560.1</v>
      </c>
    </row>
    <row r="381" spans="1:12" x14ac:dyDescent="0.25">
      <c r="A381" t="s">
        <v>1230</v>
      </c>
      <c r="B381">
        <v>1411</v>
      </c>
      <c r="C381" t="s">
        <v>1080</v>
      </c>
      <c r="D381">
        <v>580</v>
      </c>
      <c r="E381" t="s">
        <v>1008</v>
      </c>
      <c r="F381" t="s">
        <v>1236</v>
      </c>
      <c r="G381">
        <v>2004</v>
      </c>
      <c r="H381" t="s">
        <v>683</v>
      </c>
      <c r="L381">
        <v>580.1</v>
      </c>
    </row>
    <row r="382" spans="1:12" x14ac:dyDescent="0.25">
      <c r="A382" t="s">
        <v>1230</v>
      </c>
      <c r="B382">
        <v>1421</v>
      </c>
      <c r="C382" t="s">
        <v>1080</v>
      </c>
      <c r="D382">
        <v>580</v>
      </c>
      <c r="E382" t="s">
        <v>1008</v>
      </c>
      <c r="F382" t="s">
        <v>1236</v>
      </c>
      <c r="G382">
        <v>2400</v>
      </c>
      <c r="H382" t="s">
        <v>683</v>
      </c>
      <c r="L382">
        <v>580.1</v>
      </c>
    </row>
    <row r="383" spans="1:12" x14ac:dyDescent="0.25">
      <c r="A383" t="s">
        <v>1230</v>
      </c>
      <c r="B383">
        <v>1422</v>
      </c>
      <c r="C383" t="s">
        <v>1080</v>
      </c>
      <c r="D383">
        <v>580</v>
      </c>
      <c r="E383" t="s">
        <v>1008</v>
      </c>
      <c r="F383" t="s">
        <v>1236</v>
      </c>
      <c r="G383">
        <v>0</v>
      </c>
      <c r="H383" t="s">
        <v>683</v>
      </c>
      <c r="L383">
        <v>580.1</v>
      </c>
    </row>
    <row r="384" spans="1:12" x14ac:dyDescent="0.25">
      <c r="A384" t="s">
        <v>1230</v>
      </c>
      <c r="B384">
        <v>1423</v>
      </c>
      <c r="C384" t="s">
        <v>1080</v>
      </c>
      <c r="D384">
        <v>580</v>
      </c>
      <c r="E384" t="s">
        <v>1008</v>
      </c>
      <c r="F384" t="s">
        <v>1236</v>
      </c>
      <c r="G384">
        <v>0</v>
      </c>
      <c r="H384" t="s">
        <v>683</v>
      </c>
      <c r="L384">
        <v>580.1</v>
      </c>
    </row>
    <row r="385" spans="1:12" x14ac:dyDescent="0.25">
      <c r="A385" t="s">
        <v>1230</v>
      </c>
      <c r="B385">
        <v>1431</v>
      </c>
      <c r="C385" t="s">
        <v>1080</v>
      </c>
      <c r="D385">
        <v>580</v>
      </c>
      <c r="E385" t="s">
        <v>1008</v>
      </c>
      <c r="F385" t="s">
        <v>1236</v>
      </c>
      <c r="G385">
        <v>1200</v>
      </c>
      <c r="H385" t="s">
        <v>683</v>
      </c>
      <c r="L385">
        <v>580.1</v>
      </c>
    </row>
    <row r="386" spans="1:12" x14ac:dyDescent="0.25">
      <c r="A386" t="s">
        <v>1230</v>
      </c>
      <c r="B386">
        <v>1432</v>
      </c>
      <c r="C386" t="s">
        <v>1080</v>
      </c>
      <c r="D386">
        <v>580</v>
      </c>
      <c r="E386" t="s">
        <v>1008</v>
      </c>
      <c r="F386" t="s">
        <v>1236</v>
      </c>
      <c r="G386">
        <v>0</v>
      </c>
      <c r="H386" t="s">
        <v>683</v>
      </c>
      <c r="L386">
        <v>580.1</v>
      </c>
    </row>
    <row r="387" spans="1:12" x14ac:dyDescent="0.25">
      <c r="A387" t="s">
        <v>1230</v>
      </c>
      <c r="B387">
        <v>1433</v>
      </c>
      <c r="C387" t="s">
        <v>1080</v>
      </c>
      <c r="D387">
        <v>580</v>
      </c>
      <c r="E387" t="s">
        <v>1008</v>
      </c>
      <c r="F387" t="s">
        <v>1236</v>
      </c>
      <c r="G387">
        <v>0</v>
      </c>
      <c r="H387" t="s">
        <v>683</v>
      </c>
      <c r="L387">
        <v>580.1</v>
      </c>
    </row>
    <row r="388" spans="1:12" x14ac:dyDescent="0.25">
      <c r="A388" t="s">
        <v>1230</v>
      </c>
      <c r="B388">
        <v>1441</v>
      </c>
      <c r="C388" t="s">
        <v>1080</v>
      </c>
      <c r="D388">
        <v>580</v>
      </c>
      <c r="E388" t="s">
        <v>1008</v>
      </c>
      <c r="F388" t="s">
        <v>1236</v>
      </c>
      <c r="G388">
        <v>0</v>
      </c>
      <c r="H388" t="s">
        <v>683</v>
      </c>
      <c r="L388">
        <v>580.1</v>
      </c>
    </row>
    <row r="389" spans="1:12" x14ac:dyDescent="0.25">
      <c r="A389" t="s">
        <v>1230</v>
      </c>
      <c r="B389">
        <v>1451</v>
      </c>
      <c r="C389" t="s">
        <v>1080</v>
      </c>
      <c r="D389">
        <v>580</v>
      </c>
      <c r="E389" t="s">
        <v>1008</v>
      </c>
      <c r="F389" t="s">
        <v>1236</v>
      </c>
      <c r="G389">
        <v>0</v>
      </c>
      <c r="H389" t="s">
        <v>683</v>
      </c>
      <c r="L389">
        <v>580.1</v>
      </c>
    </row>
    <row r="390" spans="1:12" x14ac:dyDescent="0.25">
      <c r="A390" t="s">
        <v>1230</v>
      </c>
      <c r="B390">
        <v>1411</v>
      </c>
      <c r="C390" t="s">
        <v>1080</v>
      </c>
      <c r="D390">
        <v>610</v>
      </c>
      <c r="E390" t="s">
        <v>1010</v>
      </c>
      <c r="F390" t="s">
        <v>1237</v>
      </c>
      <c r="G390">
        <v>12000</v>
      </c>
      <c r="H390" t="s">
        <v>683</v>
      </c>
      <c r="L390">
        <v>610.1</v>
      </c>
    </row>
    <row r="391" spans="1:12" x14ac:dyDescent="0.25">
      <c r="A391" t="s">
        <v>1230</v>
      </c>
      <c r="B391">
        <v>1421</v>
      </c>
      <c r="C391" t="s">
        <v>1080</v>
      </c>
      <c r="D391">
        <v>610</v>
      </c>
      <c r="E391" t="s">
        <v>1010</v>
      </c>
      <c r="F391" t="s">
        <v>1237</v>
      </c>
      <c r="G391">
        <v>6000</v>
      </c>
      <c r="H391" t="s">
        <v>683</v>
      </c>
      <c r="L391">
        <v>610.1</v>
      </c>
    </row>
    <row r="392" spans="1:12" x14ac:dyDescent="0.25">
      <c r="A392" t="s">
        <v>1230</v>
      </c>
      <c r="B392">
        <v>1422</v>
      </c>
      <c r="C392" t="s">
        <v>1080</v>
      </c>
      <c r="D392">
        <v>610</v>
      </c>
      <c r="E392" t="s">
        <v>1010</v>
      </c>
      <c r="F392" t="s">
        <v>1237</v>
      </c>
      <c r="G392">
        <v>0</v>
      </c>
      <c r="H392" t="s">
        <v>683</v>
      </c>
      <c r="L392">
        <v>610.1</v>
      </c>
    </row>
    <row r="393" spans="1:12" x14ac:dyDescent="0.25">
      <c r="A393" t="s">
        <v>1230</v>
      </c>
      <c r="B393">
        <v>1423</v>
      </c>
      <c r="C393" t="s">
        <v>1080</v>
      </c>
      <c r="D393">
        <v>610</v>
      </c>
      <c r="E393" t="s">
        <v>1010</v>
      </c>
      <c r="F393" t="s">
        <v>1237</v>
      </c>
      <c r="G393">
        <v>0</v>
      </c>
      <c r="H393" t="s">
        <v>683</v>
      </c>
      <c r="L393">
        <v>610.1</v>
      </c>
    </row>
    <row r="394" spans="1:12" x14ac:dyDescent="0.25">
      <c r="A394" t="s">
        <v>1230</v>
      </c>
      <c r="B394">
        <v>1431</v>
      </c>
      <c r="C394" t="s">
        <v>1080</v>
      </c>
      <c r="D394">
        <v>610</v>
      </c>
      <c r="E394" t="s">
        <v>1010</v>
      </c>
      <c r="F394" t="s">
        <v>1237</v>
      </c>
      <c r="G394">
        <v>211992</v>
      </c>
      <c r="H394" t="s">
        <v>683</v>
      </c>
      <c r="L394">
        <v>610.1</v>
      </c>
    </row>
    <row r="395" spans="1:12" x14ac:dyDescent="0.25">
      <c r="A395" t="s">
        <v>1230</v>
      </c>
      <c r="B395">
        <v>1432</v>
      </c>
      <c r="C395" t="s">
        <v>1080</v>
      </c>
      <c r="D395">
        <v>610</v>
      </c>
      <c r="E395" t="s">
        <v>1010</v>
      </c>
      <c r="F395" t="s">
        <v>1237</v>
      </c>
      <c r="G395">
        <v>0</v>
      </c>
      <c r="H395" t="s">
        <v>683</v>
      </c>
      <c r="L395">
        <v>610.1</v>
      </c>
    </row>
    <row r="396" spans="1:12" x14ac:dyDescent="0.25">
      <c r="A396" t="s">
        <v>1230</v>
      </c>
      <c r="B396">
        <v>1433</v>
      </c>
      <c r="C396" t="s">
        <v>1080</v>
      </c>
      <c r="D396">
        <v>610</v>
      </c>
      <c r="E396" t="s">
        <v>1010</v>
      </c>
      <c r="F396" t="s">
        <v>1237</v>
      </c>
      <c r="G396">
        <v>0</v>
      </c>
      <c r="H396" t="s">
        <v>683</v>
      </c>
      <c r="L396">
        <v>610.1</v>
      </c>
    </row>
    <row r="397" spans="1:12" x14ac:dyDescent="0.25">
      <c r="A397" t="s">
        <v>1230</v>
      </c>
      <c r="B397">
        <v>1441</v>
      </c>
      <c r="C397" t="s">
        <v>1080</v>
      </c>
      <c r="D397">
        <v>610</v>
      </c>
      <c r="E397" t="s">
        <v>1010</v>
      </c>
      <c r="F397" t="s">
        <v>1237</v>
      </c>
      <c r="G397">
        <v>12000</v>
      </c>
      <c r="H397" t="s">
        <v>683</v>
      </c>
      <c r="L397">
        <v>610.1</v>
      </c>
    </row>
    <row r="398" spans="1:12" x14ac:dyDescent="0.25">
      <c r="A398" t="s">
        <v>1230</v>
      </c>
      <c r="B398">
        <v>1451</v>
      </c>
      <c r="C398" t="s">
        <v>1080</v>
      </c>
      <c r="D398">
        <v>610</v>
      </c>
      <c r="E398" t="s">
        <v>1010</v>
      </c>
      <c r="F398" t="s">
        <v>1237</v>
      </c>
      <c r="G398">
        <v>14400</v>
      </c>
      <c r="H398" t="s">
        <v>683</v>
      </c>
      <c r="L398">
        <v>610.1</v>
      </c>
    </row>
    <row r="399" spans="1:12" x14ac:dyDescent="0.25">
      <c r="A399" t="s">
        <v>1230</v>
      </c>
      <c r="B399">
        <v>1421</v>
      </c>
      <c r="C399" t="s">
        <v>1080</v>
      </c>
      <c r="D399">
        <v>614</v>
      </c>
      <c r="E399" t="s">
        <v>1010</v>
      </c>
      <c r="F399" t="s">
        <v>930</v>
      </c>
      <c r="G399">
        <v>6000</v>
      </c>
      <c r="L399">
        <v>614.1</v>
      </c>
    </row>
    <row r="400" spans="1:12" x14ac:dyDescent="0.25">
      <c r="A400" t="s">
        <v>1230</v>
      </c>
      <c r="B400">
        <v>1411</v>
      </c>
      <c r="C400" t="s">
        <v>1080</v>
      </c>
      <c r="D400">
        <v>615</v>
      </c>
      <c r="E400" t="s">
        <v>1010</v>
      </c>
      <c r="F400" t="s">
        <v>1238</v>
      </c>
      <c r="G400">
        <v>3000</v>
      </c>
      <c r="H400" t="s">
        <v>683</v>
      </c>
      <c r="L400">
        <v>615.1</v>
      </c>
    </row>
    <row r="401" spans="1:12" x14ac:dyDescent="0.25">
      <c r="A401" t="s">
        <v>1230</v>
      </c>
      <c r="B401">
        <v>1421</v>
      </c>
      <c r="C401" t="s">
        <v>1080</v>
      </c>
      <c r="D401">
        <v>615</v>
      </c>
      <c r="E401" t="s">
        <v>1010</v>
      </c>
      <c r="F401" t="s">
        <v>1238</v>
      </c>
      <c r="G401">
        <v>8400</v>
      </c>
      <c r="H401" t="s">
        <v>683</v>
      </c>
      <c r="L401">
        <v>615.1</v>
      </c>
    </row>
    <row r="402" spans="1:12" x14ac:dyDescent="0.25">
      <c r="A402" t="s">
        <v>1230</v>
      </c>
      <c r="B402">
        <v>1422</v>
      </c>
      <c r="C402" t="s">
        <v>1080</v>
      </c>
      <c r="D402">
        <v>615</v>
      </c>
      <c r="E402" t="s">
        <v>1010</v>
      </c>
      <c r="F402" t="s">
        <v>1238</v>
      </c>
      <c r="G402">
        <v>0</v>
      </c>
      <c r="H402" t="s">
        <v>683</v>
      </c>
      <c r="L402">
        <v>615.1</v>
      </c>
    </row>
    <row r="403" spans="1:12" x14ac:dyDescent="0.25">
      <c r="A403" t="s">
        <v>1230</v>
      </c>
      <c r="B403">
        <v>1423</v>
      </c>
      <c r="C403" t="s">
        <v>1080</v>
      </c>
      <c r="D403">
        <v>615</v>
      </c>
      <c r="E403" t="s">
        <v>1010</v>
      </c>
      <c r="F403" t="s">
        <v>1238</v>
      </c>
      <c r="G403">
        <v>0</v>
      </c>
      <c r="H403" t="s">
        <v>683</v>
      </c>
      <c r="L403">
        <v>615.1</v>
      </c>
    </row>
    <row r="404" spans="1:12" x14ac:dyDescent="0.25">
      <c r="A404" t="s">
        <v>1230</v>
      </c>
      <c r="B404">
        <v>1431</v>
      </c>
      <c r="C404" t="s">
        <v>1080</v>
      </c>
      <c r="D404">
        <v>615</v>
      </c>
      <c r="E404" t="s">
        <v>1010</v>
      </c>
      <c r="F404" t="s">
        <v>1238</v>
      </c>
      <c r="G404">
        <v>84000</v>
      </c>
      <c r="H404" t="s">
        <v>683</v>
      </c>
      <c r="L404">
        <v>615.1</v>
      </c>
    </row>
    <row r="405" spans="1:12" x14ac:dyDescent="0.25">
      <c r="A405" t="s">
        <v>1230</v>
      </c>
      <c r="B405">
        <v>1432</v>
      </c>
      <c r="C405" t="s">
        <v>1080</v>
      </c>
      <c r="D405">
        <v>615</v>
      </c>
      <c r="E405" t="s">
        <v>1010</v>
      </c>
      <c r="F405" t="s">
        <v>1238</v>
      </c>
      <c r="G405">
        <v>0</v>
      </c>
      <c r="H405" t="s">
        <v>683</v>
      </c>
      <c r="L405">
        <v>615.1</v>
      </c>
    </row>
    <row r="406" spans="1:12" x14ac:dyDescent="0.25">
      <c r="A406" t="s">
        <v>1230</v>
      </c>
      <c r="B406">
        <v>1433</v>
      </c>
      <c r="C406" t="s">
        <v>1080</v>
      </c>
      <c r="D406">
        <v>615</v>
      </c>
      <c r="E406" t="s">
        <v>1010</v>
      </c>
      <c r="F406" t="s">
        <v>1238</v>
      </c>
      <c r="G406">
        <v>0</v>
      </c>
      <c r="H406" t="s">
        <v>683</v>
      </c>
      <c r="L406">
        <v>615.1</v>
      </c>
    </row>
    <row r="407" spans="1:12" x14ac:dyDescent="0.25">
      <c r="A407" t="s">
        <v>1230</v>
      </c>
      <c r="B407">
        <v>1441</v>
      </c>
      <c r="C407" t="s">
        <v>1080</v>
      </c>
      <c r="D407">
        <v>615</v>
      </c>
      <c r="E407" t="s">
        <v>1010</v>
      </c>
      <c r="F407" t="s">
        <v>1238</v>
      </c>
      <c r="G407">
        <v>996</v>
      </c>
      <c r="H407" t="s">
        <v>683</v>
      </c>
      <c r="L407">
        <v>615.1</v>
      </c>
    </row>
    <row r="408" spans="1:12" x14ac:dyDescent="0.25">
      <c r="A408" t="s">
        <v>1230</v>
      </c>
      <c r="B408">
        <v>1451</v>
      </c>
      <c r="C408" t="s">
        <v>1080</v>
      </c>
      <c r="D408">
        <v>615</v>
      </c>
      <c r="E408" t="s">
        <v>1010</v>
      </c>
      <c r="F408" t="s">
        <v>1238</v>
      </c>
      <c r="G408">
        <v>60996</v>
      </c>
      <c r="H408" t="s">
        <v>683</v>
      </c>
      <c r="L408">
        <v>615.1</v>
      </c>
    </row>
    <row r="409" spans="1:12" x14ac:dyDescent="0.25">
      <c r="A409" t="s">
        <v>1230</v>
      </c>
      <c r="B409">
        <v>1411</v>
      </c>
      <c r="C409" t="s">
        <v>1080</v>
      </c>
      <c r="D409">
        <v>620</v>
      </c>
      <c r="E409" t="s">
        <v>1010</v>
      </c>
      <c r="F409" t="s">
        <v>1239</v>
      </c>
      <c r="G409">
        <v>996</v>
      </c>
      <c r="H409" t="s">
        <v>683</v>
      </c>
      <c r="L409">
        <v>620.1</v>
      </c>
    </row>
    <row r="410" spans="1:12" x14ac:dyDescent="0.25">
      <c r="A410" t="s">
        <v>1230</v>
      </c>
      <c r="B410">
        <v>1421</v>
      </c>
      <c r="C410" t="s">
        <v>1080</v>
      </c>
      <c r="D410">
        <v>620</v>
      </c>
      <c r="E410" t="s">
        <v>1010</v>
      </c>
      <c r="F410" t="s">
        <v>1239</v>
      </c>
      <c r="G410">
        <v>1200</v>
      </c>
      <c r="H410" t="s">
        <v>683</v>
      </c>
      <c r="L410">
        <v>620.1</v>
      </c>
    </row>
    <row r="411" spans="1:12" x14ac:dyDescent="0.25">
      <c r="A411" t="s">
        <v>1230</v>
      </c>
      <c r="B411">
        <v>1422</v>
      </c>
      <c r="C411" t="s">
        <v>1080</v>
      </c>
      <c r="D411">
        <v>620</v>
      </c>
      <c r="E411" t="s">
        <v>1010</v>
      </c>
      <c r="F411" t="s">
        <v>1239</v>
      </c>
      <c r="G411">
        <v>0</v>
      </c>
      <c r="H411" t="s">
        <v>683</v>
      </c>
      <c r="L411">
        <v>620.1</v>
      </c>
    </row>
    <row r="412" spans="1:12" x14ac:dyDescent="0.25">
      <c r="A412" t="s">
        <v>1230</v>
      </c>
      <c r="B412">
        <v>1423</v>
      </c>
      <c r="C412" t="s">
        <v>1080</v>
      </c>
      <c r="D412">
        <v>620</v>
      </c>
      <c r="E412" t="s">
        <v>1010</v>
      </c>
      <c r="F412" t="s">
        <v>1239</v>
      </c>
      <c r="G412">
        <v>0</v>
      </c>
      <c r="H412" t="s">
        <v>683</v>
      </c>
      <c r="L412">
        <v>620.1</v>
      </c>
    </row>
    <row r="413" spans="1:12" x14ac:dyDescent="0.25">
      <c r="A413" t="s">
        <v>1230</v>
      </c>
      <c r="B413">
        <v>1431</v>
      </c>
      <c r="C413" t="s">
        <v>1080</v>
      </c>
      <c r="D413">
        <v>620</v>
      </c>
      <c r="E413" t="s">
        <v>1010</v>
      </c>
      <c r="F413" t="s">
        <v>1239</v>
      </c>
      <c r="G413">
        <v>1200</v>
      </c>
      <c r="H413" t="s">
        <v>683</v>
      </c>
      <c r="L413">
        <v>620.1</v>
      </c>
    </row>
    <row r="414" spans="1:12" x14ac:dyDescent="0.25">
      <c r="A414" t="s">
        <v>1230</v>
      </c>
      <c r="B414">
        <v>1432</v>
      </c>
      <c r="C414" t="s">
        <v>1080</v>
      </c>
      <c r="D414">
        <v>620</v>
      </c>
      <c r="E414" t="s">
        <v>1010</v>
      </c>
      <c r="F414" t="s">
        <v>1239</v>
      </c>
      <c r="G414">
        <v>0</v>
      </c>
      <c r="H414" t="s">
        <v>683</v>
      </c>
      <c r="L414">
        <v>620.1</v>
      </c>
    </row>
    <row r="415" spans="1:12" x14ac:dyDescent="0.25">
      <c r="A415" t="s">
        <v>1230</v>
      </c>
      <c r="B415">
        <v>1433</v>
      </c>
      <c r="C415" t="s">
        <v>1080</v>
      </c>
      <c r="D415">
        <v>620</v>
      </c>
      <c r="E415" t="s">
        <v>1010</v>
      </c>
      <c r="F415" t="s">
        <v>1239</v>
      </c>
      <c r="G415">
        <v>0</v>
      </c>
      <c r="H415" t="s">
        <v>683</v>
      </c>
      <c r="L415">
        <v>620.1</v>
      </c>
    </row>
    <row r="416" spans="1:12" x14ac:dyDescent="0.25">
      <c r="A416" t="s">
        <v>1230</v>
      </c>
      <c r="B416">
        <v>1441</v>
      </c>
      <c r="C416" t="s">
        <v>1080</v>
      </c>
      <c r="D416">
        <v>620</v>
      </c>
      <c r="E416" t="s">
        <v>1010</v>
      </c>
      <c r="F416" t="s">
        <v>1239</v>
      </c>
      <c r="G416">
        <v>0</v>
      </c>
      <c r="H416" t="s">
        <v>683</v>
      </c>
      <c r="L416">
        <v>620.1</v>
      </c>
    </row>
    <row r="417" spans="1:12" x14ac:dyDescent="0.25">
      <c r="A417" t="s">
        <v>1230</v>
      </c>
      <c r="B417">
        <v>1451</v>
      </c>
      <c r="C417" t="s">
        <v>1080</v>
      </c>
      <c r="D417">
        <v>620</v>
      </c>
      <c r="E417" t="s">
        <v>1010</v>
      </c>
      <c r="F417" t="s">
        <v>1239</v>
      </c>
      <c r="G417">
        <v>996</v>
      </c>
      <c r="H417" t="s">
        <v>683</v>
      </c>
      <c r="L417">
        <v>620.1</v>
      </c>
    </row>
    <row r="418" spans="1:12" x14ac:dyDescent="0.25">
      <c r="A418" t="s">
        <v>1230</v>
      </c>
      <c r="B418">
        <v>1411</v>
      </c>
      <c r="C418" t="s">
        <v>1080</v>
      </c>
      <c r="D418">
        <v>655</v>
      </c>
      <c r="E418" t="s">
        <v>1010</v>
      </c>
      <c r="F418" t="s">
        <v>1240</v>
      </c>
      <c r="G418">
        <v>0</v>
      </c>
      <c r="H418" t="s">
        <v>683</v>
      </c>
      <c r="L418">
        <v>655.1</v>
      </c>
    </row>
    <row r="419" spans="1:12" x14ac:dyDescent="0.25">
      <c r="A419" t="s">
        <v>1230</v>
      </c>
      <c r="B419">
        <v>1421</v>
      </c>
      <c r="C419" t="s">
        <v>1080</v>
      </c>
      <c r="D419">
        <v>655</v>
      </c>
      <c r="E419" t="s">
        <v>1010</v>
      </c>
      <c r="F419" t="s">
        <v>1240</v>
      </c>
      <c r="G419">
        <v>2004</v>
      </c>
      <c r="H419" t="s">
        <v>683</v>
      </c>
      <c r="L419">
        <v>655.1</v>
      </c>
    </row>
    <row r="420" spans="1:12" x14ac:dyDescent="0.25">
      <c r="A420" t="s">
        <v>1230</v>
      </c>
      <c r="B420">
        <v>1422</v>
      </c>
      <c r="C420" t="s">
        <v>1080</v>
      </c>
      <c r="D420">
        <v>655</v>
      </c>
      <c r="E420" t="s">
        <v>1010</v>
      </c>
      <c r="F420" t="s">
        <v>1240</v>
      </c>
      <c r="G420">
        <v>0</v>
      </c>
      <c r="H420" t="s">
        <v>683</v>
      </c>
      <c r="L420">
        <v>655.1</v>
      </c>
    </row>
    <row r="421" spans="1:12" x14ac:dyDescent="0.25">
      <c r="A421" t="s">
        <v>1230</v>
      </c>
      <c r="B421">
        <v>1423</v>
      </c>
      <c r="C421" t="s">
        <v>1080</v>
      </c>
      <c r="D421">
        <v>655</v>
      </c>
      <c r="E421" t="s">
        <v>1010</v>
      </c>
      <c r="F421" t="s">
        <v>1240</v>
      </c>
      <c r="G421">
        <v>0</v>
      </c>
      <c r="H421" t="s">
        <v>683</v>
      </c>
      <c r="L421">
        <v>655.1</v>
      </c>
    </row>
    <row r="422" spans="1:12" x14ac:dyDescent="0.25">
      <c r="A422" t="s">
        <v>1230</v>
      </c>
      <c r="B422">
        <v>1431</v>
      </c>
      <c r="C422" t="s">
        <v>1080</v>
      </c>
      <c r="D422">
        <v>655</v>
      </c>
      <c r="E422" t="s">
        <v>1010</v>
      </c>
      <c r="F422" t="s">
        <v>1240</v>
      </c>
      <c r="G422">
        <v>12000</v>
      </c>
      <c r="H422" t="s">
        <v>683</v>
      </c>
      <c r="L422">
        <v>655.1</v>
      </c>
    </row>
    <row r="423" spans="1:12" x14ac:dyDescent="0.25">
      <c r="A423" t="s">
        <v>1230</v>
      </c>
      <c r="B423">
        <v>1432</v>
      </c>
      <c r="C423" t="s">
        <v>1080</v>
      </c>
      <c r="D423">
        <v>655</v>
      </c>
      <c r="E423" t="s">
        <v>1010</v>
      </c>
      <c r="F423" t="s">
        <v>1240</v>
      </c>
      <c r="G423">
        <v>0</v>
      </c>
      <c r="H423" t="s">
        <v>683</v>
      </c>
      <c r="L423">
        <v>655.1</v>
      </c>
    </row>
    <row r="424" spans="1:12" x14ac:dyDescent="0.25">
      <c r="A424" t="s">
        <v>1230</v>
      </c>
      <c r="B424">
        <v>1433</v>
      </c>
      <c r="C424" t="s">
        <v>1080</v>
      </c>
      <c r="D424">
        <v>655</v>
      </c>
      <c r="E424" t="s">
        <v>1010</v>
      </c>
      <c r="F424" t="s">
        <v>1240</v>
      </c>
      <c r="G424">
        <v>0</v>
      </c>
      <c r="H424" t="s">
        <v>683</v>
      </c>
      <c r="L424">
        <v>655.1</v>
      </c>
    </row>
    <row r="425" spans="1:12" x14ac:dyDescent="0.25">
      <c r="A425" t="s">
        <v>1230</v>
      </c>
      <c r="B425">
        <v>1441</v>
      </c>
      <c r="C425" t="s">
        <v>1080</v>
      </c>
      <c r="D425">
        <v>655</v>
      </c>
      <c r="E425" t="s">
        <v>1010</v>
      </c>
      <c r="F425" t="s">
        <v>1240</v>
      </c>
      <c r="G425">
        <v>2000</v>
      </c>
      <c r="H425" t="s">
        <v>683</v>
      </c>
      <c r="L425">
        <v>655.1</v>
      </c>
    </row>
    <row r="426" spans="1:12" x14ac:dyDescent="0.25">
      <c r="A426" t="s">
        <v>1230</v>
      </c>
      <c r="B426">
        <v>1451</v>
      </c>
      <c r="C426" t="s">
        <v>1080</v>
      </c>
      <c r="D426">
        <v>655</v>
      </c>
      <c r="E426" t="s">
        <v>1010</v>
      </c>
      <c r="F426" t="s">
        <v>1240</v>
      </c>
      <c r="G426">
        <v>2004</v>
      </c>
      <c r="H426" t="s">
        <v>683</v>
      </c>
      <c r="L426">
        <v>655.1</v>
      </c>
    </row>
    <row r="427" spans="1:12" x14ac:dyDescent="0.25">
      <c r="A427" t="s">
        <v>1230</v>
      </c>
      <c r="B427">
        <v>1411</v>
      </c>
      <c r="C427" t="s">
        <v>1080</v>
      </c>
      <c r="D427">
        <v>665</v>
      </c>
      <c r="E427" t="s">
        <v>1010</v>
      </c>
      <c r="F427" t="s">
        <v>1241</v>
      </c>
      <c r="G427">
        <v>0</v>
      </c>
      <c r="H427" t="s">
        <v>683</v>
      </c>
      <c r="L427">
        <v>665.1</v>
      </c>
    </row>
    <row r="428" spans="1:12" x14ac:dyDescent="0.25">
      <c r="A428" t="s">
        <v>1230</v>
      </c>
      <c r="B428">
        <v>1441</v>
      </c>
      <c r="C428" t="s">
        <v>1080</v>
      </c>
      <c r="D428">
        <v>665</v>
      </c>
      <c r="E428" t="s">
        <v>1010</v>
      </c>
      <c r="F428" t="s">
        <v>1241</v>
      </c>
      <c r="G428">
        <v>1768000</v>
      </c>
      <c r="H428" t="s">
        <v>683</v>
      </c>
      <c r="L428">
        <v>665.1</v>
      </c>
    </row>
    <row r="429" spans="1:12" x14ac:dyDescent="0.25">
      <c r="A429" t="s">
        <v>1230</v>
      </c>
      <c r="B429">
        <v>1451</v>
      </c>
      <c r="C429" t="s">
        <v>1080</v>
      </c>
      <c r="D429">
        <v>665</v>
      </c>
      <c r="E429" t="s">
        <v>1010</v>
      </c>
      <c r="F429" t="s">
        <v>1241</v>
      </c>
      <c r="G429">
        <v>0</v>
      </c>
      <c r="H429" t="s">
        <v>683</v>
      </c>
      <c r="L429">
        <v>665.1</v>
      </c>
    </row>
    <row r="430" spans="1:12" x14ac:dyDescent="0.25">
      <c r="A430" t="s">
        <v>1230</v>
      </c>
      <c r="B430">
        <v>1411</v>
      </c>
      <c r="C430" t="s">
        <v>1080</v>
      </c>
      <c r="D430">
        <v>670</v>
      </c>
      <c r="E430" t="s">
        <v>1010</v>
      </c>
      <c r="F430" t="s">
        <v>1242</v>
      </c>
      <c r="G430">
        <v>2004</v>
      </c>
      <c r="H430" t="s">
        <v>683</v>
      </c>
      <c r="L430">
        <v>670.1</v>
      </c>
    </row>
    <row r="431" spans="1:12" x14ac:dyDescent="0.25">
      <c r="A431" t="s">
        <v>1230</v>
      </c>
      <c r="B431">
        <v>1421</v>
      </c>
      <c r="C431" t="s">
        <v>1080</v>
      </c>
      <c r="D431">
        <v>670</v>
      </c>
      <c r="E431" t="s">
        <v>1010</v>
      </c>
      <c r="F431" t="s">
        <v>1242</v>
      </c>
      <c r="G431">
        <v>480</v>
      </c>
      <c r="H431" t="s">
        <v>683</v>
      </c>
      <c r="L431">
        <v>670.1</v>
      </c>
    </row>
    <row r="432" spans="1:12" x14ac:dyDescent="0.25">
      <c r="A432" t="s">
        <v>1230</v>
      </c>
      <c r="B432">
        <v>1422</v>
      </c>
      <c r="C432" t="s">
        <v>1080</v>
      </c>
      <c r="D432">
        <v>670</v>
      </c>
      <c r="E432" t="s">
        <v>1010</v>
      </c>
      <c r="F432" t="s">
        <v>1242</v>
      </c>
      <c r="G432">
        <v>0</v>
      </c>
      <c r="H432" t="s">
        <v>683</v>
      </c>
      <c r="L432">
        <v>670.1</v>
      </c>
    </row>
    <row r="433" spans="1:12" x14ac:dyDescent="0.25">
      <c r="A433" t="s">
        <v>1230</v>
      </c>
      <c r="B433">
        <v>1423</v>
      </c>
      <c r="C433" t="s">
        <v>1080</v>
      </c>
      <c r="D433">
        <v>670</v>
      </c>
      <c r="E433" t="s">
        <v>1010</v>
      </c>
      <c r="F433" t="s">
        <v>1242</v>
      </c>
      <c r="G433">
        <v>0</v>
      </c>
      <c r="H433" t="s">
        <v>683</v>
      </c>
      <c r="L433">
        <v>670.1</v>
      </c>
    </row>
    <row r="434" spans="1:12" x14ac:dyDescent="0.25">
      <c r="A434" t="s">
        <v>1230</v>
      </c>
      <c r="B434">
        <v>1431</v>
      </c>
      <c r="C434" t="s">
        <v>1080</v>
      </c>
      <c r="D434">
        <v>670</v>
      </c>
      <c r="E434" t="s">
        <v>1010</v>
      </c>
      <c r="F434" t="s">
        <v>1242</v>
      </c>
      <c r="G434">
        <v>0</v>
      </c>
      <c r="H434" t="s">
        <v>683</v>
      </c>
      <c r="L434">
        <v>670.1</v>
      </c>
    </row>
    <row r="435" spans="1:12" x14ac:dyDescent="0.25">
      <c r="A435" t="s">
        <v>1230</v>
      </c>
      <c r="B435">
        <v>1432</v>
      </c>
      <c r="C435" t="s">
        <v>1080</v>
      </c>
      <c r="D435">
        <v>670</v>
      </c>
      <c r="E435" t="s">
        <v>1010</v>
      </c>
      <c r="F435" t="s">
        <v>1242</v>
      </c>
      <c r="G435">
        <v>0</v>
      </c>
      <c r="H435" t="s">
        <v>683</v>
      </c>
      <c r="L435">
        <v>670.1</v>
      </c>
    </row>
    <row r="436" spans="1:12" x14ac:dyDescent="0.25">
      <c r="A436" t="s">
        <v>1230</v>
      </c>
      <c r="B436">
        <v>1433</v>
      </c>
      <c r="C436" t="s">
        <v>1080</v>
      </c>
      <c r="D436">
        <v>670</v>
      </c>
      <c r="E436" t="s">
        <v>1010</v>
      </c>
      <c r="F436" t="s">
        <v>1242</v>
      </c>
      <c r="G436">
        <v>0</v>
      </c>
      <c r="H436" t="s">
        <v>683</v>
      </c>
      <c r="L436">
        <v>670.1</v>
      </c>
    </row>
    <row r="437" spans="1:12" x14ac:dyDescent="0.25">
      <c r="A437" t="s">
        <v>1230</v>
      </c>
      <c r="B437">
        <v>1441</v>
      </c>
      <c r="C437" t="s">
        <v>1080</v>
      </c>
      <c r="D437">
        <v>670</v>
      </c>
      <c r="E437" t="s">
        <v>1010</v>
      </c>
      <c r="F437" t="s">
        <v>1242</v>
      </c>
      <c r="G437">
        <v>3000</v>
      </c>
      <c r="H437" t="s">
        <v>683</v>
      </c>
      <c r="L437">
        <v>670.1</v>
      </c>
    </row>
    <row r="438" spans="1:12" x14ac:dyDescent="0.25">
      <c r="A438" t="s">
        <v>1230</v>
      </c>
      <c r="B438">
        <v>1451</v>
      </c>
      <c r="C438" t="s">
        <v>1080</v>
      </c>
      <c r="D438">
        <v>670</v>
      </c>
      <c r="E438" t="s">
        <v>1010</v>
      </c>
      <c r="F438" t="s">
        <v>1242</v>
      </c>
      <c r="G438">
        <v>996</v>
      </c>
      <c r="H438" t="s">
        <v>683</v>
      </c>
      <c r="L438">
        <v>670.1</v>
      </c>
    </row>
    <row r="439" spans="1:12" x14ac:dyDescent="0.25">
      <c r="A439" t="s">
        <v>1219</v>
      </c>
      <c r="B439" t="s">
        <v>1289</v>
      </c>
      <c r="C439" t="s">
        <v>1080</v>
      </c>
      <c r="D439">
        <v>710</v>
      </c>
      <c r="E439">
        <v>1</v>
      </c>
      <c r="F439" t="s">
        <v>1243</v>
      </c>
      <c r="G439">
        <v>-325000</v>
      </c>
      <c r="L439">
        <v>710.1</v>
      </c>
    </row>
    <row r="440" spans="1:12" x14ac:dyDescent="0.25">
      <c r="A440" t="s">
        <v>1219</v>
      </c>
      <c r="B440">
        <v>1421</v>
      </c>
      <c r="C440" t="s">
        <v>1080</v>
      </c>
      <c r="D440">
        <v>710</v>
      </c>
      <c r="E440">
        <v>1</v>
      </c>
      <c r="F440" t="s">
        <v>1243</v>
      </c>
      <c r="G440">
        <v>240000</v>
      </c>
      <c r="L440">
        <v>710.1</v>
      </c>
    </row>
    <row r="441" spans="1:12" x14ac:dyDescent="0.25">
      <c r="A441" t="s">
        <v>1244</v>
      </c>
      <c r="B441">
        <v>1431</v>
      </c>
      <c r="C441" t="s">
        <v>1080</v>
      </c>
      <c r="D441">
        <v>240</v>
      </c>
      <c r="E441" t="s">
        <v>1002</v>
      </c>
      <c r="F441" t="s">
        <v>1264</v>
      </c>
      <c r="G441">
        <v>0</v>
      </c>
      <c r="L441">
        <v>240.1</v>
      </c>
    </row>
    <row r="442" spans="1:12" x14ac:dyDescent="0.25">
      <c r="A442" t="s">
        <v>1244</v>
      </c>
      <c r="B442">
        <v>1411</v>
      </c>
      <c r="C442" t="s">
        <v>1080</v>
      </c>
      <c r="D442">
        <v>430</v>
      </c>
      <c r="E442" t="s">
        <v>1005</v>
      </c>
      <c r="F442" t="s">
        <v>1245</v>
      </c>
      <c r="G442">
        <v>300000</v>
      </c>
      <c r="H442" t="s">
        <v>684</v>
      </c>
      <c r="L442">
        <v>430.1</v>
      </c>
    </row>
    <row r="443" spans="1:12" x14ac:dyDescent="0.25">
      <c r="A443" t="s">
        <v>1244</v>
      </c>
      <c r="B443">
        <v>1421</v>
      </c>
      <c r="C443" t="s">
        <v>1080</v>
      </c>
      <c r="D443">
        <v>430</v>
      </c>
      <c r="E443" t="s">
        <v>1005</v>
      </c>
      <c r="F443" t="s">
        <v>1245</v>
      </c>
      <c r="G443">
        <v>330008</v>
      </c>
      <c r="H443" t="s">
        <v>684</v>
      </c>
      <c r="L443">
        <v>430.1</v>
      </c>
    </row>
    <row r="444" spans="1:12" x14ac:dyDescent="0.25">
      <c r="A444" t="s">
        <v>1244</v>
      </c>
      <c r="B444">
        <v>1422</v>
      </c>
      <c r="C444" t="s">
        <v>1080</v>
      </c>
      <c r="D444">
        <v>430</v>
      </c>
      <c r="E444" t="s">
        <v>1005</v>
      </c>
      <c r="F444" t="s">
        <v>1245</v>
      </c>
      <c r="G444">
        <v>0</v>
      </c>
      <c r="H444" t="s">
        <v>684</v>
      </c>
      <c r="L444">
        <v>430.1</v>
      </c>
    </row>
    <row r="445" spans="1:12" x14ac:dyDescent="0.25">
      <c r="A445" t="s">
        <v>1244</v>
      </c>
      <c r="B445">
        <v>1423</v>
      </c>
      <c r="C445" t="s">
        <v>1080</v>
      </c>
      <c r="D445">
        <v>430</v>
      </c>
      <c r="E445" t="s">
        <v>1005</v>
      </c>
      <c r="F445" t="s">
        <v>1245</v>
      </c>
      <c r="G445">
        <v>0</v>
      </c>
      <c r="H445" t="s">
        <v>684</v>
      </c>
      <c r="L445">
        <v>430.1</v>
      </c>
    </row>
    <row r="446" spans="1:12" x14ac:dyDescent="0.25">
      <c r="A446" t="s">
        <v>1244</v>
      </c>
      <c r="B446">
        <v>1431</v>
      </c>
      <c r="C446" t="s">
        <v>1080</v>
      </c>
      <c r="D446">
        <v>430</v>
      </c>
      <c r="E446" t="s">
        <v>1005</v>
      </c>
      <c r="F446" t="s">
        <v>1245</v>
      </c>
      <c r="G446">
        <v>100000</v>
      </c>
      <c r="H446" t="s">
        <v>684</v>
      </c>
      <c r="L446">
        <v>430.1</v>
      </c>
    </row>
    <row r="447" spans="1:12" x14ac:dyDescent="0.25">
      <c r="A447" t="s">
        <v>1244</v>
      </c>
      <c r="B447">
        <v>1432</v>
      </c>
      <c r="C447" t="s">
        <v>1080</v>
      </c>
      <c r="D447">
        <v>430</v>
      </c>
      <c r="E447" t="s">
        <v>1005</v>
      </c>
      <c r="F447" t="s">
        <v>1245</v>
      </c>
      <c r="G447">
        <v>0</v>
      </c>
      <c r="H447" t="s">
        <v>684</v>
      </c>
      <c r="L447">
        <v>430.1</v>
      </c>
    </row>
    <row r="448" spans="1:12" x14ac:dyDescent="0.25">
      <c r="A448" t="s">
        <v>1244</v>
      </c>
      <c r="B448">
        <v>1433</v>
      </c>
      <c r="C448" t="s">
        <v>1080</v>
      </c>
      <c r="D448">
        <v>430</v>
      </c>
      <c r="E448" t="s">
        <v>1005</v>
      </c>
      <c r="F448" t="s">
        <v>1245</v>
      </c>
      <c r="G448">
        <v>0</v>
      </c>
      <c r="H448" t="s">
        <v>684</v>
      </c>
      <c r="L448">
        <v>430.1</v>
      </c>
    </row>
    <row r="449" spans="1:12" x14ac:dyDescent="0.25">
      <c r="A449" t="s">
        <v>1244</v>
      </c>
      <c r="B449">
        <v>1441</v>
      </c>
      <c r="C449" t="s">
        <v>1080</v>
      </c>
      <c r="D449">
        <v>430</v>
      </c>
      <c r="E449" t="s">
        <v>1005</v>
      </c>
      <c r="F449" t="s">
        <v>1245</v>
      </c>
      <c r="G449">
        <v>0</v>
      </c>
      <c r="H449" t="s">
        <v>684</v>
      </c>
      <c r="L449">
        <v>430.1</v>
      </c>
    </row>
    <row r="450" spans="1:12" x14ac:dyDescent="0.25">
      <c r="A450" t="s">
        <v>1244</v>
      </c>
      <c r="B450">
        <v>1451</v>
      </c>
      <c r="C450" t="s">
        <v>1080</v>
      </c>
      <c r="D450">
        <v>430</v>
      </c>
      <c r="E450" t="s">
        <v>1005</v>
      </c>
      <c r="F450" t="s">
        <v>1245</v>
      </c>
      <c r="G450">
        <v>100000</v>
      </c>
      <c r="H450" t="s">
        <v>684</v>
      </c>
      <c r="L450">
        <v>430.1</v>
      </c>
    </row>
    <row r="451" spans="1:12" x14ac:dyDescent="0.25">
      <c r="A451" t="s">
        <v>1244</v>
      </c>
      <c r="B451">
        <v>1451</v>
      </c>
      <c r="C451" t="s">
        <v>1080</v>
      </c>
      <c r="D451">
        <v>450</v>
      </c>
      <c r="E451">
        <v>6</v>
      </c>
      <c r="F451" t="s">
        <v>1246</v>
      </c>
      <c r="G451">
        <v>0</v>
      </c>
      <c r="H451" t="s">
        <v>684</v>
      </c>
      <c r="L451">
        <v>450.1</v>
      </c>
    </row>
    <row r="452" spans="1:12" x14ac:dyDescent="0.25">
      <c r="A452" t="s">
        <v>1244</v>
      </c>
      <c r="B452">
        <v>1411</v>
      </c>
      <c r="C452" t="s">
        <v>1080</v>
      </c>
      <c r="D452">
        <v>470</v>
      </c>
      <c r="E452" t="s">
        <v>1005</v>
      </c>
      <c r="F452" t="s">
        <v>1247</v>
      </c>
      <c r="G452">
        <v>0</v>
      </c>
      <c r="H452" t="s">
        <v>684</v>
      </c>
      <c r="L452">
        <v>470.1</v>
      </c>
    </row>
    <row r="453" spans="1:12" x14ac:dyDescent="0.25">
      <c r="A453" t="s">
        <v>1244</v>
      </c>
      <c r="B453">
        <v>1421</v>
      </c>
      <c r="C453" t="s">
        <v>1080</v>
      </c>
      <c r="D453">
        <v>470</v>
      </c>
      <c r="E453" t="s">
        <v>1005</v>
      </c>
      <c r="F453" t="s">
        <v>1247</v>
      </c>
      <c r="G453">
        <v>0</v>
      </c>
      <c r="H453" t="s">
        <v>684</v>
      </c>
      <c r="L453">
        <v>470.1</v>
      </c>
    </row>
    <row r="454" spans="1:12" x14ac:dyDescent="0.25">
      <c r="A454" t="s">
        <v>1244</v>
      </c>
      <c r="B454">
        <v>1422</v>
      </c>
      <c r="C454" t="s">
        <v>1080</v>
      </c>
      <c r="D454">
        <v>470</v>
      </c>
      <c r="E454" t="s">
        <v>1005</v>
      </c>
      <c r="F454" t="s">
        <v>1247</v>
      </c>
      <c r="G454">
        <v>0</v>
      </c>
      <c r="H454" t="s">
        <v>684</v>
      </c>
      <c r="L454">
        <v>470.1</v>
      </c>
    </row>
    <row r="455" spans="1:12" x14ac:dyDescent="0.25">
      <c r="A455" t="s">
        <v>1244</v>
      </c>
      <c r="B455">
        <v>1423</v>
      </c>
      <c r="C455" t="s">
        <v>1080</v>
      </c>
      <c r="D455">
        <v>470</v>
      </c>
      <c r="E455" t="s">
        <v>1005</v>
      </c>
      <c r="F455" t="s">
        <v>1247</v>
      </c>
      <c r="G455">
        <v>0</v>
      </c>
      <c r="H455" t="s">
        <v>684</v>
      </c>
      <c r="L455">
        <v>470.1</v>
      </c>
    </row>
    <row r="456" spans="1:12" x14ac:dyDescent="0.25">
      <c r="A456" t="s">
        <v>1244</v>
      </c>
      <c r="B456">
        <v>1431</v>
      </c>
      <c r="C456" t="s">
        <v>1080</v>
      </c>
      <c r="D456">
        <v>470</v>
      </c>
      <c r="E456" t="s">
        <v>1005</v>
      </c>
      <c r="F456" t="s">
        <v>1247</v>
      </c>
      <c r="G456">
        <v>12396</v>
      </c>
      <c r="H456" t="s">
        <v>684</v>
      </c>
      <c r="L456">
        <v>470.1</v>
      </c>
    </row>
    <row r="457" spans="1:12" x14ac:dyDescent="0.25">
      <c r="A457" t="s">
        <v>1244</v>
      </c>
      <c r="B457">
        <v>1432</v>
      </c>
      <c r="C457" t="s">
        <v>1080</v>
      </c>
      <c r="D457">
        <v>470</v>
      </c>
      <c r="E457" t="s">
        <v>1005</v>
      </c>
      <c r="F457" t="s">
        <v>1247</v>
      </c>
      <c r="G457">
        <v>0</v>
      </c>
      <c r="H457" t="s">
        <v>684</v>
      </c>
      <c r="L457">
        <v>470.1</v>
      </c>
    </row>
    <row r="458" spans="1:12" x14ac:dyDescent="0.25">
      <c r="A458" t="s">
        <v>1244</v>
      </c>
      <c r="B458">
        <v>1433</v>
      </c>
      <c r="C458" t="s">
        <v>1080</v>
      </c>
      <c r="D458">
        <v>470</v>
      </c>
      <c r="E458" t="s">
        <v>1005</v>
      </c>
      <c r="F458" t="s">
        <v>1247</v>
      </c>
      <c r="G458">
        <v>0</v>
      </c>
      <c r="H458" t="s">
        <v>684</v>
      </c>
      <c r="L458">
        <v>470.1</v>
      </c>
    </row>
    <row r="459" spans="1:12" x14ac:dyDescent="0.25">
      <c r="A459" t="s">
        <v>1244</v>
      </c>
      <c r="B459">
        <v>1441</v>
      </c>
      <c r="C459" t="s">
        <v>1080</v>
      </c>
      <c r="D459">
        <v>470</v>
      </c>
      <c r="E459" t="s">
        <v>1005</v>
      </c>
      <c r="F459" t="s">
        <v>1247</v>
      </c>
      <c r="G459">
        <v>0</v>
      </c>
      <c r="H459" t="s">
        <v>684</v>
      </c>
      <c r="L459">
        <v>470.1</v>
      </c>
    </row>
    <row r="460" spans="1:12" x14ac:dyDescent="0.25">
      <c r="A460" t="s">
        <v>1244</v>
      </c>
      <c r="B460">
        <v>1451</v>
      </c>
      <c r="C460" t="s">
        <v>1080</v>
      </c>
      <c r="D460">
        <v>470</v>
      </c>
      <c r="E460" t="s">
        <v>1005</v>
      </c>
      <c r="F460" t="s">
        <v>1247</v>
      </c>
      <c r="G460">
        <v>0</v>
      </c>
      <c r="H460" t="s">
        <v>684</v>
      </c>
      <c r="L460">
        <v>470.1</v>
      </c>
    </row>
    <row r="461" spans="1:12" x14ac:dyDescent="0.25">
      <c r="A461" t="s">
        <v>1244</v>
      </c>
      <c r="B461">
        <v>1411</v>
      </c>
      <c r="C461" t="s">
        <v>1080</v>
      </c>
      <c r="D461">
        <v>640</v>
      </c>
      <c r="E461" t="s">
        <v>1248</v>
      </c>
      <c r="F461" t="s">
        <v>1249</v>
      </c>
      <c r="G461">
        <v>0</v>
      </c>
      <c r="H461" t="s">
        <v>684</v>
      </c>
      <c r="L461">
        <v>640.1</v>
      </c>
    </row>
    <row r="462" spans="1:12" x14ac:dyDescent="0.25">
      <c r="A462" t="s">
        <v>1244</v>
      </c>
      <c r="B462">
        <v>1421</v>
      </c>
      <c r="C462" t="s">
        <v>1080</v>
      </c>
      <c r="D462">
        <v>640</v>
      </c>
      <c r="E462" t="s">
        <v>1248</v>
      </c>
      <c r="F462" t="s">
        <v>1249</v>
      </c>
      <c r="G462">
        <v>300000</v>
      </c>
      <c r="H462" t="s">
        <v>684</v>
      </c>
      <c r="L462">
        <v>640.1</v>
      </c>
    </row>
    <row r="463" spans="1:12" x14ac:dyDescent="0.25">
      <c r="A463" t="s">
        <v>1244</v>
      </c>
      <c r="B463">
        <v>1422</v>
      </c>
      <c r="C463" t="s">
        <v>1080</v>
      </c>
      <c r="D463">
        <v>640</v>
      </c>
      <c r="E463" t="s">
        <v>1248</v>
      </c>
      <c r="F463" t="s">
        <v>1249</v>
      </c>
      <c r="G463">
        <v>0</v>
      </c>
      <c r="H463" t="s">
        <v>684</v>
      </c>
      <c r="L463">
        <v>640.1</v>
      </c>
    </row>
    <row r="464" spans="1:12" x14ac:dyDescent="0.25">
      <c r="A464" t="s">
        <v>1244</v>
      </c>
      <c r="B464">
        <v>1423</v>
      </c>
      <c r="C464" t="s">
        <v>1080</v>
      </c>
      <c r="D464">
        <v>640</v>
      </c>
      <c r="E464" t="s">
        <v>1248</v>
      </c>
      <c r="F464" t="s">
        <v>1249</v>
      </c>
      <c r="G464">
        <v>0</v>
      </c>
      <c r="H464" t="s">
        <v>684</v>
      </c>
      <c r="L464">
        <v>640.1</v>
      </c>
    </row>
    <row r="465" spans="1:12" x14ac:dyDescent="0.25">
      <c r="A465" t="s">
        <v>1244</v>
      </c>
      <c r="B465">
        <v>1431</v>
      </c>
      <c r="C465" t="s">
        <v>1080</v>
      </c>
      <c r="D465">
        <v>640</v>
      </c>
      <c r="E465" t="s">
        <v>1248</v>
      </c>
      <c r="F465" t="s">
        <v>1249</v>
      </c>
      <c r="G465">
        <v>0</v>
      </c>
      <c r="H465" t="s">
        <v>684</v>
      </c>
      <c r="L465">
        <v>640.1</v>
      </c>
    </row>
    <row r="466" spans="1:12" x14ac:dyDescent="0.25">
      <c r="A466" t="s">
        <v>1244</v>
      </c>
      <c r="B466">
        <v>1432</v>
      </c>
      <c r="C466" t="s">
        <v>1080</v>
      </c>
      <c r="D466">
        <v>640</v>
      </c>
      <c r="E466" t="s">
        <v>1248</v>
      </c>
      <c r="F466" t="s">
        <v>1249</v>
      </c>
      <c r="G466">
        <v>0</v>
      </c>
      <c r="H466" t="s">
        <v>684</v>
      </c>
      <c r="L466">
        <v>640.1</v>
      </c>
    </row>
    <row r="467" spans="1:12" x14ac:dyDescent="0.25">
      <c r="A467" t="s">
        <v>1244</v>
      </c>
      <c r="B467">
        <v>1433</v>
      </c>
      <c r="C467" t="s">
        <v>1080</v>
      </c>
      <c r="D467">
        <v>640</v>
      </c>
      <c r="E467" t="s">
        <v>1248</v>
      </c>
      <c r="F467" t="s">
        <v>1249</v>
      </c>
      <c r="G467">
        <v>0</v>
      </c>
      <c r="H467" t="s">
        <v>684</v>
      </c>
      <c r="L467">
        <v>640.1</v>
      </c>
    </row>
    <row r="468" spans="1:12" x14ac:dyDescent="0.25">
      <c r="A468" t="s">
        <v>1244</v>
      </c>
      <c r="B468">
        <v>1441</v>
      </c>
      <c r="C468" t="s">
        <v>1080</v>
      </c>
      <c r="D468">
        <v>640</v>
      </c>
      <c r="E468" t="s">
        <v>1248</v>
      </c>
      <c r="F468" t="s">
        <v>1249</v>
      </c>
      <c r="G468">
        <v>24000</v>
      </c>
      <c r="H468" t="s">
        <v>684</v>
      </c>
      <c r="L468">
        <v>640.1</v>
      </c>
    </row>
    <row r="469" spans="1:12" x14ac:dyDescent="0.25">
      <c r="A469" t="s">
        <v>1244</v>
      </c>
      <c r="B469">
        <v>1451</v>
      </c>
      <c r="C469" t="s">
        <v>1080</v>
      </c>
      <c r="D469">
        <v>640</v>
      </c>
      <c r="E469" t="s">
        <v>1248</v>
      </c>
      <c r="F469" t="s">
        <v>1249</v>
      </c>
      <c r="G469">
        <v>0</v>
      </c>
      <c r="H469" t="s">
        <v>684</v>
      </c>
      <c r="L469">
        <v>640.1</v>
      </c>
    </row>
    <row r="470" spans="1:12" x14ac:dyDescent="0.25">
      <c r="A470" t="s">
        <v>1278</v>
      </c>
      <c r="B470">
        <v>1462</v>
      </c>
      <c r="C470" t="s">
        <v>1080</v>
      </c>
      <c r="D470">
        <v>310</v>
      </c>
      <c r="E470" t="s">
        <v>1004</v>
      </c>
      <c r="F470" t="s">
        <v>1277</v>
      </c>
      <c r="G470">
        <v>0</v>
      </c>
      <c r="L470">
        <v>310.10000000000002</v>
      </c>
    </row>
    <row r="471" spans="1:12" x14ac:dyDescent="0.25">
      <c r="A471" t="s">
        <v>1280</v>
      </c>
      <c r="B471">
        <v>1431</v>
      </c>
      <c r="C471" t="s">
        <v>1080</v>
      </c>
      <c r="D471">
        <v>450</v>
      </c>
      <c r="E471">
        <v>6</v>
      </c>
      <c r="F471" t="s">
        <v>1246</v>
      </c>
      <c r="G471">
        <v>0</v>
      </c>
      <c r="H471" t="s">
        <v>687</v>
      </c>
      <c r="L471">
        <v>450.1</v>
      </c>
    </row>
    <row r="472" spans="1:12" x14ac:dyDescent="0.25">
      <c r="A472" t="s">
        <v>1280</v>
      </c>
      <c r="B472">
        <v>1432</v>
      </c>
      <c r="C472" t="s">
        <v>1080</v>
      </c>
      <c r="D472">
        <v>450</v>
      </c>
      <c r="E472">
        <v>6</v>
      </c>
      <c r="F472" t="s">
        <v>1246</v>
      </c>
      <c r="G472">
        <v>0</v>
      </c>
      <c r="H472" t="s">
        <v>687</v>
      </c>
      <c r="L472">
        <v>450.1</v>
      </c>
    </row>
    <row r="473" spans="1:12" x14ac:dyDescent="0.25">
      <c r="A473" t="s">
        <v>1280</v>
      </c>
      <c r="B473">
        <v>1433</v>
      </c>
      <c r="C473" t="s">
        <v>1080</v>
      </c>
      <c r="D473">
        <v>450</v>
      </c>
      <c r="E473">
        <v>6</v>
      </c>
      <c r="F473" t="s">
        <v>1246</v>
      </c>
      <c r="G473">
        <v>0</v>
      </c>
      <c r="H473" t="s">
        <v>687</v>
      </c>
      <c r="L473">
        <v>450.1</v>
      </c>
    </row>
    <row r="474" spans="1:12" x14ac:dyDescent="0.25">
      <c r="A474" t="s">
        <v>1253</v>
      </c>
      <c r="B474">
        <v>1441</v>
      </c>
      <c r="C474" t="s">
        <v>1080</v>
      </c>
      <c r="D474">
        <v>680</v>
      </c>
      <c r="E474" t="s">
        <v>1010</v>
      </c>
      <c r="F474" t="s">
        <v>1254</v>
      </c>
      <c r="G474">
        <v>0</v>
      </c>
      <c r="H474" t="s">
        <v>1255</v>
      </c>
      <c r="L474">
        <v>680.1</v>
      </c>
    </row>
    <row r="475" spans="1:12" x14ac:dyDescent="0.25">
      <c r="A475" t="s">
        <v>1258</v>
      </c>
      <c r="B475">
        <v>1431</v>
      </c>
      <c r="C475" t="s">
        <v>1080</v>
      </c>
      <c r="D475">
        <v>210</v>
      </c>
      <c r="E475" t="s">
        <v>1002</v>
      </c>
      <c r="F475" t="s">
        <v>336</v>
      </c>
      <c r="G475">
        <v>0</v>
      </c>
      <c r="H475" t="s">
        <v>1259</v>
      </c>
      <c r="L475">
        <v>210.1</v>
      </c>
    </row>
    <row r="476" spans="1:12" x14ac:dyDescent="0.25">
      <c r="A476" t="s">
        <v>1258</v>
      </c>
      <c r="B476">
        <v>1432</v>
      </c>
      <c r="C476" t="s">
        <v>1080</v>
      </c>
      <c r="D476">
        <v>210</v>
      </c>
      <c r="E476" t="s">
        <v>1002</v>
      </c>
      <c r="F476" t="s">
        <v>336</v>
      </c>
      <c r="G476">
        <v>0</v>
      </c>
      <c r="H476" t="s">
        <v>1259</v>
      </c>
      <c r="L476">
        <v>210.1</v>
      </c>
    </row>
    <row r="477" spans="1:12" x14ac:dyDescent="0.25">
      <c r="A477" t="s">
        <v>1258</v>
      </c>
      <c r="B477">
        <v>1433</v>
      </c>
      <c r="C477" t="s">
        <v>1080</v>
      </c>
      <c r="D477">
        <v>210</v>
      </c>
      <c r="E477" t="s">
        <v>1002</v>
      </c>
      <c r="F477" t="s">
        <v>336</v>
      </c>
      <c r="G477">
        <v>0</v>
      </c>
      <c r="H477" t="s">
        <v>1259</v>
      </c>
      <c r="L477">
        <v>210.1</v>
      </c>
    </row>
    <row r="478" spans="1:12" x14ac:dyDescent="0.25">
      <c r="A478" t="s">
        <v>1258</v>
      </c>
      <c r="B478">
        <v>1431</v>
      </c>
      <c r="C478" t="s">
        <v>1080</v>
      </c>
      <c r="D478">
        <v>230</v>
      </c>
      <c r="E478" t="s">
        <v>1002</v>
      </c>
      <c r="F478" t="s">
        <v>1261</v>
      </c>
      <c r="G478">
        <v>6606120</v>
      </c>
      <c r="H478" t="s">
        <v>1259</v>
      </c>
      <c r="L478">
        <v>230.1</v>
      </c>
    </row>
    <row r="479" spans="1:12" x14ac:dyDescent="0.25">
      <c r="A479" t="s">
        <v>1258</v>
      </c>
      <c r="B479">
        <v>1432</v>
      </c>
      <c r="C479" t="s">
        <v>1080</v>
      </c>
      <c r="D479">
        <v>230</v>
      </c>
      <c r="E479" t="s">
        <v>1002</v>
      </c>
      <c r="F479" t="s">
        <v>1261</v>
      </c>
      <c r="G479">
        <v>0</v>
      </c>
      <c r="H479" t="s">
        <v>1259</v>
      </c>
      <c r="L479">
        <v>230.1</v>
      </c>
    </row>
    <row r="480" spans="1:12" x14ac:dyDescent="0.25">
      <c r="A480" t="s">
        <v>1258</v>
      </c>
      <c r="B480">
        <v>1433</v>
      </c>
      <c r="C480" t="s">
        <v>1080</v>
      </c>
      <c r="D480">
        <v>230</v>
      </c>
      <c r="E480" t="s">
        <v>1002</v>
      </c>
      <c r="F480" t="s">
        <v>1261</v>
      </c>
      <c r="G480">
        <v>0</v>
      </c>
      <c r="H480" t="s">
        <v>1259</v>
      </c>
      <c r="L480">
        <v>230.1</v>
      </c>
    </row>
    <row r="481" spans="1:12" x14ac:dyDescent="0.25">
      <c r="A481" t="s">
        <v>1258</v>
      </c>
      <c r="B481">
        <v>1441</v>
      </c>
      <c r="C481" t="s">
        <v>1080</v>
      </c>
      <c r="D481">
        <v>230</v>
      </c>
      <c r="E481" t="s">
        <v>1002</v>
      </c>
      <c r="F481" t="s">
        <v>1261</v>
      </c>
      <c r="G481">
        <v>0</v>
      </c>
      <c r="H481" t="s">
        <v>1259</v>
      </c>
      <c r="L481">
        <v>230.1</v>
      </c>
    </row>
    <row r="482" spans="1:12" x14ac:dyDescent="0.25">
      <c r="A482" t="s">
        <v>1258</v>
      </c>
      <c r="B482">
        <v>1431</v>
      </c>
      <c r="C482" t="s">
        <v>1080</v>
      </c>
      <c r="D482">
        <v>410</v>
      </c>
      <c r="E482" t="s">
        <v>1248</v>
      </c>
      <c r="F482" t="s">
        <v>1290</v>
      </c>
      <c r="G482">
        <v>6000000</v>
      </c>
      <c r="H482" t="s">
        <v>1259</v>
      </c>
      <c r="L482">
        <v>410.1</v>
      </c>
    </row>
    <row r="483" spans="1:12" x14ac:dyDescent="0.25">
      <c r="A483" t="s">
        <v>1258</v>
      </c>
      <c r="B483">
        <v>1432</v>
      </c>
      <c r="C483" t="s">
        <v>1080</v>
      </c>
      <c r="D483">
        <v>410</v>
      </c>
      <c r="E483" t="s">
        <v>1248</v>
      </c>
      <c r="F483" t="s">
        <v>1290</v>
      </c>
      <c r="G483">
        <v>0</v>
      </c>
      <c r="H483" t="s">
        <v>1259</v>
      </c>
      <c r="L483">
        <v>410.1</v>
      </c>
    </row>
    <row r="484" spans="1:12" x14ac:dyDescent="0.25">
      <c r="A484" t="s">
        <v>1258</v>
      </c>
      <c r="B484">
        <v>1433</v>
      </c>
      <c r="C484" t="s">
        <v>1080</v>
      </c>
      <c r="D484">
        <v>410</v>
      </c>
      <c r="E484" t="s">
        <v>1248</v>
      </c>
      <c r="F484" t="s">
        <v>1290</v>
      </c>
      <c r="G484">
        <v>0</v>
      </c>
      <c r="H484" t="s">
        <v>1259</v>
      </c>
      <c r="L484">
        <v>410.1</v>
      </c>
    </row>
    <row r="485" spans="1:12" x14ac:dyDescent="0.25">
      <c r="A485" t="s">
        <v>1258</v>
      </c>
      <c r="B485">
        <v>1441</v>
      </c>
      <c r="C485" t="s">
        <v>1080</v>
      </c>
      <c r="D485">
        <v>415</v>
      </c>
      <c r="E485" t="s">
        <v>1248</v>
      </c>
      <c r="F485" t="s">
        <v>1286</v>
      </c>
      <c r="G485">
        <v>0</v>
      </c>
      <c r="L485">
        <v>415.1</v>
      </c>
    </row>
    <row r="486" spans="1:12" x14ac:dyDescent="0.25">
      <c r="A486" t="s">
        <v>1262</v>
      </c>
      <c r="B486">
        <v>1411</v>
      </c>
      <c r="C486" t="s">
        <v>1080</v>
      </c>
      <c r="D486">
        <v>240</v>
      </c>
      <c r="E486" t="s">
        <v>1002</v>
      </c>
      <c r="F486" t="s">
        <v>1264</v>
      </c>
      <c r="G486">
        <v>0</v>
      </c>
      <c r="H486" t="s">
        <v>1263</v>
      </c>
      <c r="L486">
        <v>240.1</v>
      </c>
    </row>
    <row r="487" spans="1:12" x14ac:dyDescent="0.25">
      <c r="A487" t="s">
        <v>1262</v>
      </c>
      <c r="B487">
        <v>1441</v>
      </c>
      <c r="C487" t="s">
        <v>1080</v>
      </c>
      <c r="D487">
        <v>240</v>
      </c>
      <c r="E487" t="s">
        <v>1002</v>
      </c>
      <c r="F487" t="s">
        <v>1264</v>
      </c>
      <c r="G487">
        <v>0</v>
      </c>
      <c r="H487" t="s">
        <v>1263</v>
      </c>
      <c r="L487">
        <v>240.1</v>
      </c>
    </row>
    <row r="488" spans="1:12" x14ac:dyDescent="0.25">
      <c r="A488" t="s">
        <v>1262</v>
      </c>
      <c r="B488">
        <v>1431</v>
      </c>
      <c r="C488" t="s">
        <v>1080</v>
      </c>
      <c r="D488">
        <v>410</v>
      </c>
      <c r="E488" t="s">
        <v>1248</v>
      </c>
      <c r="F488" t="s">
        <v>1290</v>
      </c>
      <c r="G488">
        <v>0</v>
      </c>
      <c r="H488" t="s">
        <v>1263</v>
      </c>
      <c r="L488">
        <v>410.1</v>
      </c>
    </row>
    <row r="489" spans="1:12" x14ac:dyDescent="0.25">
      <c r="A489" t="s">
        <v>1262</v>
      </c>
      <c r="B489">
        <v>1432</v>
      </c>
      <c r="C489" t="s">
        <v>1080</v>
      </c>
      <c r="D489">
        <v>410</v>
      </c>
      <c r="E489" t="s">
        <v>1248</v>
      </c>
      <c r="F489" t="s">
        <v>1290</v>
      </c>
      <c r="G489">
        <v>0</v>
      </c>
      <c r="H489" t="s">
        <v>1263</v>
      </c>
      <c r="L489">
        <v>410.1</v>
      </c>
    </row>
    <row r="490" spans="1:12" x14ac:dyDescent="0.25">
      <c r="A490" t="s">
        <v>1262</v>
      </c>
      <c r="B490">
        <v>1433</v>
      </c>
      <c r="C490" t="s">
        <v>1080</v>
      </c>
      <c r="D490">
        <v>410</v>
      </c>
      <c r="E490" t="s">
        <v>1248</v>
      </c>
      <c r="F490" t="s">
        <v>1290</v>
      </c>
      <c r="G490">
        <v>0</v>
      </c>
      <c r="H490" t="s">
        <v>1263</v>
      </c>
      <c r="L490">
        <v>410.1</v>
      </c>
    </row>
    <row r="491" spans="1:12" x14ac:dyDescent="0.25">
      <c r="A491" t="s">
        <v>1262</v>
      </c>
      <c r="B491">
        <v>1431</v>
      </c>
      <c r="C491" t="s">
        <v>1080</v>
      </c>
      <c r="D491">
        <v>440</v>
      </c>
      <c r="E491" t="s">
        <v>1248</v>
      </c>
      <c r="F491" t="s">
        <v>1265</v>
      </c>
      <c r="G491">
        <v>530000</v>
      </c>
      <c r="H491" t="s">
        <v>1263</v>
      </c>
      <c r="L491">
        <v>440.1</v>
      </c>
    </row>
    <row r="492" spans="1:12" x14ac:dyDescent="0.25">
      <c r="A492" t="s">
        <v>1262</v>
      </c>
      <c r="B492">
        <v>1432</v>
      </c>
      <c r="C492" t="s">
        <v>1080</v>
      </c>
      <c r="D492">
        <v>440</v>
      </c>
      <c r="E492" t="s">
        <v>1248</v>
      </c>
      <c r="F492" t="s">
        <v>1265</v>
      </c>
      <c r="G492">
        <v>0</v>
      </c>
      <c r="H492" t="s">
        <v>1263</v>
      </c>
      <c r="L492">
        <v>440.1</v>
      </c>
    </row>
    <row r="493" spans="1:12" x14ac:dyDescent="0.25">
      <c r="A493" t="s">
        <v>1262</v>
      </c>
      <c r="B493">
        <v>1433</v>
      </c>
      <c r="C493" t="s">
        <v>1080</v>
      </c>
      <c r="D493">
        <v>440</v>
      </c>
      <c r="E493" t="s">
        <v>1248</v>
      </c>
      <c r="F493" t="s">
        <v>1265</v>
      </c>
      <c r="G493">
        <v>0</v>
      </c>
      <c r="H493" t="s">
        <v>1263</v>
      </c>
      <c r="L493">
        <v>440.1</v>
      </c>
    </row>
    <row r="494" spans="1:12" x14ac:dyDescent="0.25">
      <c r="A494" t="s">
        <v>1262</v>
      </c>
      <c r="B494">
        <v>1421</v>
      </c>
      <c r="C494" t="s">
        <v>1080</v>
      </c>
      <c r="D494">
        <v>445</v>
      </c>
      <c r="E494" t="s">
        <v>1248</v>
      </c>
      <c r="F494" t="s">
        <v>1271</v>
      </c>
      <c r="G494">
        <v>1423300</v>
      </c>
      <c r="H494" t="s">
        <v>1263</v>
      </c>
      <c r="L494">
        <v>445.1</v>
      </c>
    </row>
    <row r="495" spans="1:12" x14ac:dyDescent="0.25">
      <c r="A495" t="s">
        <v>1262</v>
      </c>
      <c r="B495">
        <v>1422</v>
      </c>
      <c r="C495" t="s">
        <v>1080</v>
      </c>
      <c r="D495">
        <v>445</v>
      </c>
      <c r="E495" t="s">
        <v>1248</v>
      </c>
      <c r="F495" t="s">
        <v>1271</v>
      </c>
      <c r="G495">
        <v>0</v>
      </c>
      <c r="H495" t="s">
        <v>1263</v>
      </c>
      <c r="L495">
        <v>445.1</v>
      </c>
    </row>
    <row r="496" spans="1:12" x14ac:dyDescent="0.25">
      <c r="A496" t="s">
        <v>1262</v>
      </c>
      <c r="B496">
        <v>1423</v>
      </c>
      <c r="C496" t="s">
        <v>1080</v>
      </c>
      <c r="D496">
        <v>445</v>
      </c>
      <c r="E496" t="s">
        <v>1248</v>
      </c>
      <c r="F496" t="s">
        <v>1271</v>
      </c>
      <c r="G496">
        <v>0</v>
      </c>
      <c r="H496" t="s">
        <v>1263</v>
      </c>
      <c r="L496">
        <v>445.1</v>
      </c>
    </row>
    <row r="497" spans="1:12" x14ac:dyDescent="0.25">
      <c r="A497" t="s">
        <v>1262</v>
      </c>
      <c r="B497">
        <v>1431</v>
      </c>
      <c r="C497" t="s">
        <v>1080</v>
      </c>
      <c r="D497">
        <v>445</v>
      </c>
      <c r="E497" t="s">
        <v>1248</v>
      </c>
      <c r="F497" t="s">
        <v>1271</v>
      </c>
      <c r="G497">
        <v>667000</v>
      </c>
      <c r="H497" t="s">
        <v>1263</v>
      </c>
      <c r="L497">
        <v>445.1</v>
      </c>
    </row>
    <row r="498" spans="1:12" x14ac:dyDescent="0.25">
      <c r="A498" t="s">
        <v>1262</v>
      </c>
      <c r="B498">
        <v>1432</v>
      </c>
      <c r="C498" t="s">
        <v>1080</v>
      </c>
      <c r="D498">
        <v>445</v>
      </c>
      <c r="E498" t="s">
        <v>1248</v>
      </c>
      <c r="F498" t="s">
        <v>1271</v>
      </c>
      <c r="G498">
        <v>0</v>
      </c>
      <c r="H498" t="s">
        <v>1263</v>
      </c>
      <c r="L498">
        <v>445.1</v>
      </c>
    </row>
    <row r="499" spans="1:12" x14ac:dyDescent="0.25">
      <c r="A499" t="s">
        <v>1262</v>
      </c>
      <c r="B499">
        <v>1433</v>
      </c>
      <c r="C499" t="s">
        <v>1080</v>
      </c>
      <c r="D499">
        <v>445</v>
      </c>
      <c r="E499" t="s">
        <v>1248</v>
      </c>
      <c r="F499" t="s">
        <v>1271</v>
      </c>
      <c r="G499">
        <v>0</v>
      </c>
      <c r="H499" t="s">
        <v>1263</v>
      </c>
      <c r="L499">
        <v>445.1</v>
      </c>
    </row>
    <row r="500" spans="1:12" x14ac:dyDescent="0.25">
      <c r="A500" t="s">
        <v>1262</v>
      </c>
      <c r="B500">
        <v>1441</v>
      </c>
      <c r="C500" t="s">
        <v>1080</v>
      </c>
      <c r="D500">
        <v>445</v>
      </c>
      <c r="E500" t="s">
        <v>1248</v>
      </c>
      <c r="F500" t="s">
        <v>1271</v>
      </c>
      <c r="G500">
        <v>120000</v>
      </c>
      <c r="H500" t="s">
        <v>1263</v>
      </c>
      <c r="L500">
        <v>445.1</v>
      </c>
    </row>
    <row r="501" spans="1:12" x14ac:dyDescent="0.25">
      <c r="A501" t="s">
        <v>1262</v>
      </c>
      <c r="B501">
        <v>1451</v>
      </c>
      <c r="C501" t="s">
        <v>1080</v>
      </c>
      <c r="D501">
        <v>445</v>
      </c>
      <c r="E501" t="s">
        <v>1248</v>
      </c>
      <c r="F501" t="s">
        <v>1271</v>
      </c>
      <c r="G501">
        <v>1107012</v>
      </c>
      <c r="H501" t="s">
        <v>1263</v>
      </c>
      <c r="L501">
        <v>445.1</v>
      </c>
    </row>
    <row r="502" spans="1:12" x14ac:dyDescent="0.25">
      <c r="A502" t="s">
        <v>1291</v>
      </c>
      <c r="B502">
        <v>1511</v>
      </c>
      <c r="C502" t="s">
        <v>1292</v>
      </c>
      <c r="D502">
        <v>113</v>
      </c>
      <c r="E502" t="s">
        <v>1001</v>
      </c>
      <c r="F502" t="s">
        <v>1221</v>
      </c>
      <c r="G502">
        <v>0</v>
      </c>
      <c r="H502" t="s">
        <v>662</v>
      </c>
      <c r="L502">
        <v>113.1</v>
      </c>
    </row>
    <row r="503" spans="1:12" x14ac:dyDescent="0.25">
      <c r="A503" t="s">
        <v>1291</v>
      </c>
      <c r="B503">
        <v>1521</v>
      </c>
      <c r="C503" t="s">
        <v>1292</v>
      </c>
      <c r="D503">
        <v>113</v>
      </c>
      <c r="E503" t="s">
        <v>1001</v>
      </c>
      <c r="F503" t="s">
        <v>1221</v>
      </c>
      <c r="G503">
        <v>0</v>
      </c>
      <c r="H503" t="s">
        <v>1222</v>
      </c>
      <c r="L503">
        <v>113.1</v>
      </c>
    </row>
    <row r="504" spans="1:12" x14ac:dyDescent="0.25">
      <c r="A504" t="s">
        <v>1291</v>
      </c>
      <c r="B504">
        <v>1511</v>
      </c>
      <c r="C504" t="s">
        <v>1292</v>
      </c>
      <c r="D504">
        <v>115</v>
      </c>
      <c r="E504" t="s">
        <v>1001</v>
      </c>
      <c r="F504" t="s">
        <v>1224</v>
      </c>
      <c r="G504">
        <v>97622.12</v>
      </c>
      <c r="H504" t="s">
        <v>662</v>
      </c>
      <c r="L504">
        <v>115.1</v>
      </c>
    </row>
    <row r="505" spans="1:12" x14ac:dyDescent="0.25">
      <c r="A505" t="s">
        <v>1291</v>
      </c>
      <c r="B505">
        <v>1521</v>
      </c>
      <c r="C505" t="s">
        <v>1292</v>
      </c>
      <c r="D505">
        <v>115</v>
      </c>
      <c r="E505" t="s">
        <v>1001</v>
      </c>
      <c r="F505" t="s">
        <v>1224</v>
      </c>
      <c r="G505">
        <v>158302.51999999999</v>
      </c>
      <c r="H505" t="s">
        <v>662</v>
      </c>
      <c r="L505">
        <v>115.1</v>
      </c>
    </row>
    <row r="506" spans="1:12" x14ac:dyDescent="0.25">
      <c r="A506" t="s">
        <v>1291</v>
      </c>
      <c r="B506">
        <v>1511</v>
      </c>
      <c r="C506" t="s">
        <v>1292</v>
      </c>
      <c r="D506">
        <v>116</v>
      </c>
      <c r="E506" t="s">
        <v>1001</v>
      </c>
      <c r="F506" t="s">
        <v>1225</v>
      </c>
      <c r="G506">
        <v>0</v>
      </c>
      <c r="H506" t="s">
        <v>662</v>
      </c>
      <c r="L506">
        <v>116.1</v>
      </c>
    </row>
    <row r="507" spans="1:12" x14ac:dyDescent="0.25">
      <c r="A507" t="s">
        <v>1291</v>
      </c>
      <c r="B507">
        <v>1521</v>
      </c>
      <c r="C507" t="s">
        <v>1292</v>
      </c>
      <c r="D507">
        <v>116</v>
      </c>
      <c r="E507" t="s">
        <v>1001</v>
      </c>
      <c r="F507" t="s">
        <v>1225</v>
      </c>
      <c r="G507">
        <v>0</v>
      </c>
      <c r="H507" t="s">
        <v>662</v>
      </c>
      <c r="L507">
        <v>116.1</v>
      </c>
    </row>
    <row r="508" spans="1:12" x14ac:dyDescent="0.25">
      <c r="A508" t="s">
        <v>1291</v>
      </c>
      <c r="B508">
        <v>1511</v>
      </c>
      <c r="C508" t="s">
        <v>1292</v>
      </c>
      <c r="D508">
        <v>117</v>
      </c>
      <c r="E508" t="s">
        <v>1001</v>
      </c>
      <c r="F508" t="s">
        <v>1226</v>
      </c>
      <c r="G508">
        <v>0</v>
      </c>
      <c r="L508">
        <v>117.1</v>
      </c>
    </row>
    <row r="509" spans="1:12" x14ac:dyDescent="0.25">
      <c r="A509" t="s">
        <v>1291</v>
      </c>
      <c r="B509">
        <v>1511</v>
      </c>
      <c r="C509" t="s">
        <v>1292</v>
      </c>
      <c r="D509">
        <v>118</v>
      </c>
      <c r="E509" t="s">
        <v>1001</v>
      </c>
      <c r="F509" t="s">
        <v>1227</v>
      </c>
      <c r="G509">
        <v>0</v>
      </c>
      <c r="H509" t="s">
        <v>662</v>
      </c>
      <c r="L509">
        <v>118.1</v>
      </c>
    </row>
    <row r="510" spans="1:12" x14ac:dyDescent="0.25">
      <c r="A510" t="s">
        <v>1291</v>
      </c>
      <c r="B510">
        <v>1511</v>
      </c>
      <c r="C510" t="s">
        <v>1292</v>
      </c>
      <c r="D510">
        <v>130</v>
      </c>
      <c r="E510" t="s">
        <v>1001</v>
      </c>
      <c r="F510" t="s">
        <v>1229</v>
      </c>
      <c r="G510">
        <v>284485.19559171214</v>
      </c>
      <c r="H510" t="s">
        <v>662</v>
      </c>
      <c r="L510">
        <v>130.1</v>
      </c>
    </row>
    <row r="511" spans="1:12" x14ac:dyDescent="0.25">
      <c r="A511" t="s">
        <v>1291</v>
      </c>
      <c r="B511">
        <v>1521</v>
      </c>
      <c r="C511" t="s">
        <v>1292</v>
      </c>
      <c r="D511">
        <v>130</v>
      </c>
      <c r="E511" t="s">
        <v>1001</v>
      </c>
      <c r="F511" t="s">
        <v>1229</v>
      </c>
      <c r="G511">
        <v>1666215.9497731519</v>
      </c>
      <c r="H511" t="s">
        <v>662</v>
      </c>
      <c r="L511">
        <v>130.1</v>
      </c>
    </row>
    <row r="512" spans="1:12" x14ac:dyDescent="0.25">
      <c r="A512" t="s">
        <v>1291</v>
      </c>
      <c r="B512">
        <v>1511</v>
      </c>
      <c r="C512" t="s">
        <v>1292</v>
      </c>
      <c r="D512">
        <v>240</v>
      </c>
      <c r="E512" t="s">
        <v>1002</v>
      </c>
      <c r="F512" t="s">
        <v>1264</v>
      </c>
      <c r="G512">
        <v>0</v>
      </c>
      <c r="H512" t="s">
        <v>662</v>
      </c>
      <c r="L512">
        <v>240.1</v>
      </c>
    </row>
    <row r="513" spans="1:12" x14ac:dyDescent="0.25">
      <c r="A513" t="s">
        <v>1291</v>
      </c>
      <c r="B513">
        <v>1511</v>
      </c>
      <c r="C513" t="s">
        <v>1292</v>
      </c>
      <c r="D513">
        <v>430</v>
      </c>
      <c r="E513" t="s">
        <v>1005</v>
      </c>
      <c r="F513" t="s">
        <v>1245</v>
      </c>
      <c r="G513">
        <v>0</v>
      </c>
      <c r="H513" t="s">
        <v>662</v>
      </c>
      <c r="L513">
        <v>430.1</v>
      </c>
    </row>
    <row r="514" spans="1:12" x14ac:dyDescent="0.25">
      <c r="A514" t="s">
        <v>1291</v>
      </c>
      <c r="B514">
        <v>1521</v>
      </c>
      <c r="C514" t="s">
        <v>1292</v>
      </c>
      <c r="D514">
        <v>430</v>
      </c>
      <c r="E514" t="s">
        <v>1005</v>
      </c>
      <c r="F514" t="s">
        <v>1245</v>
      </c>
      <c r="G514">
        <v>50004</v>
      </c>
      <c r="H514" t="s">
        <v>662</v>
      </c>
      <c r="L514">
        <v>430.1</v>
      </c>
    </row>
    <row r="515" spans="1:12" x14ac:dyDescent="0.25">
      <c r="A515" t="s">
        <v>1291</v>
      </c>
      <c r="B515">
        <v>1511</v>
      </c>
      <c r="C515" t="s">
        <v>1292</v>
      </c>
      <c r="D515">
        <v>440</v>
      </c>
      <c r="E515" t="s">
        <v>1248</v>
      </c>
      <c r="F515" t="s">
        <v>1265</v>
      </c>
      <c r="G515">
        <v>0</v>
      </c>
      <c r="L515">
        <v>440.1</v>
      </c>
    </row>
    <row r="516" spans="1:12" x14ac:dyDescent="0.25">
      <c r="A516" t="s">
        <v>1291</v>
      </c>
      <c r="B516">
        <v>1521</v>
      </c>
      <c r="C516" t="s">
        <v>1292</v>
      </c>
      <c r="D516">
        <v>445</v>
      </c>
      <c r="E516" t="s">
        <v>1248</v>
      </c>
      <c r="F516" t="s">
        <v>1271</v>
      </c>
      <c r="G516">
        <v>0</v>
      </c>
      <c r="H516" t="s">
        <v>662</v>
      </c>
      <c r="L516">
        <v>445.1</v>
      </c>
    </row>
    <row r="517" spans="1:12" x14ac:dyDescent="0.25">
      <c r="A517" t="s">
        <v>1291</v>
      </c>
      <c r="B517">
        <v>1511</v>
      </c>
      <c r="C517" t="s">
        <v>1292</v>
      </c>
      <c r="D517">
        <v>450</v>
      </c>
      <c r="E517">
        <v>6</v>
      </c>
      <c r="F517" t="s">
        <v>1246</v>
      </c>
      <c r="G517">
        <v>0</v>
      </c>
      <c r="H517" t="s">
        <v>662</v>
      </c>
      <c r="L517">
        <v>450.1</v>
      </c>
    </row>
    <row r="518" spans="1:12" x14ac:dyDescent="0.25">
      <c r="A518" t="s">
        <v>1291</v>
      </c>
      <c r="B518">
        <v>1511</v>
      </c>
      <c r="C518" t="s">
        <v>1292</v>
      </c>
      <c r="D518">
        <v>470</v>
      </c>
      <c r="E518" t="s">
        <v>1005</v>
      </c>
      <c r="F518" t="s">
        <v>1247</v>
      </c>
      <c r="G518">
        <v>50000</v>
      </c>
      <c r="H518" t="s">
        <v>662</v>
      </c>
      <c r="L518">
        <v>470.1</v>
      </c>
    </row>
    <row r="519" spans="1:12" x14ac:dyDescent="0.25">
      <c r="A519" t="s">
        <v>1291</v>
      </c>
      <c r="B519">
        <v>1521</v>
      </c>
      <c r="C519" t="s">
        <v>1292</v>
      </c>
      <c r="D519">
        <v>470</v>
      </c>
      <c r="E519" t="s">
        <v>1005</v>
      </c>
      <c r="F519" t="s">
        <v>1247</v>
      </c>
      <c r="G519">
        <v>0</v>
      </c>
      <c r="H519" t="s">
        <v>662</v>
      </c>
      <c r="L519">
        <v>470.1</v>
      </c>
    </row>
    <row r="520" spans="1:12" x14ac:dyDescent="0.25">
      <c r="A520" t="s">
        <v>1291</v>
      </c>
      <c r="B520">
        <v>1511</v>
      </c>
      <c r="C520" t="s">
        <v>1292</v>
      </c>
      <c r="D520">
        <v>510</v>
      </c>
      <c r="E520" t="s">
        <v>1008</v>
      </c>
      <c r="F520" t="s">
        <v>1231</v>
      </c>
      <c r="G520">
        <v>549996</v>
      </c>
      <c r="H520" t="s">
        <v>662</v>
      </c>
      <c r="L520">
        <v>510.1</v>
      </c>
    </row>
    <row r="521" spans="1:12" x14ac:dyDescent="0.25">
      <c r="A521" t="s">
        <v>1291</v>
      </c>
      <c r="B521">
        <v>1521</v>
      </c>
      <c r="C521" t="s">
        <v>1292</v>
      </c>
      <c r="D521">
        <v>510</v>
      </c>
      <c r="E521" t="s">
        <v>1008</v>
      </c>
      <c r="F521" t="s">
        <v>1231</v>
      </c>
      <c r="G521">
        <v>7256</v>
      </c>
      <c r="H521" t="s">
        <v>662</v>
      </c>
      <c r="L521">
        <v>510.1</v>
      </c>
    </row>
    <row r="522" spans="1:12" x14ac:dyDescent="0.25">
      <c r="A522" t="s">
        <v>1291</v>
      </c>
      <c r="B522">
        <v>1511</v>
      </c>
      <c r="C522" t="s">
        <v>1292</v>
      </c>
      <c r="D522">
        <v>520</v>
      </c>
      <c r="E522" t="s">
        <v>1008</v>
      </c>
      <c r="F522" t="s">
        <v>1232</v>
      </c>
      <c r="G522">
        <v>95004</v>
      </c>
      <c r="H522" t="s">
        <v>662</v>
      </c>
      <c r="L522">
        <v>520.1</v>
      </c>
    </row>
    <row r="523" spans="1:12" x14ac:dyDescent="0.25">
      <c r="A523" t="s">
        <v>1291</v>
      </c>
      <c r="B523">
        <v>1521</v>
      </c>
      <c r="C523" t="s">
        <v>1292</v>
      </c>
      <c r="D523">
        <v>520</v>
      </c>
      <c r="E523" t="s">
        <v>1008</v>
      </c>
      <c r="F523" t="s">
        <v>1232</v>
      </c>
      <c r="G523">
        <v>91996</v>
      </c>
      <c r="H523" t="s">
        <v>662</v>
      </c>
      <c r="L523">
        <v>520.1</v>
      </c>
    </row>
    <row r="524" spans="1:12" x14ac:dyDescent="0.25">
      <c r="A524" t="s">
        <v>1291</v>
      </c>
      <c r="B524">
        <v>1511</v>
      </c>
      <c r="C524" t="s">
        <v>1292</v>
      </c>
      <c r="D524">
        <v>530</v>
      </c>
      <c r="E524" t="s">
        <v>1008</v>
      </c>
      <c r="F524" t="s">
        <v>1288</v>
      </c>
      <c r="G524">
        <v>0</v>
      </c>
      <c r="H524" t="s">
        <v>662</v>
      </c>
      <c r="L524">
        <v>530.1</v>
      </c>
    </row>
    <row r="525" spans="1:12" x14ac:dyDescent="0.25">
      <c r="A525" t="s">
        <v>1291</v>
      </c>
      <c r="B525">
        <v>1521</v>
      </c>
      <c r="C525" t="s">
        <v>1292</v>
      </c>
      <c r="D525">
        <v>530</v>
      </c>
      <c r="E525" t="s">
        <v>1008</v>
      </c>
      <c r="F525" t="s">
        <v>1288</v>
      </c>
      <c r="G525">
        <v>0</v>
      </c>
      <c r="H525" t="s">
        <v>662</v>
      </c>
      <c r="L525">
        <v>530.1</v>
      </c>
    </row>
    <row r="526" spans="1:12" x14ac:dyDescent="0.25">
      <c r="A526" t="s">
        <v>1291</v>
      </c>
      <c r="B526">
        <v>1511</v>
      </c>
      <c r="C526" t="s">
        <v>1292</v>
      </c>
      <c r="D526">
        <v>540</v>
      </c>
      <c r="E526" t="s">
        <v>1008</v>
      </c>
      <c r="F526" t="s">
        <v>1233</v>
      </c>
      <c r="G526">
        <v>19000</v>
      </c>
      <c r="H526" t="s">
        <v>662</v>
      </c>
      <c r="L526">
        <v>540.1</v>
      </c>
    </row>
    <row r="527" spans="1:12" x14ac:dyDescent="0.25">
      <c r="A527" t="s">
        <v>1291</v>
      </c>
      <c r="B527">
        <v>1521</v>
      </c>
      <c r="C527" t="s">
        <v>1292</v>
      </c>
      <c r="D527">
        <v>540</v>
      </c>
      <c r="E527" t="s">
        <v>1008</v>
      </c>
      <c r="F527" t="s">
        <v>1233</v>
      </c>
      <c r="G527">
        <v>24996</v>
      </c>
      <c r="H527" t="s">
        <v>662</v>
      </c>
      <c r="L527">
        <v>540.1</v>
      </c>
    </row>
    <row r="528" spans="1:12" x14ac:dyDescent="0.25">
      <c r="A528" t="s">
        <v>1291</v>
      </c>
      <c r="B528">
        <v>1511</v>
      </c>
      <c r="C528" t="s">
        <v>1292</v>
      </c>
      <c r="D528">
        <v>550</v>
      </c>
      <c r="E528" t="s">
        <v>1008</v>
      </c>
      <c r="F528" t="s">
        <v>1234</v>
      </c>
      <c r="G528">
        <v>50000</v>
      </c>
      <c r="H528" t="s">
        <v>662</v>
      </c>
      <c r="L528">
        <v>550.1</v>
      </c>
    </row>
    <row r="529" spans="1:12" x14ac:dyDescent="0.25">
      <c r="A529" t="s">
        <v>1291</v>
      </c>
      <c r="B529">
        <v>1521</v>
      </c>
      <c r="C529" t="s">
        <v>1292</v>
      </c>
      <c r="D529">
        <v>550</v>
      </c>
      <c r="E529" t="s">
        <v>1008</v>
      </c>
      <c r="F529" t="s">
        <v>1234</v>
      </c>
      <c r="G529">
        <v>5004</v>
      </c>
      <c r="H529" t="s">
        <v>662</v>
      </c>
      <c r="L529">
        <v>550.1</v>
      </c>
    </row>
    <row r="530" spans="1:12" x14ac:dyDescent="0.25">
      <c r="A530" t="s">
        <v>1291</v>
      </c>
      <c r="B530">
        <v>1511</v>
      </c>
      <c r="C530" t="s">
        <v>1292</v>
      </c>
      <c r="D530">
        <v>560</v>
      </c>
      <c r="E530" t="s">
        <v>1008</v>
      </c>
      <c r="F530" t="s">
        <v>1235</v>
      </c>
      <c r="G530">
        <v>1000</v>
      </c>
      <c r="H530" t="s">
        <v>662</v>
      </c>
      <c r="L530">
        <v>560.1</v>
      </c>
    </row>
    <row r="531" spans="1:12" x14ac:dyDescent="0.25">
      <c r="A531" t="s">
        <v>1291</v>
      </c>
      <c r="B531">
        <v>1521</v>
      </c>
      <c r="C531" t="s">
        <v>1292</v>
      </c>
      <c r="D531">
        <v>560</v>
      </c>
      <c r="E531" t="s">
        <v>1008</v>
      </c>
      <c r="F531" t="s">
        <v>1235</v>
      </c>
      <c r="G531">
        <v>5004</v>
      </c>
      <c r="H531" t="s">
        <v>662</v>
      </c>
      <c r="L531">
        <v>560.1</v>
      </c>
    </row>
    <row r="532" spans="1:12" x14ac:dyDescent="0.25">
      <c r="A532" t="s">
        <v>1291</v>
      </c>
      <c r="B532">
        <v>1521</v>
      </c>
      <c r="C532" t="s">
        <v>1292</v>
      </c>
      <c r="D532">
        <v>570</v>
      </c>
      <c r="E532" t="s">
        <v>1008</v>
      </c>
      <c r="F532" t="s">
        <v>1272</v>
      </c>
      <c r="G532">
        <v>9996</v>
      </c>
      <c r="H532" t="s">
        <v>662</v>
      </c>
      <c r="L532">
        <v>570.1</v>
      </c>
    </row>
    <row r="533" spans="1:12" x14ac:dyDescent="0.25">
      <c r="A533" t="s">
        <v>1291</v>
      </c>
      <c r="B533">
        <v>1511</v>
      </c>
      <c r="C533" t="s">
        <v>1292</v>
      </c>
      <c r="D533">
        <v>580</v>
      </c>
      <c r="E533" t="s">
        <v>1008</v>
      </c>
      <c r="F533" t="s">
        <v>1236</v>
      </c>
      <c r="G533">
        <v>4000</v>
      </c>
      <c r="H533" t="s">
        <v>662</v>
      </c>
      <c r="L533">
        <v>580.1</v>
      </c>
    </row>
    <row r="534" spans="1:12" x14ac:dyDescent="0.25">
      <c r="A534" t="s">
        <v>1291</v>
      </c>
      <c r="B534">
        <v>1521</v>
      </c>
      <c r="C534" t="s">
        <v>1292</v>
      </c>
      <c r="D534">
        <v>580</v>
      </c>
      <c r="E534" t="s">
        <v>1008</v>
      </c>
      <c r="F534" t="s">
        <v>1236</v>
      </c>
      <c r="G534">
        <v>5004</v>
      </c>
      <c r="H534" t="s">
        <v>662</v>
      </c>
      <c r="L534">
        <v>580.1</v>
      </c>
    </row>
    <row r="535" spans="1:12" x14ac:dyDescent="0.25">
      <c r="A535" t="s">
        <v>1291</v>
      </c>
      <c r="B535">
        <v>1511</v>
      </c>
      <c r="C535" t="s">
        <v>1292</v>
      </c>
      <c r="D535">
        <v>610</v>
      </c>
      <c r="E535" t="s">
        <v>1010</v>
      </c>
      <c r="F535" t="s">
        <v>1237</v>
      </c>
      <c r="G535">
        <v>24996</v>
      </c>
      <c r="H535" t="s">
        <v>662</v>
      </c>
      <c r="L535">
        <v>610.1</v>
      </c>
    </row>
    <row r="536" spans="1:12" x14ac:dyDescent="0.25">
      <c r="A536" t="s">
        <v>1291</v>
      </c>
      <c r="B536">
        <v>1521</v>
      </c>
      <c r="C536" t="s">
        <v>1292</v>
      </c>
      <c r="D536">
        <v>610</v>
      </c>
      <c r="E536" t="s">
        <v>1010</v>
      </c>
      <c r="F536" t="s">
        <v>1237</v>
      </c>
      <c r="G536">
        <v>23000</v>
      </c>
      <c r="H536" t="s">
        <v>662</v>
      </c>
      <c r="L536">
        <v>610.1</v>
      </c>
    </row>
    <row r="537" spans="1:12" x14ac:dyDescent="0.25">
      <c r="A537" t="s">
        <v>1291</v>
      </c>
      <c r="B537">
        <v>1511</v>
      </c>
      <c r="C537" t="s">
        <v>1292</v>
      </c>
      <c r="D537">
        <v>615</v>
      </c>
      <c r="E537" t="s">
        <v>1010</v>
      </c>
      <c r="F537" t="s">
        <v>1238</v>
      </c>
      <c r="G537">
        <v>11004</v>
      </c>
      <c r="H537" t="s">
        <v>662</v>
      </c>
      <c r="L537">
        <v>615.1</v>
      </c>
    </row>
    <row r="538" spans="1:12" x14ac:dyDescent="0.25">
      <c r="A538" t="s">
        <v>1291</v>
      </c>
      <c r="B538">
        <v>1521</v>
      </c>
      <c r="C538" t="s">
        <v>1292</v>
      </c>
      <c r="D538">
        <v>615</v>
      </c>
      <c r="E538" t="s">
        <v>1010</v>
      </c>
      <c r="F538" t="s">
        <v>1238</v>
      </c>
      <c r="G538">
        <v>5504</v>
      </c>
      <c r="H538" t="s">
        <v>662</v>
      </c>
      <c r="L538">
        <v>615.1</v>
      </c>
    </row>
    <row r="539" spans="1:12" x14ac:dyDescent="0.25">
      <c r="A539" t="s">
        <v>1291</v>
      </c>
      <c r="B539">
        <v>1511</v>
      </c>
      <c r="C539" t="s">
        <v>1292</v>
      </c>
      <c r="D539">
        <v>620</v>
      </c>
      <c r="E539" t="s">
        <v>1010</v>
      </c>
      <c r="F539" t="s">
        <v>1239</v>
      </c>
      <c r="G539">
        <v>5496</v>
      </c>
      <c r="H539" t="s">
        <v>662</v>
      </c>
      <c r="L539">
        <v>620.1</v>
      </c>
    </row>
    <row r="540" spans="1:12" x14ac:dyDescent="0.25">
      <c r="A540" t="s">
        <v>1291</v>
      </c>
      <c r="B540">
        <v>1521</v>
      </c>
      <c r="C540" t="s">
        <v>1292</v>
      </c>
      <c r="D540">
        <v>620</v>
      </c>
      <c r="E540" t="s">
        <v>1010</v>
      </c>
      <c r="F540" t="s">
        <v>1239</v>
      </c>
      <c r="G540">
        <v>1200</v>
      </c>
      <c r="H540" t="s">
        <v>662</v>
      </c>
      <c r="L540">
        <v>620.1</v>
      </c>
    </row>
    <row r="541" spans="1:12" x14ac:dyDescent="0.25">
      <c r="A541" t="s">
        <v>1291</v>
      </c>
      <c r="B541">
        <v>1511</v>
      </c>
      <c r="C541" t="s">
        <v>1292</v>
      </c>
      <c r="D541">
        <v>640</v>
      </c>
      <c r="E541" t="s">
        <v>1248</v>
      </c>
      <c r="F541" t="s">
        <v>1249</v>
      </c>
      <c r="G541">
        <v>0</v>
      </c>
      <c r="H541" t="s">
        <v>662</v>
      </c>
      <c r="L541">
        <v>640.1</v>
      </c>
    </row>
    <row r="542" spans="1:12" x14ac:dyDescent="0.25">
      <c r="A542" t="s">
        <v>1291</v>
      </c>
      <c r="B542">
        <v>1521</v>
      </c>
      <c r="C542" t="s">
        <v>1292</v>
      </c>
      <c r="D542">
        <v>640</v>
      </c>
      <c r="E542" t="s">
        <v>1248</v>
      </c>
      <c r="F542" t="s">
        <v>1249</v>
      </c>
      <c r="G542">
        <v>0</v>
      </c>
      <c r="H542" t="s">
        <v>662</v>
      </c>
      <c r="L542">
        <v>640.1</v>
      </c>
    </row>
    <row r="543" spans="1:12" x14ac:dyDescent="0.25">
      <c r="A543" t="s">
        <v>1291</v>
      </c>
      <c r="B543">
        <v>1511</v>
      </c>
      <c r="C543" t="s">
        <v>1292</v>
      </c>
      <c r="D543">
        <v>655</v>
      </c>
      <c r="E543" t="s">
        <v>1010</v>
      </c>
      <c r="F543" t="s">
        <v>1240</v>
      </c>
      <c r="G543">
        <v>2000</v>
      </c>
      <c r="H543" t="s">
        <v>662</v>
      </c>
      <c r="L543">
        <v>655.1</v>
      </c>
    </row>
    <row r="544" spans="1:12" x14ac:dyDescent="0.25">
      <c r="A544" t="s">
        <v>1291</v>
      </c>
      <c r="B544">
        <v>1521</v>
      </c>
      <c r="C544" t="s">
        <v>1292</v>
      </c>
      <c r="D544">
        <v>655</v>
      </c>
      <c r="E544" t="s">
        <v>1010</v>
      </c>
      <c r="F544" t="s">
        <v>1240</v>
      </c>
      <c r="G544">
        <v>996</v>
      </c>
      <c r="H544" t="s">
        <v>662</v>
      </c>
      <c r="L544">
        <v>655.1</v>
      </c>
    </row>
    <row r="545" spans="1:12" x14ac:dyDescent="0.25">
      <c r="A545" t="s">
        <v>1291</v>
      </c>
      <c r="B545">
        <v>1511</v>
      </c>
      <c r="C545" t="s">
        <v>1292</v>
      </c>
      <c r="D545">
        <v>670</v>
      </c>
      <c r="E545" t="s">
        <v>1010</v>
      </c>
      <c r="F545" t="s">
        <v>1242</v>
      </c>
      <c r="G545">
        <v>5500</v>
      </c>
      <c r="H545" t="s">
        <v>662</v>
      </c>
      <c r="L545">
        <v>670.1</v>
      </c>
    </row>
    <row r="546" spans="1:12" x14ac:dyDescent="0.25">
      <c r="A546" t="s">
        <v>1291</v>
      </c>
      <c r="B546">
        <v>1521</v>
      </c>
      <c r="C546" t="s">
        <v>1292</v>
      </c>
      <c r="D546">
        <v>670</v>
      </c>
      <c r="E546" t="s">
        <v>1010</v>
      </c>
      <c r="F546" t="s">
        <v>1242</v>
      </c>
      <c r="G546">
        <v>996</v>
      </c>
      <c r="H546" t="s">
        <v>662</v>
      </c>
      <c r="L546">
        <v>670.1</v>
      </c>
    </row>
    <row r="547" spans="1:12" x14ac:dyDescent="0.25">
      <c r="A547" t="s">
        <v>1291</v>
      </c>
      <c r="B547">
        <v>1511</v>
      </c>
      <c r="C547" t="s">
        <v>1292</v>
      </c>
      <c r="D547">
        <v>680</v>
      </c>
      <c r="E547" t="s">
        <v>1010</v>
      </c>
      <c r="F547" t="s">
        <v>1254</v>
      </c>
      <c r="G547">
        <v>0</v>
      </c>
      <c r="H547" t="s">
        <v>662</v>
      </c>
      <c r="L547">
        <v>680.1</v>
      </c>
    </row>
    <row r="548" spans="1:12" x14ac:dyDescent="0.25">
      <c r="A548" t="s">
        <v>1291</v>
      </c>
      <c r="B548">
        <v>1511</v>
      </c>
      <c r="C548" t="s">
        <v>1292</v>
      </c>
      <c r="D548">
        <v>710</v>
      </c>
      <c r="E548" t="s">
        <v>1012</v>
      </c>
      <c r="F548" t="s">
        <v>1243</v>
      </c>
      <c r="G548">
        <v>0</v>
      </c>
      <c r="H548" t="s">
        <v>662</v>
      </c>
      <c r="L548">
        <v>710.1</v>
      </c>
    </row>
    <row r="549" spans="1:12" x14ac:dyDescent="0.25">
      <c r="A549" t="s">
        <v>1285</v>
      </c>
      <c r="B549">
        <v>1542</v>
      </c>
      <c r="C549" t="s">
        <v>1292</v>
      </c>
      <c r="D549">
        <v>113</v>
      </c>
      <c r="E549" t="s">
        <v>1001</v>
      </c>
      <c r="F549" t="s">
        <v>1221</v>
      </c>
      <c r="G549">
        <v>0</v>
      </c>
      <c r="H549" t="s">
        <v>1222</v>
      </c>
      <c r="L549">
        <v>113.1</v>
      </c>
    </row>
    <row r="550" spans="1:12" x14ac:dyDescent="0.25">
      <c r="A550" t="s">
        <v>1285</v>
      </c>
      <c r="B550">
        <v>1543</v>
      </c>
      <c r="C550" t="s">
        <v>1292</v>
      </c>
      <c r="D550">
        <v>113</v>
      </c>
      <c r="E550" t="s">
        <v>1001</v>
      </c>
      <c r="F550" t="s">
        <v>1221</v>
      </c>
      <c r="G550">
        <v>0</v>
      </c>
      <c r="H550" t="s">
        <v>1222</v>
      </c>
      <c r="L550">
        <v>113.1</v>
      </c>
    </row>
    <row r="551" spans="1:12" x14ac:dyDescent="0.25">
      <c r="A551" t="s">
        <v>1285</v>
      </c>
      <c r="B551">
        <v>1544</v>
      </c>
      <c r="C551" t="s">
        <v>1292</v>
      </c>
      <c r="D551">
        <v>113</v>
      </c>
      <c r="E551" t="s">
        <v>1001</v>
      </c>
      <c r="F551" t="s">
        <v>1221</v>
      </c>
      <c r="G551">
        <v>95476.77</v>
      </c>
      <c r="H551" t="s">
        <v>1222</v>
      </c>
      <c r="L551">
        <v>113.1</v>
      </c>
    </row>
    <row r="552" spans="1:12" x14ac:dyDescent="0.25">
      <c r="A552" t="s">
        <v>1285</v>
      </c>
      <c r="B552">
        <v>1545</v>
      </c>
      <c r="C552" t="s">
        <v>1292</v>
      </c>
      <c r="D552">
        <v>113</v>
      </c>
      <c r="E552" t="s">
        <v>1001</v>
      </c>
      <c r="F552" t="s">
        <v>1221</v>
      </c>
      <c r="G552">
        <v>1262.02</v>
      </c>
      <c r="H552" t="s">
        <v>1222</v>
      </c>
      <c r="L552">
        <v>113.1</v>
      </c>
    </row>
    <row r="553" spans="1:12" x14ac:dyDescent="0.25">
      <c r="A553" t="s">
        <v>1285</v>
      </c>
      <c r="B553">
        <v>1546</v>
      </c>
      <c r="C553" t="s">
        <v>1292</v>
      </c>
      <c r="D553">
        <v>113</v>
      </c>
      <c r="E553" t="s">
        <v>1001</v>
      </c>
      <c r="F553" t="s">
        <v>1221</v>
      </c>
      <c r="G553">
        <v>0</v>
      </c>
      <c r="H553" t="s">
        <v>1222</v>
      </c>
      <c r="L553">
        <v>113.1</v>
      </c>
    </row>
    <row r="554" spans="1:12" x14ac:dyDescent="0.25">
      <c r="A554" t="s">
        <v>1285</v>
      </c>
      <c r="B554">
        <v>1547</v>
      </c>
      <c r="C554" t="s">
        <v>1292</v>
      </c>
      <c r="D554">
        <v>113</v>
      </c>
      <c r="E554" t="s">
        <v>1001</v>
      </c>
      <c r="F554" t="s">
        <v>1221</v>
      </c>
      <c r="G554">
        <v>2451.92</v>
      </c>
      <c r="H554" t="s">
        <v>1222</v>
      </c>
      <c r="L554">
        <v>113.1</v>
      </c>
    </row>
    <row r="555" spans="1:12" x14ac:dyDescent="0.25">
      <c r="A555" t="s">
        <v>1285</v>
      </c>
      <c r="B555">
        <v>1548</v>
      </c>
      <c r="C555" t="s">
        <v>1292</v>
      </c>
      <c r="D555">
        <v>113</v>
      </c>
      <c r="E555" t="s">
        <v>1001</v>
      </c>
      <c r="F555" t="s">
        <v>1221</v>
      </c>
      <c r="G555">
        <v>12937.5</v>
      </c>
      <c r="H555" t="s">
        <v>1222</v>
      </c>
      <c r="L555">
        <v>113.1</v>
      </c>
    </row>
    <row r="556" spans="1:12" x14ac:dyDescent="0.25">
      <c r="A556" t="s">
        <v>1285</v>
      </c>
      <c r="B556">
        <v>1549</v>
      </c>
      <c r="C556" t="s">
        <v>1292</v>
      </c>
      <c r="D556">
        <v>113</v>
      </c>
      <c r="E556" t="s">
        <v>1001</v>
      </c>
      <c r="F556" t="s">
        <v>1221</v>
      </c>
      <c r="G556">
        <v>4704</v>
      </c>
      <c r="H556" t="s">
        <v>1222</v>
      </c>
      <c r="L556">
        <v>113.1</v>
      </c>
    </row>
    <row r="557" spans="1:12" x14ac:dyDescent="0.25">
      <c r="A557" t="s">
        <v>1285</v>
      </c>
      <c r="B557">
        <v>1554</v>
      </c>
      <c r="C557" t="s">
        <v>1292</v>
      </c>
      <c r="D557">
        <v>113</v>
      </c>
      <c r="E557" t="s">
        <v>1001</v>
      </c>
      <c r="F557" t="s">
        <v>1221</v>
      </c>
      <c r="G557">
        <v>0</v>
      </c>
      <c r="H557" t="s">
        <v>1222</v>
      </c>
      <c r="L557">
        <v>113.1</v>
      </c>
    </row>
    <row r="558" spans="1:12" x14ac:dyDescent="0.25">
      <c r="A558" t="s">
        <v>1285</v>
      </c>
      <c r="B558">
        <v>1541</v>
      </c>
      <c r="C558" t="s">
        <v>1292</v>
      </c>
      <c r="D558">
        <v>115</v>
      </c>
      <c r="E558" t="s">
        <v>1001</v>
      </c>
      <c r="F558" t="s">
        <v>1224</v>
      </c>
      <c r="G558">
        <v>0</v>
      </c>
      <c r="H558" t="s">
        <v>663</v>
      </c>
      <c r="L558">
        <v>115.1</v>
      </c>
    </row>
    <row r="559" spans="1:12" x14ac:dyDescent="0.25">
      <c r="A559" t="s">
        <v>1285</v>
      </c>
      <c r="B559">
        <v>1542</v>
      </c>
      <c r="C559" t="s">
        <v>1292</v>
      </c>
      <c r="D559">
        <v>115</v>
      </c>
      <c r="E559" t="s">
        <v>1001</v>
      </c>
      <c r="F559" t="s">
        <v>1224</v>
      </c>
      <c r="G559">
        <v>111816.8</v>
      </c>
      <c r="H559" t="s">
        <v>663</v>
      </c>
      <c r="L559">
        <v>115.1</v>
      </c>
    </row>
    <row r="560" spans="1:12" x14ac:dyDescent="0.25">
      <c r="A560" t="s">
        <v>1285</v>
      </c>
      <c r="B560">
        <v>1543</v>
      </c>
      <c r="C560" t="s">
        <v>1292</v>
      </c>
      <c r="D560">
        <v>115</v>
      </c>
      <c r="E560" t="s">
        <v>1001</v>
      </c>
      <c r="F560" t="s">
        <v>1224</v>
      </c>
      <c r="G560">
        <v>171656.36</v>
      </c>
      <c r="H560" t="s">
        <v>663</v>
      </c>
      <c r="L560">
        <v>115.1</v>
      </c>
    </row>
    <row r="561" spans="1:12" x14ac:dyDescent="0.25">
      <c r="A561" t="s">
        <v>1285</v>
      </c>
      <c r="B561">
        <v>1544</v>
      </c>
      <c r="C561" t="s">
        <v>1292</v>
      </c>
      <c r="D561">
        <v>115</v>
      </c>
      <c r="E561" t="s">
        <v>1001</v>
      </c>
      <c r="F561" t="s">
        <v>1224</v>
      </c>
      <c r="G561">
        <v>0</v>
      </c>
      <c r="H561" t="s">
        <v>663</v>
      </c>
      <c r="L561">
        <v>115.1</v>
      </c>
    </row>
    <row r="562" spans="1:12" x14ac:dyDescent="0.25">
      <c r="A562" t="s">
        <v>1285</v>
      </c>
      <c r="B562">
        <v>1545</v>
      </c>
      <c r="C562" t="s">
        <v>1292</v>
      </c>
      <c r="D562">
        <v>115</v>
      </c>
      <c r="E562" t="s">
        <v>1001</v>
      </c>
      <c r="F562" t="s">
        <v>1224</v>
      </c>
      <c r="G562">
        <v>541502.09</v>
      </c>
      <c r="H562" t="s">
        <v>663</v>
      </c>
      <c r="L562">
        <v>115.1</v>
      </c>
    </row>
    <row r="563" spans="1:12" x14ac:dyDescent="0.25">
      <c r="A563" t="s">
        <v>1285</v>
      </c>
      <c r="B563">
        <v>1546</v>
      </c>
      <c r="C563" t="s">
        <v>1292</v>
      </c>
      <c r="D563">
        <v>115</v>
      </c>
      <c r="E563" t="s">
        <v>1001</v>
      </c>
      <c r="F563" t="s">
        <v>1224</v>
      </c>
      <c r="G563">
        <v>61924.08</v>
      </c>
      <c r="H563" t="s">
        <v>663</v>
      </c>
      <c r="L563">
        <v>115.1</v>
      </c>
    </row>
    <row r="564" spans="1:12" x14ac:dyDescent="0.25">
      <c r="A564" t="s">
        <v>1285</v>
      </c>
      <c r="B564">
        <v>1547</v>
      </c>
      <c r="C564" t="s">
        <v>1292</v>
      </c>
      <c r="D564">
        <v>115</v>
      </c>
      <c r="E564" t="s">
        <v>1001</v>
      </c>
      <c r="F564" t="s">
        <v>1224</v>
      </c>
      <c r="G564">
        <v>107114.76</v>
      </c>
      <c r="H564" t="s">
        <v>682</v>
      </c>
      <c r="L564">
        <v>115.1</v>
      </c>
    </row>
    <row r="565" spans="1:12" x14ac:dyDescent="0.25">
      <c r="A565" t="s">
        <v>1285</v>
      </c>
      <c r="B565">
        <v>1548</v>
      </c>
      <c r="C565" t="s">
        <v>1292</v>
      </c>
      <c r="D565">
        <v>115</v>
      </c>
      <c r="E565" t="s">
        <v>1001</v>
      </c>
      <c r="F565" t="s">
        <v>1224</v>
      </c>
      <c r="G565">
        <v>30575.64</v>
      </c>
      <c r="H565" t="s">
        <v>663</v>
      </c>
      <c r="L565">
        <v>115.1</v>
      </c>
    </row>
    <row r="566" spans="1:12" x14ac:dyDescent="0.25">
      <c r="A566" t="s">
        <v>1285</v>
      </c>
      <c r="B566">
        <v>1549</v>
      </c>
      <c r="C566" t="s">
        <v>1292</v>
      </c>
      <c r="D566">
        <v>115</v>
      </c>
      <c r="E566" t="s">
        <v>1001</v>
      </c>
      <c r="F566" t="s">
        <v>1224</v>
      </c>
      <c r="G566">
        <v>185235.20000000001</v>
      </c>
      <c r="H566" t="s">
        <v>682</v>
      </c>
      <c r="L566">
        <v>115.1</v>
      </c>
    </row>
    <row r="567" spans="1:12" x14ac:dyDescent="0.25">
      <c r="A567" t="s">
        <v>1285</v>
      </c>
      <c r="B567">
        <v>1554</v>
      </c>
      <c r="C567" t="s">
        <v>1292</v>
      </c>
      <c r="D567">
        <v>115</v>
      </c>
      <c r="E567" t="s">
        <v>1001</v>
      </c>
      <c r="F567" t="s">
        <v>1224</v>
      </c>
      <c r="G567">
        <v>47979.6</v>
      </c>
      <c r="H567" t="s">
        <v>682</v>
      </c>
      <c r="L567">
        <v>115.1</v>
      </c>
    </row>
    <row r="568" spans="1:12" x14ac:dyDescent="0.25">
      <c r="A568" t="s">
        <v>1285</v>
      </c>
      <c r="B568">
        <v>1542</v>
      </c>
      <c r="C568" t="s">
        <v>1292</v>
      </c>
      <c r="D568">
        <v>116</v>
      </c>
      <c r="E568" t="s">
        <v>1001</v>
      </c>
      <c r="F568" t="s">
        <v>1225</v>
      </c>
      <c r="G568">
        <v>0</v>
      </c>
      <c r="H568" t="s">
        <v>663</v>
      </c>
      <c r="L568">
        <v>116.1</v>
      </c>
    </row>
    <row r="569" spans="1:12" x14ac:dyDescent="0.25">
      <c r="A569" t="s">
        <v>1285</v>
      </c>
      <c r="B569">
        <v>1543</v>
      </c>
      <c r="C569" t="s">
        <v>1292</v>
      </c>
      <c r="D569">
        <v>116</v>
      </c>
      <c r="E569" t="s">
        <v>1001</v>
      </c>
      <c r="F569" t="s">
        <v>1225</v>
      </c>
      <c r="G569">
        <v>0</v>
      </c>
      <c r="H569" t="s">
        <v>663</v>
      </c>
      <c r="L569">
        <v>116.1</v>
      </c>
    </row>
    <row r="570" spans="1:12" x14ac:dyDescent="0.25">
      <c r="A570" t="s">
        <v>1285</v>
      </c>
      <c r="B570">
        <v>1544</v>
      </c>
      <c r="C570" t="s">
        <v>1292</v>
      </c>
      <c r="D570">
        <v>116</v>
      </c>
      <c r="E570" t="s">
        <v>1001</v>
      </c>
      <c r="F570" t="s">
        <v>1225</v>
      </c>
      <c r="G570">
        <v>0</v>
      </c>
      <c r="H570" t="s">
        <v>663</v>
      </c>
      <c r="L570">
        <v>116.1</v>
      </c>
    </row>
    <row r="571" spans="1:12" x14ac:dyDescent="0.25">
      <c r="A571" t="s">
        <v>1285</v>
      </c>
      <c r="B571">
        <v>1545</v>
      </c>
      <c r="C571" t="s">
        <v>1292</v>
      </c>
      <c r="D571">
        <v>116</v>
      </c>
      <c r="E571" t="s">
        <v>1001</v>
      </c>
      <c r="F571" t="s">
        <v>1225</v>
      </c>
      <c r="G571">
        <v>0</v>
      </c>
      <c r="H571" t="s">
        <v>663</v>
      </c>
      <c r="L571">
        <v>116.1</v>
      </c>
    </row>
    <row r="572" spans="1:12" x14ac:dyDescent="0.25">
      <c r="A572" t="s">
        <v>1285</v>
      </c>
      <c r="B572">
        <v>1546</v>
      </c>
      <c r="C572" t="s">
        <v>1292</v>
      </c>
      <c r="D572">
        <v>116</v>
      </c>
      <c r="E572" t="s">
        <v>1001</v>
      </c>
      <c r="F572" t="s">
        <v>1225</v>
      </c>
      <c r="G572">
        <v>0</v>
      </c>
      <c r="H572" t="s">
        <v>663</v>
      </c>
      <c r="L572">
        <v>116.1</v>
      </c>
    </row>
    <row r="573" spans="1:12" x14ac:dyDescent="0.25">
      <c r="A573" t="s">
        <v>1285</v>
      </c>
      <c r="B573">
        <v>1548</v>
      </c>
      <c r="C573" t="s">
        <v>1292</v>
      </c>
      <c r="D573">
        <v>116</v>
      </c>
      <c r="E573" t="s">
        <v>1001</v>
      </c>
      <c r="F573" t="s">
        <v>1225</v>
      </c>
      <c r="G573">
        <v>0</v>
      </c>
      <c r="H573" t="s">
        <v>663</v>
      </c>
      <c r="L573">
        <v>116.1</v>
      </c>
    </row>
    <row r="574" spans="1:12" x14ac:dyDescent="0.25">
      <c r="A574" t="s">
        <v>1285</v>
      </c>
      <c r="B574">
        <v>1549</v>
      </c>
      <c r="C574" t="s">
        <v>1292</v>
      </c>
      <c r="D574">
        <v>116</v>
      </c>
      <c r="E574" t="s">
        <v>1001</v>
      </c>
      <c r="F574" t="s">
        <v>1225</v>
      </c>
      <c r="G574">
        <v>0</v>
      </c>
      <c r="L574">
        <v>116.1</v>
      </c>
    </row>
    <row r="575" spans="1:12" x14ac:dyDescent="0.25">
      <c r="A575" t="s">
        <v>1285</v>
      </c>
      <c r="B575">
        <v>1541</v>
      </c>
      <c r="C575" t="s">
        <v>1292</v>
      </c>
      <c r="D575">
        <v>117</v>
      </c>
      <c r="E575" t="s">
        <v>1001</v>
      </c>
      <c r="F575" t="s">
        <v>1226</v>
      </c>
      <c r="G575">
        <v>0</v>
      </c>
      <c r="L575">
        <v>117.1</v>
      </c>
    </row>
    <row r="576" spans="1:12" x14ac:dyDescent="0.25">
      <c r="A576" t="s">
        <v>1285</v>
      </c>
      <c r="B576">
        <v>1543</v>
      </c>
      <c r="C576" t="s">
        <v>1292</v>
      </c>
      <c r="D576">
        <v>120</v>
      </c>
      <c r="E576" t="s">
        <v>1001</v>
      </c>
      <c r="F576" t="s">
        <v>1293</v>
      </c>
      <c r="G576">
        <v>0</v>
      </c>
      <c r="H576" t="s">
        <v>663</v>
      </c>
      <c r="L576">
        <v>120.1</v>
      </c>
    </row>
    <row r="577" spans="1:12" x14ac:dyDescent="0.25">
      <c r="A577" t="s">
        <v>1285</v>
      </c>
      <c r="B577">
        <v>1544</v>
      </c>
      <c r="C577" t="s">
        <v>1292</v>
      </c>
      <c r="D577">
        <v>120</v>
      </c>
      <c r="E577" t="s">
        <v>1001</v>
      </c>
      <c r="F577" t="s">
        <v>1293</v>
      </c>
      <c r="G577">
        <v>0</v>
      </c>
      <c r="H577" t="s">
        <v>663</v>
      </c>
      <c r="L577">
        <v>120.1</v>
      </c>
    </row>
    <row r="578" spans="1:12" x14ac:dyDescent="0.25">
      <c r="A578" t="s">
        <v>1285</v>
      </c>
      <c r="B578">
        <v>1545</v>
      </c>
      <c r="C578" t="s">
        <v>1292</v>
      </c>
      <c r="D578">
        <v>120</v>
      </c>
      <c r="E578" t="s">
        <v>1001</v>
      </c>
      <c r="F578" t="s">
        <v>1293</v>
      </c>
      <c r="G578">
        <v>0</v>
      </c>
      <c r="H578" t="s">
        <v>663</v>
      </c>
      <c r="L578">
        <v>120.1</v>
      </c>
    </row>
    <row r="579" spans="1:12" x14ac:dyDescent="0.25">
      <c r="A579" t="s">
        <v>1285</v>
      </c>
      <c r="B579">
        <v>1546</v>
      </c>
      <c r="C579" t="s">
        <v>1292</v>
      </c>
      <c r="D579">
        <v>120</v>
      </c>
      <c r="E579" t="s">
        <v>1001</v>
      </c>
      <c r="F579" t="s">
        <v>1293</v>
      </c>
      <c r="G579">
        <v>0</v>
      </c>
      <c r="H579" t="s">
        <v>663</v>
      </c>
      <c r="L579">
        <v>120.1</v>
      </c>
    </row>
    <row r="580" spans="1:12" x14ac:dyDescent="0.25">
      <c r="A580" t="s">
        <v>1285</v>
      </c>
      <c r="B580">
        <v>1541</v>
      </c>
      <c r="C580" t="s">
        <v>1292</v>
      </c>
      <c r="D580">
        <v>130</v>
      </c>
      <c r="E580" t="s">
        <v>1001</v>
      </c>
      <c r="F580" t="s">
        <v>1229</v>
      </c>
      <c r="G580">
        <v>0</v>
      </c>
      <c r="L580">
        <v>130.1</v>
      </c>
    </row>
    <row r="581" spans="1:12" x14ac:dyDescent="0.25">
      <c r="A581" t="s">
        <v>1285</v>
      </c>
      <c r="B581">
        <v>1542</v>
      </c>
      <c r="C581" t="s">
        <v>1292</v>
      </c>
      <c r="D581">
        <v>130</v>
      </c>
      <c r="E581" t="s">
        <v>1001</v>
      </c>
      <c r="F581" t="s">
        <v>1229</v>
      </c>
      <c r="G581">
        <v>1217985.6891118288</v>
      </c>
      <c r="H581" t="s">
        <v>663</v>
      </c>
      <c r="L581">
        <v>130.1</v>
      </c>
    </row>
    <row r="582" spans="1:12" x14ac:dyDescent="0.25">
      <c r="A582" t="s">
        <v>1285</v>
      </c>
      <c r="B582">
        <v>1543</v>
      </c>
      <c r="C582" t="s">
        <v>1292</v>
      </c>
      <c r="D582">
        <v>130</v>
      </c>
      <c r="E582" t="s">
        <v>1001</v>
      </c>
      <c r="F582" t="s">
        <v>1229</v>
      </c>
      <c r="G582">
        <v>1849061.785771843</v>
      </c>
      <c r="H582" t="s">
        <v>663</v>
      </c>
      <c r="L582">
        <v>130.1</v>
      </c>
    </row>
    <row r="583" spans="1:12" x14ac:dyDescent="0.25">
      <c r="A583" t="s">
        <v>1285</v>
      </c>
      <c r="B583">
        <v>1544</v>
      </c>
      <c r="C583" t="s">
        <v>1292</v>
      </c>
      <c r="D583">
        <v>130</v>
      </c>
      <c r="E583" t="s">
        <v>1001</v>
      </c>
      <c r="F583" t="s">
        <v>1229</v>
      </c>
      <c r="G583">
        <v>3225983.0734270229</v>
      </c>
      <c r="H583" t="s">
        <v>663</v>
      </c>
      <c r="L583">
        <v>130.1</v>
      </c>
    </row>
    <row r="584" spans="1:12" x14ac:dyDescent="0.25">
      <c r="A584" t="s">
        <v>1285</v>
      </c>
      <c r="B584">
        <v>1545</v>
      </c>
      <c r="C584" t="s">
        <v>1292</v>
      </c>
      <c r="D584">
        <v>130</v>
      </c>
      <c r="E584" t="s">
        <v>1001</v>
      </c>
      <c r="F584" t="s">
        <v>1229</v>
      </c>
      <c r="G584">
        <v>5451982.8393543595</v>
      </c>
      <c r="H584" t="s">
        <v>663</v>
      </c>
      <c r="L584">
        <v>130.1</v>
      </c>
    </row>
    <row r="585" spans="1:12" x14ac:dyDescent="0.25">
      <c r="A585" t="s">
        <v>1285</v>
      </c>
      <c r="B585">
        <v>1546</v>
      </c>
      <c r="C585" t="s">
        <v>1292</v>
      </c>
      <c r="D585">
        <v>130</v>
      </c>
      <c r="E585" t="s">
        <v>1001</v>
      </c>
      <c r="F585" t="s">
        <v>1229</v>
      </c>
      <c r="G585">
        <v>718701.42043920816</v>
      </c>
      <c r="H585" t="s">
        <v>663</v>
      </c>
      <c r="L585">
        <v>130.1</v>
      </c>
    </row>
    <row r="586" spans="1:12" x14ac:dyDescent="0.25">
      <c r="A586" t="s">
        <v>1285</v>
      </c>
      <c r="B586">
        <v>1547</v>
      </c>
      <c r="C586" t="s">
        <v>1292</v>
      </c>
      <c r="D586">
        <v>130</v>
      </c>
      <c r="E586" t="s">
        <v>1001</v>
      </c>
      <c r="F586" t="s">
        <v>1229</v>
      </c>
      <c r="G586">
        <v>1147527.4765673361</v>
      </c>
      <c r="H586" t="s">
        <v>663</v>
      </c>
      <c r="L586">
        <v>130.1</v>
      </c>
    </row>
    <row r="587" spans="1:12" x14ac:dyDescent="0.25">
      <c r="A587" t="s">
        <v>1285</v>
      </c>
      <c r="B587">
        <v>1548</v>
      </c>
      <c r="C587" t="s">
        <v>1292</v>
      </c>
      <c r="D587">
        <v>130</v>
      </c>
      <c r="E587" t="s">
        <v>1001</v>
      </c>
      <c r="F587" t="s">
        <v>1229</v>
      </c>
      <c r="G587">
        <v>241736.7463681231</v>
      </c>
      <c r="H587" t="s">
        <v>663</v>
      </c>
      <c r="L587">
        <v>130.1</v>
      </c>
    </row>
    <row r="588" spans="1:12" x14ac:dyDescent="0.25">
      <c r="A588" t="s">
        <v>1285</v>
      </c>
      <c r="B588">
        <v>1549</v>
      </c>
      <c r="C588" t="s">
        <v>1292</v>
      </c>
      <c r="D588">
        <v>130</v>
      </c>
      <c r="E588" t="s">
        <v>1001</v>
      </c>
      <c r="F588" t="s">
        <v>1229</v>
      </c>
      <c r="G588">
        <v>2457827.6878160154</v>
      </c>
      <c r="H588" t="s">
        <v>663</v>
      </c>
      <c r="L588">
        <v>130.1</v>
      </c>
    </row>
    <row r="589" spans="1:12" x14ac:dyDescent="0.25">
      <c r="A589" t="s">
        <v>1285</v>
      </c>
      <c r="B589">
        <v>1554</v>
      </c>
      <c r="C589" t="s">
        <v>1292</v>
      </c>
      <c r="D589">
        <v>130</v>
      </c>
      <c r="E589" t="s">
        <v>1001</v>
      </c>
      <c r="F589" t="s">
        <v>1229</v>
      </c>
      <c r="G589">
        <v>468656.42957317899</v>
      </c>
      <c r="H589" t="s">
        <v>663</v>
      </c>
      <c r="L589">
        <v>130.1</v>
      </c>
    </row>
    <row r="590" spans="1:12" x14ac:dyDescent="0.25">
      <c r="A590" t="s">
        <v>1285</v>
      </c>
      <c r="B590">
        <v>1543</v>
      </c>
      <c r="C590" t="s">
        <v>1292</v>
      </c>
      <c r="D590">
        <v>210</v>
      </c>
      <c r="E590" t="s">
        <v>1002</v>
      </c>
      <c r="F590" t="s">
        <v>336</v>
      </c>
      <c r="G590">
        <v>0</v>
      </c>
      <c r="H590" t="s">
        <v>663</v>
      </c>
      <c r="L590">
        <v>210.1</v>
      </c>
    </row>
    <row r="591" spans="1:12" x14ac:dyDescent="0.25">
      <c r="A591" t="s">
        <v>1285</v>
      </c>
      <c r="B591">
        <v>1542</v>
      </c>
      <c r="C591" t="s">
        <v>1292</v>
      </c>
      <c r="D591">
        <v>430</v>
      </c>
      <c r="E591" t="s">
        <v>1005</v>
      </c>
      <c r="F591" t="s">
        <v>1245</v>
      </c>
      <c r="G591">
        <v>0</v>
      </c>
      <c r="L591">
        <v>430.1</v>
      </c>
    </row>
    <row r="592" spans="1:12" x14ac:dyDescent="0.25">
      <c r="A592" t="s">
        <v>1285</v>
      </c>
      <c r="B592">
        <v>1543</v>
      </c>
      <c r="C592" t="s">
        <v>1292</v>
      </c>
      <c r="D592">
        <v>430</v>
      </c>
      <c r="E592" t="s">
        <v>1005</v>
      </c>
      <c r="F592" t="s">
        <v>1245</v>
      </c>
      <c r="G592">
        <v>0</v>
      </c>
      <c r="H592" t="s">
        <v>663</v>
      </c>
      <c r="L592">
        <v>430.1</v>
      </c>
    </row>
    <row r="593" spans="1:12" x14ac:dyDescent="0.25">
      <c r="A593" t="s">
        <v>1285</v>
      </c>
      <c r="B593">
        <v>1545</v>
      </c>
      <c r="C593" t="s">
        <v>1292</v>
      </c>
      <c r="D593">
        <v>430</v>
      </c>
      <c r="E593" t="s">
        <v>1005</v>
      </c>
      <c r="F593" t="s">
        <v>1245</v>
      </c>
      <c r="G593">
        <v>0</v>
      </c>
      <c r="H593" t="s">
        <v>663</v>
      </c>
      <c r="L593">
        <v>430.1</v>
      </c>
    </row>
    <row r="594" spans="1:12" x14ac:dyDescent="0.25">
      <c r="A594" t="s">
        <v>1285</v>
      </c>
      <c r="B594">
        <v>1546</v>
      </c>
      <c r="C594" t="s">
        <v>1292</v>
      </c>
      <c r="D594">
        <v>430</v>
      </c>
      <c r="E594" t="s">
        <v>1005</v>
      </c>
      <c r="F594" t="s">
        <v>1245</v>
      </c>
      <c r="G594">
        <v>0</v>
      </c>
      <c r="H594" t="s">
        <v>663</v>
      </c>
      <c r="L594">
        <v>430.1</v>
      </c>
    </row>
    <row r="595" spans="1:12" x14ac:dyDescent="0.25">
      <c r="A595" t="s">
        <v>1285</v>
      </c>
      <c r="B595">
        <v>1547</v>
      </c>
      <c r="C595" t="s">
        <v>1292</v>
      </c>
      <c r="D595">
        <v>430</v>
      </c>
      <c r="E595" t="s">
        <v>1005</v>
      </c>
      <c r="F595" t="s">
        <v>1245</v>
      </c>
      <c r="G595">
        <v>99996</v>
      </c>
      <c r="H595" t="s">
        <v>663</v>
      </c>
      <c r="L595">
        <v>430.1</v>
      </c>
    </row>
    <row r="596" spans="1:12" x14ac:dyDescent="0.25">
      <c r="A596" t="s">
        <v>1285</v>
      </c>
      <c r="B596">
        <v>1548</v>
      </c>
      <c r="C596" t="s">
        <v>1292</v>
      </c>
      <c r="D596">
        <v>430</v>
      </c>
      <c r="E596" t="s">
        <v>1005</v>
      </c>
      <c r="F596" t="s">
        <v>1245</v>
      </c>
      <c r="G596">
        <v>30000</v>
      </c>
      <c r="H596" t="s">
        <v>663</v>
      </c>
      <c r="L596">
        <v>430.1</v>
      </c>
    </row>
    <row r="597" spans="1:12" x14ac:dyDescent="0.25">
      <c r="A597" t="s">
        <v>1285</v>
      </c>
      <c r="B597">
        <v>1549</v>
      </c>
      <c r="C597" t="s">
        <v>1292</v>
      </c>
      <c r="D597">
        <v>430</v>
      </c>
      <c r="E597" t="s">
        <v>1005</v>
      </c>
      <c r="F597" t="s">
        <v>1245</v>
      </c>
      <c r="G597">
        <v>158977</v>
      </c>
      <c r="H597" t="s">
        <v>663</v>
      </c>
      <c r="L597">
        <v>430.1</v>
      </c>
    </row>
    <row r="598" spans="1:12" x14ac:dyDescent="0.25">
      <c r="A598" t="s">
        <v>1285</v>
      </c>
      <c r="B598">
        <v>1554</v>
      </c>
      <c r="C598" t="s">
        <v>1292</v>
      </c>
      <c r="D598">
        <v>430</v>
      </c>
      <c r="E598" t="s">
        <v>1005</v>
      </c>
      <c r="F598" t="s">
        <v>1245</v>
      </c>
      <c r="G598">
        <v>100008</v>
      </c>
      <c r="L598">
        <v>430.1</v>
      </c>
    </row>
    <row r="599" spans="1:12" x14ac:dyDescent="0.25">
      <c r="A599" t="s">
        <v>1285</v>
      </c>
      <c r="B599">
        <v>1554</v>
      </c>
      <c r="C599" t="s">
        <v>1292</v>
      </c>
      <c r="D599">
        <v>430</v>
      </c>
      <c r="E599" t="s">
        <v>1005</v>
      </c>
      <c r="F599" t="s">
        <v>1245</v>
      </c>
      <c r="G599">
        <v>250008</v>
      </c>
      <c r="L599">
        <v>430.1</v>
      </c>
    </row>
    <row r="600" spans="1:12" x14ac:dyDescent="0.25">
      <c r="A600" t="s">
        <v>1285</v>
      </c>
      <c r="B600">
        <v>1542</v>
      </c>
      <c r="C600" t="s">
        <v>1292</v>
      </c>
      <c r="D600">
        <v>440</v>
      </c>
      <c r="E600" t="s">
        <v>1248</v>
      </c>
      <c r="F600" t="s">
        <v>1265</v>
      </c>
      <c r="G600">
        <v>0</v>
      </c>
      <c r="H600" t="s">
        <v>663</v>
      </c>
      <c r="L600">
        <v>440.1</v>
      </c>
    </row>
    <row r="601" spans="1:12" x14ac:dyDescent="0.25">
      <c r="A601" t="s">
        <v>1285</v>
      </c>
      <c r="B601">
        <v>1547</v>
      </c>
      <c r="C601" t="s">
        <v>1292</v>
      </c>
      <c r="D601">
        <v>440</v>
      </c>
      <c r="E601" t="s">
        <v>1248</v>
      </c>
      <c r="F601" t="s">
        <v>1265</v>
      </c>
      <c r="G601">
        <v>0</v>
      </c>
      <c r="L601">
        <v>440.1</v>
      </c>
    </row>
    <row r="602" spans="1:12" x14ac:dyDescent="0.25">
      <c r="A602" t="s">
        <v>1285</v>
      </c>
      <c r="B602">
        <v>1542</v>
      </c>
      <c r="C602" t="s">
        <v>1292</v>
      </c>
      <c r="D602">
        <v>445</v>
      </c>
      <c r="E602" t="s">
        <v>1248</v>
      </c>
      <c r="F602" t="s">
        <v>1271</v>
      </c>
      <c r="G602">
        <v>0</v>
      </c>
      <c r="H602" t="s">
        <v>663</v>
      </c>
      <c r="L602">
        <v>445.1</v>
      </c>
    </row>
    <row r="603" spans="1:12" x14ac:dyDescent="0.25">
      <c r="A603" t="s">
        <v>1285</v>
      </c>
      <c r="B603">
        <v>1543</v>
      </c>
      <c r="C603" t="s">
        <v>1292</v>
      </c>
      <c r="D603">
        <v>445</v>
      </c>
      <c r="E603" t="s">
        <v>1248</v>
      </c>
      <c r="F603" t="s">
        <v>1271</v>
      </c>
      <c r="G603">
        <v>0</v>
      </c>
      <c r="H603" t="s">
        <v>663</v>
      </c>
      <c r="L603">
        <v>445.1</v>
      </c>
    </row>
    <row r="604" spans="1:12" x14ac:dyDescent="0.25">
      <c r="A604" t="s">
        <v>1285</v>
      </c>
      <c r="B604">
        <v>1544</v>
      </c>
      <c r="C604" t="s">
        <v>1292</v>
      </c>
      <c r="D604">
        <v>445</v>
      </c>
      <c r="E604" t="s">
        <v>1248</v>
      </c>
      <c r="F604" t="s">
        <v>1271</v>
      </c>
      <c r="G604">
        <v>0</v>
      </c>
      <c r="H604" t="s">
        <v>663</v>
      </c>
      <c r="L604">
        <v>445.1</v>
      </c>
    </row>
    <row r="605" spans="1:12" x14ac:dyDescent="0.25">
      <c r="A605" t="s">
        <v>1285</v>
      </c>
      <c r="B605">
        <v>1545</v>
      </c>
      <c r="C605" t="s">
        <v>1292</v>
      </c>
      <c r="D605">
        <v>445</v>
      </c>
      <c r="E605" t="s">
        <v>1248</v>
      </c>
      <c r="F605" t="s">
        <v>1271</v>
      </c>
      <c r="G605">
        <v>20000</v>
      </c>
      <c r="H605" t="s">
        <v>663</v>
      </c>
      <c r="L605">
        <v>445.1</v>
      </c>
    </row>
    <row r="606" spans="1:12" x14ac:dyDescent="0.25">
      <c r="A606" t="s">
        <v>1285</v>
      </c>
      <c r="B606">
        <v>1547</v>
      </c>
      <c r="C606" t="s">
        <v>1292</v>
      </c>
      <c r="D606">
        <v>445</v>
      </c>
      <c r="E606" t="s">
        <v>1248</v>
      </c>
      <c r="F606" t="s">
        <v>1271</v>
      </c>
      <c r="G606">
        <v>0</v>
      </c>
      <c r="L606">
        <v>445.1</v>
      </c>
    </row>
    <row r="607" spans="1:12" x14ac:dyDescent="0.25">
      <c r="A607" t="s">
        <v>1285</v>
      </c>
      <c r="B607">
        <v>1542</v>
      </c>
      <c r="C607" t="s">
        <v>1292</v>
      </c>
      <c r="D607">
        <v>470</v>
      </c>
      <c r="E607" t="s">
        <v>1005</v>
      </c>
      <c r="F607" t="s">
        <v>1247</v>
      </c>
      <c r="G607">
        <v>0</v>
      </c>
      <c r="H607" t="s">
        <v>663</v>
      </c>
      <c r="L607">
        <v>470.1</v>
      </c>
    </row>
    <row r="608" spans="1:12" x14ac:dyDescent="0.25">
      <c r="A608" t="s">
        <v>1285</v>
      </c>
      <c r="B608">
        <v>1543</v>
      </c>
      <c r="C608" t="s">
        <v>1292</v>
      </c>
      <c r="D608">
        <v>470</v>
      </c>
      <c r="E608" t="s">
        <v>1005</v>
      </c>
      <c r="F608" t="s">
        <v>1247</v>
      </c>
      <c r="G608">
        <v>0</v>
      </c>
      <c r="H608" t="s">
        <v>663</v>
      </c>
      <c r="L608">
        <v>470.1</v>
      </c>
    </row>
    <row r="609" spans="1:12" x14ac:dyDescent="0.25">
      <c r="A609" t="s">
        <v>1285</v>
      </c>
      <c r="B609">
        <v>1544</v>
      </c>
      <c r="C609" t="s">
        <v>1292</v>
      </c>
      <c r="D609">
        <v>470</v>
      </c>
      <c r="E609" t="s">
        <v>1005</v>
      </c>
      <c r="F609" t="s">
        <v>1247</v>
      </c>
      <c r="G609">
        <v>12000</v>
      </c>
      <c r="H609" t="s">
        <v>663</v>
      </c>
      <c r="L609">
        <v>470.1</v>
      </c>
    </row>
    <row r="610" spans="1:12" x14ac:dyDescent="0.25">
      <c r="A610" t="s">
        <v>1285</v>
      </c>
      <c r="B610">
        <v>1545</v>
      </c>
      <c r="C610" t="s">
        <v>1292</v>
      </c>
      <c r="D610">
        <v>470</v>
      </c>
      <c r="E610" t="s">
        <v>1005</v>
      </c>
      <c r="F610" t="s">
        <v>1247</v>
      </c>
      <c r="G610">
        <v>2000</v>
      </c>
      <c r="H610" t="s">
        <v>663</v>
      </c>
      <c r="L610">
        <v>470.1</v>
      </c>
    </row>
    <row r="611" spans="1:12" x14ac:dyDescent="0.25">
      <c r="A611" t="s">
        <v>1285</v>
      </c>
      <c r="B611">
        <v>1547</v>
      </c>
      <c r="C611" t="s">
        <v>1292</v>
      </c>
      <c r="D611">
        <v>470</v>
      </c>
      <c r="E611" t="s">
        <v>1005</v>
      </c>
      <c r="F611" t="s">
        <v>1247</v>
      </c>
      <c r="G611">
        <v>0</v>
      </c>
      <c r="H611" t="s">
        <v>663</v>
      </c>
      <c r="L611">
        <v>470.1</v>
      </c>
    </row>
    <row r="612" spans="1:12" x14ac:dyDescent="0.25">
      <c r="A612" t="s">
        <v>1285</v>
      </c>
      <c r="B612">
        <v>1548</v>
      </c>
      <c r="C612" t="s">
        <v>1292</v>
      </c>
      <c r="D612">
        <v>470</v>
      </c>
      <c r="E612" t="s">
        <v>1005</v>
      </c>
      <c r="F612" t="s">
        <v>1247</v>
      </c>
      <c r="G612">
        <v>1000</v>
      </c>
      <c r="H612" t="s">
        <v>663</v>
      </c>
      <c r="L612">
        <v>470.1</v>
      </c>
    </row>
    <row r="613" spans="1:12" x14ac:dyDescent="0.25">
      <c r="A613" t="s">
        <v>1285</v>
      </c>
      <c r="B613">
        <v>1549</v>
      </c>
      <c r="C613" t="s">
        <v>1292</v>
      </c>
      <c r="D613">
        <v>470</v>
      </c>
      <c r="E613" t="s">
        <v>1005</v>
      </c>
      <c r="F613" t="s">
        <v>1247</v>
      </c>
      <c r="G613">
        <v>317004</v>
      </c>
      <c r="L613">
        <v>470.1</v>
      </c>
    </row>
    <row r="614" spans="1:12" x14ac:dyDescent="0.25">
      <c r="A614" t="s">
        <v>1285</v>
      </c>
      <c r="B614">
        <v>1549</v>
      </c>
      <c r="C614" t="s">
        <v>1292</v>
      </c>
      <c r="D614">
        <v>470</v>
      </c>
      <c r="E614" t="s">
        <v>1005</v>
      </c>
      <c r="F614" t="s">
        <v>1247</v>
      </c>
      <c r="G614">
        <v>20824</v>
      </c>
      <c r="L614">
        <v>470.1</v>
      </c>
    </row>
    <row r="615" spans="1:12" x14ac:dyDescent="0.25">
      <c r="A615" t="s">
        <v>1285</v>
      </c>
      <c r="B615">
        <v>1542</v>
      </c>
      <c r="C615" t="s">
        <v>1292</v>
      </c>
      <c r="D615">
        <v>510</v>
      </c>
      <c r="E615" t="s">
        <v>1008</v>
      </c>
      <c r="F615" t="s">
        <v>1231</v>
      </c>
      <c r="G615">
        <v>504</v>
      </c>
      <c r="H615" t="s">
        <v>663</v>
      </c>
      <c r="L615">
        <v>510.1</v>
      </c>
    </row>
    <row r="616" spans="1:12" x14ac:dyDescent="0.25">
      <c r="A616" t="s">
        <v>1285</v>
      </c>
      <c r="B616">
        <v>1543</v>
      </c>
      <c r="C616" t="s">
        <v>1292</v>
      </c>
      <c r="D616">
        <v>510</v>
      </c>
      <c r="E616" t="s">
        <v>1008</v>
      </c>
      <c r="F616" t="s">
        <v>1231</v>
      </c>
      <c r="G616">
        <v>0</v>
      </c>
      <c r="H616" t="s">
        <v>663</v>
      </c>
      <c r="L616">
        <v>510.1</v>
      </c>
    </row>
    <row r="617" spans="1:12" x14ac:dyDescent="0.25">
      <c r="A617" t="s">
        <v>1285</v>
      </c>
      <c r="B617">
        <v>1544</v>
      </c>
      <c r="C617" t="s">
        <v>1292</v>
      </c>
      <c r="D617">
        <v>510</v>
      </c>
      <c r="E617" t="s">
        <v>1008</v>
      </c>
      <c r="F617" t="s">
        <v>1231</v>
      </c>
      <c r="G617">
        <v>0</v>
      </c>
      <c r="H617" t="s">
        <v>663</v>
      </c>
      <c r="L617">
        <v>510.1</v>
      </c>
    </row>
    <row r="618" spans="1:12" x14ac:dyDescent="0.25">
      <c r="A618" t="s">
        <v>1285</v>
      </c>
      <c r="B618">
        <v>1545</v>
      </c>
      <c r="C618" t="s">
        <v>1292</v>
      </c>
      <c r="D618">
        <v>510</v>
      </c>
      <c r="E618" t="s">
        <v>1008</v>
      </c>
      <c r="F618" t="s">
        <v>1231</v>
      </c>
      <c r="G618">
        <v>4500</v>
      </c>
      <c r="H618" t="s">
        <v>663</v>
      </c>
      <c r="L618">
        <v>510.1</v>
      </c>
    </row>
    <row r="619" spans="1:12" x14ac:dyDescent="0.25">
      <c r="A619" t="s">
        <v>1285</v>
      </c>
      <c r="B619">
        <v>1546</v>
      </c>
      <c r="C619" t="s">
        <v>1292</v>
      </c>
      <c r="D619">
        <v>510</v>
      </c>
      <c r="E619" t="s">
        <v>1008</v>
      </c>
      <c r="F619" t="s">
        <v>1231</v>
      </c>
      <c r="G619">
        <v>1500</v>
      </c>
      <c r="H619" t="s">
        <v>663</v>
      </c>
      <c r="L619">
        <v>510.1</v>
      </c>
    </row>
    <row r="620" spans="1:12" x14ac:dyDescent="0.25">
      <c r="A620" t="s">
        <v>1285</v>
      </c>
      <c r="B620">
        <v>1547</v>
      </c>
      <c r="C620" t="s">
        <v>1292</v>
      </c>
      <c r="D620">
        <v>510</v>
      </c>
      <c r="E620" t="s">
        <v>1008</v>
      </c>
      <c r="F620" t="s">
        <v>1231</v>
      </c>
      <c r="G620">
        <v>3996</v>
      </c>
      <c r="H620" t="s">
        <v>663</v>
      </c>
      <c r="L620">
        <v>510.1</v>
      </c>
    </row>
    <row r="621" spans="1:12" x14ac:dyDescent="0.25">
      <c r="A621" t="s">
        <v>1285</v>
      </c>
      <c r="B621">
        <v>1548</v>
      </c>
      <c r="C621" t="s">
        <v>1292</v>
      </c>
      <c r="D621">
        <v>510</v>
      </c>
      <c r="E621" t="s">
        <v>1008</v>
      </c>
      <c r="F621" t="s">
        <v>1231</v>
      </c>
      <c r="G621">
        <v>171</v>
      </c>
      <c r="H621" t="s">
        <v>663</v>
      </c>
      <c r="L621">
        <v>510.1</v>
      </c>
    </row>
    <row r="622" spans="1:12" x14ac:dyDescent="0.25">
      <c r="A622" t="s">
        <v>1285</v>
      </c>
      <c r="B622">
        <v>1549</v>
      </c>
      <c r="C622" t="s">
        <v>1292</v>
      </c>
      <c r="D622">
        <v>510</v>
      </c>
      <c r="E622" t="s">
        <v>1008</v>
      </c>
      <c r="F622" t="s">
        <v>1231</v>
      </c>
      <c r="G622">
        <v>1300</v>
      </c>
      <c r="L622">
        <v>510.1</v>
      </c>
    </row>
    <row r="623" spans="1:12" x14ac:dyDescent="0.25">
      <c r="A623" t="s">
        <v>1285</v>
      </c>
      <c r="B623">
        <v>1549</v>
      </c>
      <c r="C623" t="s">
        <v>1292</v>
      </c>
      <c r="D623">
        <v>510</v>
      </c>
      <c r="E623" t="s">
        <v>1008</v>
      </c>
      <c r="F623" t="s">
        <v>1231</v>
      </c>
      <c r="G623">
        <v>0</v>
      </c>
      <c r="L623">
        <v>510.1</v>
      </c>
    </row>
    <row r="624" spans="1:12" x14ac:dyDescent="0.25">
      <c r="A624" t="s">
        <v>1285</v>
      </c>
      <c r="B624">
        <v>1554</v>
      </c>
      <c r="C624" t="s">
        <v>1292</v>
      </c>
      <c r="D624">
        <v>510</v>
      </c>
      <c r="E624" t="s">
        <v>1008</v>
      </c>
      <c r="F624" t="s">
        <v>1231</v>
      </c>
      <c r="G624">
        <v>1896</v>
      </c>
      <c r="L624">
        <v>510.1</v>
      </c>
    </row>
    <row r="625" spans="1:12" x14ac:dyDescent="0.25">
      <c r="A625" t="s">
        <v>1285</v>
      </c>
      <c r="B625">
        <v>1554</v>
      </c>
      <c r="C625" t="s">
        <v>1292</v>
      </c>
      <c r="D625">
        <v>510</v>
      </c>
      <c r="E625" t="s">
        <v>1008</v>
      </c>
      <c r="F625" t="s">
        <v>1231</v>
      </c>
      <c r="G625">
        <v>900</v>
      </c>
      <c r="L625">
        <v>510.1</v>
      </c>
    </row>
    <row r="626" spans="1:12" x14ac:dyDescent="0.25">
      <c r="A626" t="s">
        <v>1285</v>
      </c>
      <c r="B626">
        <v>1542</v>
      </c>
      <c r="C626" t="s">
        <v>1292</v>
      </c>
      <c r="D626">
        <v>520</v>
      </c>
      <c r="E626" t="s">
        <v>1008</v>
      </c>
      <c r="F626" t="s">
        <v>1232</v>
      </c>
      <c r="G626">
        <v>24004</v>
      </c>
      <c r="H626" t="s">
        <v>663</v>
      </c>
      <c r="L626">
        <v>520.1</v>
      </c>
    </row>
    <row r="627" spans="1:12" x14ac:dyDescent="0.25">
      <c r="A627" t="s">
        <v>1285</v>
      </c>
      <c r="B627">
        <v>1543</v>
      </c>
      <c r="C627" t="s">
        <v>1292</v>
      </c>
      <c r="D627">
        <v>520</v>
      </c>
      <c r="E627" t="s">
        <v>1008</v>
      </c>
      <c r="F627" t="s">
        <v>1232</v>
      </c>
      <c r="G627">
        <v>69004</v>
      </c>
      <c r="H627" t="s">
        <v>663</v>
      </c>
      <c r="L627">
        <v>520.1</v>
      </c>
    </row>
    <row r="628" spans="1:12" x14ac:dyDescent="0.25">
      <c r="A628" t="s">
        <v>1285</v>
      </c>
      <c r="B628">
        <v>1544</v>
      </c>
      <c r="C628" t="s">
        <v>1292</v>
      </c>
      <c r="D628">
        <v>520</v>
      </c>
      <c r="E628" t="s">
        <v>1008</v>
      </c>
      <c r="F628" t="s">
        <v>1232</v>
      </c>
      <c r="G628">
        <v>84996</v>
      </c>
      <c r="H628" t="s">
        <v>663</v>
      </c>
      <c r="L628">
        <v>520.1</v>
      </c>
    </row>
    <row r="629" spans="1:12" x14ac:dyDescent="0.25">
      <c r="A629" t="s">
        <v>1285</v>
      </c>
      <c r="B629">
        <v>1545</v>
      </c>
      <c r="C629" t="s">
        <v>1292</v>
      </c>
      <c r="D629">
        <v>520</v>
      </c>
      <c r="E629" t="s">
        <v>1008</v>
      </c>
      <c r="F629" t="s">
        <v>1232</v>
      </c>
      <c r="G629">
        <v>250604</v>
      </c>
      <c r="H629" t="s">
        <v>663</v>
      </c>
      <c r="L629">
        <v>520.1</v>
      </c>
    </row>
    <row r="630" spans="1:12" x14ac:dyDescent="0.25">
      <c r="A630" t="s">
        <v>1285</v>
      </c>
      <c r="B630">
        <v>1546</v>
      </c>
      <c r="C630" t="s">
        <v>1292</v>
      </c>
      <c r="D630">
        <v>520</v>
      </c>
      <c r="E630" t="s">
        <v>1008</v>
      </c>
      <c r="F630" t="s">
        <v>1232</v>
      </c>
      <c r="G630">
        <v>10000</v>
      </c>
      <c r="H630" t="s">
        <v>663</v>
      </c>
      <c r="L630">
        <v>520.1</v>
      </c>
    </row>
    <row r="631" spans="1:12" x14ac:dyDescent="0.25">
      <c r="A631" t="s">
        <v>1285</v>
      </c>
      <c r="B631">
        <v>1547</v>
      </c>
      <c r="C631" t="s">
        <v>1292</v>
      </c>
      <c r="D631">
        <v>520</v>
      </c>
      <c r="E631" t="s">
        <v>1008</v>
      </c>
      <c r="F631" t="s">
        <v>1232</v>
      </c>
      <c r="G631">
        <v>46004</v>
      </c>
      <c r="H631" t="s">
        <v>663</v>
      </c>
      <c r="L631">
        <v>520.1</v>
      </c>
    </row>
    <row r="632" spans="1:12" x14ac:dyDescent="0.25">
      <c r="A632" t="s">
        <v>1285</v>
      </c>
      <c r="B632">
        <v>1548</v>
      </c>
      <c r="C632" t="s">
        <v>1292</v>
      </c>
      <c r="D632">
        <v>520</v>
      </c>
      <c r="E632" t="s">
        <v>1008</v>
      </c>
      <c r="F632" t="s">
        <v>1232</v>
      </c>
      <c r="G632">
        <v>39396</v>
      </c>
      <c r="H632" t="s">
        <v>663</v>
      </c>
      <c r="L632">
        <v>520.1</v>
      </c>
    </row>
    <row r="633" spans="1:12" x14ac:dyDescent="0.25">
      <c r="A633" t="s">
        <v>1285</v>
      </c>
      <c r="B633">
        <v>1549</v>
      </c>
      <c r="C633" t="s">
        <v>1292</v>
      </c>
      <c r="D633">
        <v>520</v>
      </c>
      <c r="E633" t="s">
        <v>1008</v>
      </c>
      <c r="F633" t="s">
        <v>1232</v>
      </c>
      <c r="G633">
        <v>219835</v>
      </c>
      <c r="H633" t="s">
        <v>663</v>
      </c>
      <c r="L633">
        <v>520.1</v>
      </c>
    </row>
    <row r="634" spans="1:12" x14ac:dyDescent="0.25">
      <c r="A634" t="s">
        <v>1285</v>
      </c>
      <c r="B634">
        <v>1554</v>
      </c>
      <c r="C634" t="s">
        <v>1292</v>
      </c>
      <c r="D634">
        <v>520</v>
      </c>
      <c r="E634" t="s">
        <v>1008</v>
      </c>
      <c r="F634" t="s">
        <v>1232</v>
      </c>
      <c r="G634">
        <v>70116</v>
      </c>
      <c r="H634" t="s">
        <v>663</v>
      </c>
      <c r="L634">
        <v>520.1</v>
      </c>
    </row>
    <row r="635" spans="1:12" x14ac:dyDescent="0.25">
      <c r="A635" t="s">
        <v>1285</v>
      </c>
      <c r="B635">
        <v>1542</v>
      </c>
      <c r="C635" t="s">
        <v>1292</v>
      </c>
      <c r="D635">
        <v>540</v>
      </c>
      <c r="E635" t="s">
        <v>1008</v>
      </c>
      <c r="F635" t="s">
        <v>1233</v>
      </c>
      <c r="G635">
        <v>8500</v>
      </c>
      <c r="H635" t="s">
        <v>663</v>
      </c>
      <c r="L635">
        <v>540.1</v>
      </c>
    </row>
    <row r="636" spans="1:12" x14ac:dyDescent="0.25">
      <c r="A636" t="s">
        <v>1285</v>
      </c>
      <c r="B636">
        <v>1543</v>
      </c>
      <c r="C636" t="s">
        <v>1292</v>
      </c>
      <c r="D636">
        <v>540</v>
      </c>
      <c r="E636" t="s">
        <v>1008</v>
      </c>
      <c r="F636" t="s">
        <v>1233</v>
      </c>
      <c r="G636">
        <v>30000</v>
      </c>
      <c r="H636" t="s">
        <v>663</v>
      </c>
      <c r="L636">
        <v>540.1</v>
      </c>
    </row>
    <row r="637" spans="1:12" x14ac:dyDescent="0.25">
      <c r="A637" t="s">
        <v>1285</v>
      </c>
      <c r="B637">
        <v>1544</v>
      </c>
      <c r="C637" t="s">
        <v>1292</v>
      </c>
      <c r="D637">
        <v>540</v>
      </c>
      <c r="E637" t="s">
        <v>1008</v>
      </c>
      <c r="F637" t="s">
        <v>1233</v>
      </c>
      <c r="G637">
        <v>0</v>
      </c>
      <c r="H637" t="s">
        <v>663</v>
      </c>
      <c r="L637">
        <v>540.1</v>
      </c>
    </row>
    <row r="638" spans="1:12" x14ac:dyDescent="0.25">
      <c r="A638" t="s">
        <v>1285</v>
      </c>
      <c r="B638">
        <v>1545</v>
      </c>
      <c r="C638" t="s">
        <v>1292</v>
      </c>
      <c r="D638">
        <v>540</v>
      </c>
      <c r="E638" t="s">
        <v>1008</v>
      </c>
      <c r="F638" t="s">
        <v>1233</v>
      </c>
      <c r="G638">
        <v>97608</v>
      </c>
      <c r="H638" t="s">
        <v>663</v>
      </c>
      <c r="L638">
        <v>540.1</v>
      </c>
    </row>
    <row r="639" spans="1:12" x14ac:dyDescent="0.25">
      <c r="A639" t="s">
        <v>1285</v>
      </c>
      <c r="B639">
        <v>1546</v>
      </c>
      <c r="C639" t="s">
        <v>1292</v>
      </c>
      <c r="D639">
        <v>540</v>
      </c>
      <c r="E639" t="s">
        <v>1008</v>
      </c>
      <c r="F639" t="s">
        <v>1233</v>
      </c>
      <c r="G639">
        <v>6000</v>
      </c>
      <c r="H639" t="s">
        <v>663</v>
      </c>
      <c r="L639">
        <v>540.1</v>
      </c>
    </row>
    <row r="640" spans="1:12" x14ac:dyDescent="0.25">
      <c r="A640" t="s">
        <v>1285</v>
      </c>
      <c r="B640">
        <v>1547</v>
      </c>
      <c r="C640" t="s">
        <v>1292</v>
      </c>
      <c r="D640">
        <v>540</v>
      </c>
      <c r="E640" t="s">
        <v>1008</v>
      </c>
      <c r="F640" t="s">
        <v>1233</v>
      </c>
      <c r="G640">
        <v>6004</v>
      </c>
      <c r="H640" t="s">
        <v>663</v>
      </c>
      <c r="L640">
        <v>540.1</v>
      </c>
    </row>
    <row r="641" spans="1:12" x14ac:dyDescent="0.25">
      <c r="A641" t="s">
        <v>1285</v>
      </c>
      <c r="B641">
        <v>1548</v>
      </c>
      <c r="C641" t="s">
        <v>1292</v>
      </c>
      <c r="D641">
        <v>540</v>
      </c>
      <c r="E641" t="s">
        <v>1008</v>
      </c>
      <c r="F641" t="s">
        <v>1233</v>
      </c>
      <c r="G641">
        <v>6300</v>
      </c>
      <c r="H641" t="s">
        <v>663</v>
      </c>
      <c r="L641">
        <v>540.1</v>
      </c>
    </row>
    <row r="642" spans="1:12" x14ac:dyDescent="0.25">
      <c r="A642" t="s">
        <v>1285</v>
      </c>
      <c r="B642">
        <v>1549</v>
      </c>
      <c r="C642" t="s">
        <v>1292</v>
      </c>
      <c r="D642">
        <v>540</v>
      </c>
      <c r="E642" t="s">
        <v>1008</v>
      </c>
      <c r="F642" t="s">
        <v>1233</v>
      </c>
      <c r="G642">
        <v>37320</v>
      </c>
      <c r="L642">
        <v>540.1</v>
      </c>
    </row>
    <row r="643" spans="1:12" x14ac:dyDescent="0.25">
      <c r="A643" t="s">
        <v>1285</v>
      </c>
      <c r="B643">
        <v>1549</v>
      </c>
      <c r="C643" t="s">
        <v>1292</v>
      </c>
      <c r="D643">
        <v>540</v>
      </c>
      <c r="E643" t="s">
        <v>1008</v>
      </c>
      <c r="F643" t="s">
        <v>1233</v>
      </c>
      <c r="G643">
        <v>24130</v>
      </c>
      <c r="L643">
        <v>540.1</v>
      </c>
    </row>
    <row r="644" spans="1:12" x14ac:dyDescent="0.25">
      <c r="A644" t="s">
        <v>1285</v>
      </c>
      <c r="B644">
        <v>1554</v>
      </c>
      <c r="C644" t="s">
        <v>1292</v>
      </c>
      <c r="D644">
        <v>540</v>
      </c>
      <c r="E644" t="s">
        <v>1008</v>
      </c>
      <c r="F644" t="s">
        <v>1233</v>
      </c>
      <c r="G644">
        <v>6000</v>
      </c>
      <c r="L644">
        <v>540.1</v>
      </c>
    </row>
    <row r="645" spans="1:12" x14ac:dyDescent="0.25">
      <c r="A645" t="s">
        <v>1285</v>
      </c>
      <c r="B645">
        <v>1554</v>
      </c>
      <c r="C645" t="s">
        <v>1292</v>
      </c>
      <c r="D645">
        <v>540</v>
      </c>
      <c r="E645" t="s">
        <v>1008</v>
      </c>
      <c r="F645" t="s">
        <v>1233</v>
      </c>
      <c r="G645">
        <v>6000</v>
      </c>
      <c r="L645">
        <v>540.1</v>
      </c>
    </row>
    <row r="646" spans="1:12" x14ac:dyDescent="0.25">
      <c r="A646" t="s">
        <v>1285</v>
      </c>
      <c r="B646">
        <v>1544</v>
      </c>
      <c r="C646" t="s">
        <v>1292</v>
      </c>
      <c r="D646">
        <v>550</v>
      </c>
      <c r="E646" t="s">
        <v>1008</v>
      </c>
      <c r="F646" t="s">
        <v>1234</v>
      </c>
      <c r="G646">
        <v>0</v>
      </c>
      <c r="L646">
        <v>550.1</v>
      </c>
    </row>
    <row r="647" spans="1:12" x14ac:dyDescent="0.25">
      <c r="A647" t="s">
        <v>1285</v>
      </c>
      <c r="B647">
        <v>1547</v>
      </c>
      <c r="C647" t="s">
        <v>1292</v>
      </c>
      <c r="D647">
        <v>550</v>
      </c>
      <c r="E647" t="s">
        <v>1008</v>
      </c>
      <c r="F647" t="s">
        <v>1234</v>
      </c>
      <c r="G647">
        <v>1500</v>
      </c>
      <c r="H647" t="s">
        <v>663</v>
      </c>
      <c r="L647">
        <v>550.1</v>
      </c>
    </row>
    <row r="648" spans="1:12" x14ac:dyDescent="0.25">
      <c r="A648" t="s">
        <v>1285</v>
      </c>
      <c r="B648">
        <v>1548</v>
      </c>
      <c r="C648" t="s">
        <v>1292</v>
      </c>
      <c r="D648">
        <v>550</v>
      </c>
      <c r="E648" t="s">
        <v>1008</v>
      </c>
      <c r="F648" t="s">
        <v>1234</v>
      </c>
      <c r="G648">
        <v>2700</v>
      </c>
      <c r="H648" t="s">
        <v>663</v>
      </c>
      <c r="L648">
        <v>550.1</v>
      </c>
    </row>
    <row r="649" spans="1:12" x14ac:dyDescent="0.25">
      <c r="A649" t="s">
        <v>1285</v>
      </c>
      <c r="B649">
        <v>1549</v>
      </c>
      <c r="C649" t="s">
        <v>1292</v>
      </c>
      <c r="D649">
        <v>550</v>
      </c>
      <c r="E649" t="s">
        <v>1008</v>
      </c>
      <c r="F649" t="s">
        <v>1234</v>
      </c>
      <c r="G649">
        <v>8496</v>
      </c>
      <c r="L649">
        <v>550.1</v>
      </c>
    </row>
    <row r="650" spans="1:12" x14ac:dyDescent="0.25">
      <c r="A650" t="s">
        <v>1285</v>
      </c>
      <c r="B650">
        <v>1549</v>
      </c>
      <c r="C650" t="s">
        <v>1292</v>
      </c>
      <c r="D650">
        <v>550</v>
      </c>
      <c r="E650" t="s">
        <v>1008</v>
      </c>
      <c r="F650" t="s">
        <v>1234</v>
      </c>
      <c r="G650">
        <v>1500</v>
      </c>
      <c r="L650">
        <v>550.1</v>
      </c>
    </row>
    <row r="651" spans="1:12" x14ac:dyDescent="0.25">
      <c r="A651" t="s">
        <v>1285</v>
      </c>
      <c r="B651">
        <v>1554</v>
      </c>
      <c r="C651" t="s">
        <v>1292</v>
      </c>
      <c r="D651">
        <v>550</v>
      </c>
      <c r="E651" t="s">
        <v>1008</v>
      </c>
      <c r="F651" t="s">
        <v>1234</v>
      </c>
      <c r="G651">
        <v>6000</v>
      </c>
      <c r="L651">
        <v>550.1</v>
      </c>
    </row>
    <row r="652" spans="1:12" x14ac:dyDescent="0.25">
      <c r="A652" t="s">
        <v>1285</v>
      </c>
      <c r="B652">
        <v>1554</v>
      </c>
      <c r="C652" t="s">
        <v>1292</v>
      </c>
      <c r="D652">
        <v>550</v>
      </c>
      <c r="E652" t="s">
        <v>1008</v>
      </c>
      <c r="F652" t="s">
        <v>1234</v>
      </c>
      <c r="G652">
        <v>3600</v>
      </c>
      <c r="L652">
        <v>550.1</v>
      </c>
    </row>
    <row r="653" spans="1:12" x14ac:dyDescent="0.25">
      <c r="A653" t="s">
        <v>1285</v>
      </c>
      <c r="B653">
        <v>1542</v>
      </c>
      <c r="C653" t="s">
        <v>1292</v>
      </c>
      <c r="D653">
        <v>560</v>
      </c>
      <c r="E653" t="s">
        <v>1008</v>
      </c>
      <c r="F653" t="s">
        <v>1235</v>
      </c>
      <c r="G653">
        <v>456</v>
      </c>
      <c r="H653" t="s">
        <v>663</v>
      </c>
      <c r="L653">
        <v>560.1</v>
      </c>
    </row>
    <row r="654" spans="1:12" x14ac:dyDescent="0.25">
      <c r="A654" t="s">
        <v>1285</v>
      </c>
      <c r="B654">
        <v>1543</v>
      </c>
      <c r="C654" t="s">
        <v>1292</v>
      </c>
      <c r="D654">
        <v>560</v>
      </c>
      <c r="E654" t="s">
        <v>1008</v>
      </c>
      <c r="F654" t="s">
        <v>1235</v>
      </c>
      <c r="G654">
        <v>3000</v>
      </c>
      <c r="H654" t="s">
        <v>663</v>
      </c>
      <c r="L654">
        <v>560.1</v>
      </c>
    </row>
    <row r="655" spans="1:12" x14ac:dyDescent="0.25">
      <c r="A655" t="s">
        <v>1285</v>
      </c>
      <c r="B655">
        <v>1545</v>
      </c>
      <c r="C655" t="s">
        <v>1292</v>
      </c>
      <c r="D655">
        <v>560</v>
      </c>
      <c r="E655" t="s">
        <v>1008</v>
      </c>
      <c r="F655" t="s">
        <v>1235</v>
      </c>
      <c r="G655">
        <v>3000</v>
      </c>
      <c r="H655" t="s">
        <v>663</v>
      </c>
      <c r="L655">
        <v>560.1</v>
      </c>
    </row>
    <row r="656" spans="1:12" x14ac:dyDescent="0.25">
      <c r="A656" t="s">
        <v>1285</v>
      </c>
      <c r="B656">
        <v>1547</v>
      </c>
      <c r="C656" t="s">
        <v>1292</v>
      </c>
      <c r="D656">
        <v>560</v>
      </c>
      <c r="E656" t="s">
        <v>1008</v>
      </c>
      <c r="F656" t="s">
        <v>1235</v>
      </c>
      <c r="G656">
        <v>7200</v>
      </c>
      <c r="H656" t="s">
        <v>663</v>
      </c>
      <c r="L656">
        <v>560.1</v>
      </c>
    </row>
    <row r="657" spans="1:12" x14ac:dyDescent="0.25">
      <c r="A657" t="s">
        <v>1285</v>
      </c>
      <c r="B657">
        <v>1548</v>
      </c>
      <c r="C657" t="s">
        <v>1292</v>
      </c>
      <c r="D657">
        <v>560</v>
      </c>
      <c r="E657" t="s">
        <v>1008</v>
      </c>
      <c r="F657" t="s">
        <v>1235</v>
      </c>
      <c r="G657">
        <v>3600</v>
      </c>
      <c r="H657" t="s">
        <v>663</v>
      </c>
      <c r="L657">
        <v>560.1</v>
      </c>
    </row>
    <row r="658" spans="1:12" x14ac:dyDescent="0.25">
      <c r="A658" t="s">
        <v>1285</v>
      </c>
      <c r="B658">
        <v>1549</v>
      </c>
      <c r="C658" t="s">
        <v>1292</v>
      </c>
      <c r="D658">
        <v>560</v>
      </c>
      <c r="E658" t="s">
        <v>1008</v>
      </c>
      <c r="F658" t="s">
        <v>1235</v>
      </c>
      <c r="G658">
        <v>16392</v>
      </c>
      <c r="L658">
        <v>560.1</v>
      </c>
    </row>
    <row r="659" spans="1:12" x14ac:dyDescent="0.25">
      <c r="A659" t="s">
        <v>1285</v>
      </c>
      <c r="B659">
        <v>1549</v>
      </c>
      <c r="C659" t="s">
        <v>1292</v>
      </c>
      <c r="D659">
        <v>560</v>
      </c>
      <c r="E659" t="s">
        <v>1008</v>
      </c>
      <c r="F659" t="s">
        <v>1235</v>
      </c>
      <c r="G659">
        <v>5125</v>
      </c>
      <c r="L659">
        <v>560.1</v>
      </c>
    </row>
    <row r="660" spans="1:12" x14ac:dyDescent="0.25">
      <c r="A660" t="s">
        <v>1285</v>
      </c>
      <c r="B660">
        <v>1554</v>
      </c>
      <c r="C660" t="s">
        <v>1292</v>
      </c>
      <c r="D660">
        <v>560</v>
      </c>
      <c r="E660" t="s">
        <v>1008</v>
      </c>
      <c r="F660" t="s">
        <v>1235</v>
      </c>
      <c r="G660">
        <v>0</v>
      </c>
      <c r="L660">
        <v>560.1</v>
      </c>
    </row>
    <row r="661" spans="1:12" x14ac:dyDescent="0.25">
      <c r="A661" t="s">
        <v>1285</v>
      </c>
      <c r="B661">
        <v>1554</v>
      </c>
      <c r="C661" t="s">
        <v>1292</v>
      </c>
      <c r="D661">
        <v>560</v>
      </c>
      <c r="E661" t="s">
        <v>1008</v>
      </c>
      <c r="F661" t="s">
        <v>1235</v>
      </c>
      <c r="G661">
        <v>2400</v>
      </c>
      <c r="L661">
        <v>560.1</v>
      </c>
    </row>
    <row r="662" spans="1:12" x14ac:dyDescent="0.25">
      <c r="A662" t="s">
        <v>1285</v>
      </c>
      <c r="B662">
        <v>1542</v>
      </c>
      <c r="C662" t="s">
        <v>1292</v>
      </c>
      <c r="D662">
        <v>570</v>
      </c>
      <c r="E662" t="s">
        <v>1008</v>
      </c>
      <c r="F662" t="s">
        <v>1272</v>
      </c>
      <c r="G662">
        <v>0</v>
      </c>
      <c r="H662" t="s">
        <v>663</v>
      </c>
      <c r="L662">
        <v>570.1</v>
      </c>
    </row>
    <row r="663" spans="1:12" x14ac:dyDescent="0.25">
      <c r="A663" t="s">
        <v>1285</v>
      </c>
      <c r="B663">
        <v>1549</v>
      </c>
      <c r="C663" t="s">
        <v>1292</v>
      </c>
      <c r="D663">
        <v>570</v>
      </c>
      <c r="E663" t="s">
        <v>1008</v>
      </c>
      <c r="F663" t="s">
        <v>1272</v>
      </c>
      <c r="G663">
        <v>0</v>
      </c>
      <c r="L663">
        <v>570.1</v>
      </c>
    </row>
    <row r="664" spans="1:12" x14ac:dyDescent="0.25">
      <c r="A664" t="s">
        <v>1285</v>
      </c>
      <c r="B664">
        <v>1542</v>
      </c>
      <c r="C664" t="s">
        <v>1292</v>
      </c>
      <c r="D664">
        <v>580</v>
      </c>
      <c r="E664" t="s">
        <v>1008</v>
      </c>
      <c r="F664" t="s">
        <v>1236</v>
      </c>
      <c r="G664">
        <v>1104</v>
      </c>
      <c r="H664" t="s">
        <v>663</v>
      </c>
      <c r="L664">
        <v>580.1</v>
      </c>
    </row>
    <row r="665" spans="1:12" x14ac:dyDescent="0.25">
      <c r="A665" t="s">
        <v>1285</v>
      </c>
      <c r="B665">
        <v>1543</v>
      </c>
      <c r="C665" t="s">
        <v>1292</v>
      </c>
      <c r="D665">
        <v>580</v>
      </c>
      <c r="E665" t="s">
        <v>1008</v>
      </c>
      <c r="F665" t="s">
        <v>1236</v>
      </c>
      <c r="G665">
        <v>3000</v>
      </c>
      <c r="H665" t="s">
        <v>663</v>
      </c>
      <c r="L665">
        <v>580.1</v>
      </c>
    </row>
    <row r="666" spans="1:12" x14ac:dyDescent="0.25">
      <c r="A666" t="s">
        <v>1285</v>
      </c>
      <c r="B666">
        <v>1544</v>
      </c>
      <c r="C666" t="s">
        <v>1292</v>
      </c>
      <c r="D666">
        <v>580</v>
      </c>
      <c r="E666" t="s">
        <v>1008</v>
      </c>
      <c r="F666" t="s">
        <v>1236</v>
      </c>
      <c r="G666">
        <v>5004</v>
      </c>
      <c r="H666" t="s">
        <v>663</v>
      </c>
      <c r="L666">
        <v>580.1</v>
      </c>
    </row>
    <row r="667" spans="1:12" x14ac:dyDescent="0.25">
      <c r="A667" t="s">
        <v>1285</v>
      </c>
      <c r="B667">
        <v>1545</v>
      </c>
      <c r="C667" t="s">
        <v>1292</v>
      </c>
      <c r="D667">
        <v>580</v>
      </c>
      <c r="E667" t="s">
        <v>1008</v>
      </c>
      <c r="F667" t="s">
        <v>1236</v>
      </c>
      <c r="G667">
        <v>5000</v>
      </c>
      <c r="H667" t="s">
        <v>663</v>
      </c>
      <c r="L667">
        <v>580.1</v>
      </c>
    </row>
    <row r="668" spans="1:12" x14ac:dyDescent="0.25">
      <c r="A668" t="s">
        <v>1285</v>
      </c>
      <c r="B668">
        <v>1546</v>
      </c>
      <c r="C668" t="s">
        <v>1292</v>
      </c>
      <c r="D668">
        <v>580</v>
      </c>
      <c r="E668" t="s">
        <v>1008</v>
      </c>
      <c r="F668" t="s">
        <v>1236</v>
      </c>
      <c r="G668">
        <v>0</v>
      </c>
      <c r="H668" t="s">
        <v>663</v>
      </c>
      <c r="L668">
        <v>580.1</v>
      </c>
    </row>
    <row r="669" spans="1:12" x14ac:dyDescent="0.25">
      <c r="A669" t="s">
        <v>1285</v>
      </c>
      <c r="B669">
        <v>1547</v>
      </c>
      <c r="C669" t="s">
        <v>1292</v>
      </c>
      <c r="D669">
        <v>580</v>
      </c>
      <c r="E669" t="s">
        <v>1008</v>
      </c>
      <c r="F669" t="s">
        <v>1236</v>
      </c>
      <c r="G669">
        <v>3600</v>
      </c>
      <c r="H669" t="s">
        <v>663</v>
      </c>
      <c r="L669">
        <v>580.1</v>
      </c>
    </row>
    <row r="670" spans="1:12" x14ac:dyDescent="0.25">
      <c r="A670" t="s">
        <v>1285</v>
      </c>
      <c r="B670">
        <v>1548</v>
      </c>
      <c r="C670" t="s">
        <v>1292</v>
      </c>
      <c r="D670">
        <v>580</v>
      </c>
      <c r="E670" t="s">
        <v>1008</v>
      </c>
      <c r="F670" t="s">
        <v>1236</v>
      </c>
      <c r="G670">
        <v>4200</v>
      </c>
      <c r="H670" t="s">
        <v>663</v>
      </c>
      <c r="L670">
        <v>580.1</v>
      </c>
    </row>
    <row r="671" spans="1:12" x14ac:dyDescent="0.25">
      <c r="A671" t="s">
        <v>1285</v>
      </c>
      <c r="B671">
        <v>1549</v>
      </c>
      <c r="C671" t="s">
        <v>1292</v>
      </c>
      <c r="D671">
        <v>580</v>
      </c>
      <c r="E671" t="s">
        <v>1008</v>
      </c>
      <c r="F671" t="s">
        <v>1236</v>
      </c>
      <c r="G671">
        <v>11352</v>
      </c>
      <c r="L671">
        <v>580.1</v>
      </c>
    </row>
    <row r="672" spans="1:12" x14ac:dyDescent="0.25">
      <c r="A672" t="s">
        <v>1285</v>
      </c>
      <c r="B672">
        <v>1549</v>
      </c>
      <c r="C672" t="s">
        <v>1292</v>
      </c>
      <c r="D672">
        <v>580</v>
      </c>
      <c r="E672" t="s">
        <v>1008</v>
      </c>
      <c r="F672" t="s">
        <v>1236</v>
      </c>
      <c r="G672">
        <v>7250</v>
      </c>
      <c r="L672">
        <v>580.1</v>
      </c>
    </row>
    <row r="673" spans="1:12" x14ac:dyDescent="0.25">
      <c r="A673" t="s">
        <v>1285</v>
      </c>
      <c r="B673">
        <v>1554</v>
      </c>
      <c r="C673" t="s">
        <v>1292</v>
      </c>
      <c r="D673">
        <v>580</v>
      </c>
      <c r="E673" t="s">
        <v>1008</v>
      </c>
      <c r="F673" t="s">
        <v>1236</v>
      </c>
      <c r="G673">
        <v>1800</v>
      </c>
      <c r="L673">
        <v>580.1</v>
      </c>
    </row>
    <row r="674" spans="1:12" x14ac:dyDescent="0.25">
      <c r="A674" t="s">
        <v>1285</v>
      </c>
      <c r="B674">
        <v>1554</v>
      </c>
      <c r="C674" t="s">
        <v>1292</v>
      </c>
      <c r="D674">
        <v>580</v>
      </c>
      <c r="E674" t="s">
        <v>1008</v>
      </c>
      <c r="F674" t="s">
        <v>1236</v>
      </c>
      <c r="G674">
        <v>1800</v>
      </c>
      <c r="L674">
        <v>580.1</v>
      </c>
    </row>
    <row r="675" spans="1:12" x14ac:dyDescent="0.25">
      <c r="A675" t="s">
        <v>1285</v>
      </c>
      <c r="B675">
        <v>1542</v>
      </c>
      <c r="C675" t="s">
        <v>1292</v>
      </c>
      <c r="D675">
        <v>610</v>
      </c>
      <c r="E675" t="s">
        <v>1010</v>
      </c>
      <c r="F675" t="s">
        <v>1237</v>
      </c>
      <c r="G675">
        <v>12000</v>
      </c>
      <c r="H675" t="s">
        <v>663</v>
      </c>
      <c r="L675">
        <v>610.1</v>
      </c>
    </row>
    <row r="676" spans="1:12" x14ac:dyDescent="0.25">
      <c r="A676" t="s">
        <v>1285</v>
      </c>
      <c r="B676">
        <v>1543</v>
      </c>
      <c r="C676" t="s">
        <v>1292</v>
      </c>
      <c r="D676">
        <v>610</v>
      </c>
      <c r="E676" t="s">
        <v>1010</v>
      </c>
      <c r="F676" t="s">
        <v>1237</v>
      </c>
      <c r="G676">
        <v>27004</v>
      </c>
      <c r="H676" t="s">
        <v>663</v>
      </c>
      <c r="L676">
        <v>610.1</v>
      </c>
    </row>
    <row r="677" spans="1:12" x14ac:dyDescent="0.25">
      <c r="A677" t="s">
        <v>1285</v>
      </c>
      <c r="B677">
        <v>1544</v>
      </c>
      <c r="C677" t="s">
        <v>1292</v>
      </c>
      <c r="D677">
        <v>610</v>
      </c>
      <c r="E677" t="s">
        <v>1010</v>
      </c>
      <c r="F677" t="s">
        <v>1237</v>
      </c>
      <c r="G677">
        <v>12504</v>
      </c>
      <c r="H677" t="s">
        <v>663</v>
      </c>
      <c r="L677">
        <v>610.1</v>
      </c>
    </row>
    <row r="678" spans="1:12" x14ac:dyDescent="0.25">
      <c r="A678" t="s">
        <v>1285</v>
      </c>
      <c r="B678">
        <v>1545</v>
      </c>
      <c r="C678" t="s">
        <v>1292</v>
      </c>
      <c r="D678">
        <v>610</v>
      </c>
      <c r="E678" t="s">
        <v>1010</v>
      </c>
      <c r="F678" t="s">
        <v>1237</v>
      </c>
      <c r="G678">
        <v>50204</v>
      </c>
      <c r="H678" t="s">
        <v>663</v>
      </c>
      <c r="L678">
        <v>610.1</v>
      </c>
    </row>
    <row r="679" spans="1:12" x14ac:dyDescent="0.25">
      <c r="A679" t="s">
        <v>1285</v>
      </c>
      <c r="B679">
        <v>1546</v>
      </c>
      <c r="C679" t="s">
        <v>1292</v>
      </c>
      <c r="D679">
        <v>610</v>
      </c>
      <c r="E679" t="s">
        <v>1010</v>
      </c>
      <c r="F679" t="s">
        <v>1237</v>
      </c>
      <c r="G679">
        <v>6000</v>
      </c>
      <c r="H679" t="s">
        <v>663</v>
      </c>
      <c r="L679">
        <v>610.1</v>
      </c>
    </row>
    <row r="680" spans="1:12" x14ac:dyDescent="0.25">
      <c r="A680" t="s">
        <v>1285</v>
      </c>
      <c r="B680">
        <v>1547</v>
      </c>
      <c r="C680" t="s">
        <v>1292</v>
      </c>
      <c r="D680">
        <v>610</v>
      </c>
      <c r="E680" t="s">
        <v>1010</v>
      </c>
      <c r="F680" t="s">
        <v>1237</v>
      </c>
      <c r="G680">
        <v>3000</v>
      </c>
      <c r="H680" t="s">
        <v>663</v>
      </c>
      <c r="L680">
        <v>610.1</v>
      </c>
    </row>
    <row r="681" spans="1:12" x14ac:dyDescent="0.25">
      <c r="A681" t="s">
        <v>1285</v>
      </c>
      <c r="B681">
        <v>1548</v>
      </c>
      <c r="C681" t="s">
        <v>1292</v>
      </c>
      <c r="D681">
        <v>610</v>
      </c>
      <c r="E681" t="s">
        <v>1010</v>
      </c>
      <c r="F681" t="s">
        <v>1237</v>
      </c>
      <c r="G681">
        <v>3504</v>
      </c>
      <c r="H681" t="s">
        <v>663</v>
      </c>
      <c r="L681">
        <v>610.1</v>
      </c>
    </row>
    <row r="682" spans="1:12" x14ac:dyDescent="0.25">
      <c r="A682" t="s">
        <v>1285</v>
      </c>
      <c r="B682">
        <v>1549</v>
      </c>
      <c r="C682" t="s">
        <v>1292</v>
      </c>
      <c r="D682">
        <v>610</v>
      </c>
      <c r="E682" t="s">
        <v>1010</v>
      </c>
      <c r="F682" t="s">
        <v>1237</v>
      </c>
      <c r="G682">
        <v>2496</v>
      </c>
      <c r="L682">
        <v>610.1</v>
      </c>
    </row>
    <row r="683" spans="1:12" x14ac:dyDescent="0.25">
      <c r="A683" t="s">
        <v>1285</v>
      </c>
      <c r="B683">
        <v>1549</v>
      </c>
      <c r="C683" t="s">
        <v>1292</v>
      </c>
      <c r="D683">
        <v>610</v>
      </c>
      <c r="E683" t="s">
        <v>1010</v>
      </c>
      <c r="F683" t="s">
        <v>1237</v>
      </c>
      <c r="G683">
        <v>11100</v>
      </c>
      <c r="L683">
        <v>610.1</v>
      </c>
    </row>
    <row r="684" spans="1:12" x14ac:dyDescent="0.25">
      <c r="A684" t="s">
        <v>1285</v>
      </c>
      <c r="B684">
        <v>1554</v>
      </c>
      <c r="C684" t="s">
        <v>1292</v>
      </c>
      <c r="D684">
        <v>610</v>
      </c>
      <c r="E684" t="s">
        <v>1010</v>
      </c>
      <c r="F684" t="s">
        <v>1237</v>
      </c>
      <c r="G684">
        <v>6720</v>
      </c>
      <c r="H684" t="s">
        <v>663</v>
      </c>
      <c r="L684">
        <v>610.1</v>
      </c>
    </row>
    <row r="685" spans="1:12" x14ac:dyDescent="0.25">
      <c r="A685" t="s">
        <v>1285</v>
      </c>
      <c r="B685">
        <v>1544</v>
      </c>
      <c r="C685" t="s">
        <v>1292</v>
      </c>
      <c r="D685">
        <v>614</v>
      </c>
      <c r="E685" t="s">
        <v>1010</v>
      </c>
      <c r="F685" t="s">
        <v>930</v>
      </c>
      <c r="G685">
        <v>249996</v>
      </c>
      <c r="L685">
        <v>614.1</v>
      </c>
    </row>
    <row r="686" spans="1:12" x14ac:dyDescent="0.25">
      <c r="A686" t="s">
        <v>1285</v>
      </c>
      <c r="B686">
        <v>1542</v>
      </c>
      <c r="C686" t="s">
        <v>1292</v>
      </c>
      <c r="D686">
        <v>615</v>
      </c>
      <c r="E686" t="s">
        <v>1010</v>
      </c>
      <c r="F686" t="s">
        <v>1238</v>
      </c>
      <c r="G686">
        <v>504</v>
      </c>
      <c r="H686" t="s">
        <v>663</v>
      </c>
      <c r="L686">
        <v>615.1</v>
      </c>
    </row>
    <row r="687" spans="1:12" x14ac:dyDescent="0.25">
      <c r="A687" t="s">
        <v>1285</v>
      </c>
      <c r="B687">
        <v>1543</v>
      </c>
      <c r="C687" t="s">
        <v>1292</v>
      </c>
      <c r="D687">
        <v>615</v>
      </c>
      <c r="E687" t="s">
        <v>1010</v>
      </c>
      <c r="F687" t="s">
        <v>1238</v>
      </c>
      <c r="G687">
        <v>9996</v>
      </c>
      <c r="H687" t="s">
        <v>663</v>
      </c>
      <c r="L687">
        <v>615.1</v>
      </c>
    </row>
    <row r="688" spans="1:12" x14ac:dyDescent="0.25">
      <c r="A688" t="s">
        <v>1285</v>
      </c>
      <c r="B688">
        <v>1544</v>
      </c>
      <c r="C688" t="s">
        <v>1292</v>
      </c>
      <c r="D688">
        <v>615</v>
      </c>
      <c r="E688" t="s">
        <v>1010</v>
      </c>
      <c r="F688" t="s">
        <v>1238</v>
      </c>
      <c r="G688">
        <v>0</v>
      </c>
      <c r="H688" t="s">
        <v>663</v>
      </c>
      <c r="L688">
        <v>615.1</v>
      </c>
    </row>
    <row r="689" spans="1:12" x14ac:dyDescent="0.25">
      <c r="A689" t="s">
        <v>1285</v>
      </c>
      <c r="B689">
        <v>1545</v>
      </c>
      <c r="C689" t="s">
        <v>1292</v>
      </c>
      <c r="D689">
        <v>615</v>
      </c>
      <c r="E689" t="s">
        <v>1010</v>
      </c>
      <c r="F689" t="s">
        <v>1238</v>
      </c>
      <c r="G689">
        <v>3000</v>
      </c>
      <c r="H689" t="s">
        <v>663</v>
      </c>
      <c r="L689">
        <v>615.1</v>
      </c>
    </row>
    <row r="690" spans="1:12" x14ac:dyDescent="0.25">
      <c r="A690" t="s">
        <v>1285</v>
      </c>
      <c r="B690">
        <v>1546</v>
      </c>
      <c r="C690" t="s">
        <v>1292</v>
      </c>
      <c r="D690">
        <v>615</v>
      </c>
      <c r="E690" t="s">
        <v>1010</v>
      </c>
      <c r="F690" t="s">
        <v>1238</v>
      </c>
      <c r="G690">
        <v>500</v>
      </c>
      <c r="H690" t="s">
        <v>663</v>
      </c>
      <c r="L690">
        <v>615.1</v>
      </c>
    </row>
    <row r="691" spans="1:12" x14ac:dyDescent="0.25">
      <c r="A691" t="s">
        <v>1285</v>
      </c>
      <c r="B691">
        <v>1547</v>
      </c>
      <c r="C691" t="s">
        <v>1292</v>
      </c>
      <c r="D691">
        <v>615</v>
      </c>
      <c r="E691" t="s">
        <v>1010</v>
      </c>
      <c r="F691" t="s">
        <v>1238</v>
      </c>
      <c r="G691">
        <v>500</v>
      </c>
      <c r="H691" t="s">
        <v>663</v>
      </c>
      <c r="L691">
        <v>615.1</v>
      </c>
    </row>
    <row r="692" spans="1:12" x14ac:dyDescent="0.25">
      <c r="A692" t="s">
        <v>1285</v>
      </c>
      <c r="B692">
        <v>1548</v>
      </c>
      <c r="C692" t="s">
        <v>1292</v>
      </c>
      <c r="D692">
        <v>615</v>
      </c>
      <c r="E692" t="s">
        <v>1010</v>
      </c>
      <c r="F692" t="s">
        <v>1238</v>
      </c>
      <c r="G692">
        <v>252</v>
      </c>
      <c r="H692" t="s">
        <v>663</v>
      </c>
      <c r="L692">
        <v>615.1</v>
      </c>
    </row>
    <row r="693" spans="1:12" x14ac:dyDescent="0.25">
      <c r="A693" t="s">
        <v>1285</v>
      </c>
      <c r="B693">
        <v>1549</v>
      </c>
      <c r="C693" t="s">
        <v>1292</v>
      </c>
      <c r="D693">
        <v>615</v>
      </c>
      <c r="E693" t="s">
        <v>1010</v>
      </c>
      <c r="F693" t="s">
        <v>1238</v>
      </c>
      <c r="G693">
        <v>0</v>
      </c>
      <c r="L693">
        <v>615.1</v>
      </c>
    </row>
    <row r="694" spans="1:12" x14ac:dyDescent="0.25">
      <c r="A694" t="s">
        <v>1285</v>
      </c>
      <c r="B694">
        <v>1549</v>
      </c>
      <c r="C694" t="s">
        <v>1292</v>
      </c>
      <c r="D694">
        <v>615</v>
      </c>
      <c r="E694" t="s">
        <v>1010</v>
      </c>
      <c r="F694" t="s">
        <v>1238</v>
      </c>
      <c r="G694">
        <v>250</v>
      </c>
      <c r="L694">
        <v>615.1</v>
      </c>
    </row>
    <row r="695" spans="1:12" x14ac:dyDescent="0.25">
      <c r="A695" t="s">
        <v>1285</v>
      </c>
      <c r="B695">
        <v>1554</v>
      </c>
      <c r="C695" t="s">
        <v>1292</v>
      </c>
      <c r="D695">
        <v>615</v>
      </c>
      <c r="E695" t="s">
        <v>1010</v>
      </c>
      <c r="F695" t="s">
        <v>1238</v>
      </c>
      <c r="G695">
        <v>252</v>
      </c>
      <c r="L695">
        <v>615.1</v>
      </c>
    </row>
    <row r="696" spans="1:12" x14ac:dyDescent="0.25">
      <c r="A696" t="s">
        <v>1285</v>
      </c>
      <c r="B696">
        <v>1554</v>
      </c>
      <c r="C696" t="s">
        <v>1292</v>
      </c>
      <c r="D696">
        <v>615</v>
      </c>
      <c r="E696" t="s">
        <v>1010</v>
      </c>
      <c r="F696" t="s">
        <v>1238</v>
      </c>
      <c r="G696">
        <v>252</v>
      </c>
      <c r="L696">
        <v>615.1</v>
      </c>
    </row>
    <row r="697" spans="1:12" x14ac:dyDescent="0.25">
      <c r="A697" t="s">
        <v>1285</v>
      </c>
      <c r="B697">
        <v>1544</v>
      </c>
      <c r="C697" t="s">
        <v>1292</v>
      </c>
      <c r="D697">
        <v>616</v>
      </c>
      <c r="E697" t="s">
        <v>1010</v>
      </c>
      <c r="F697" t="s">
        <v>1294</v>
      </c>
      <c r="G697">
        <v>50004</v>
      </c>
      <c r="L697">
        <v>616.1</v>
      </c>
    </row>
    <row r="698" spans="1:12" x14ac:dyDescent="0.25">
      <c r="A698" t="s">
        <v>1285</v>
      </c>
      <c r="B698">
        <v>1542</v>
      </c>
      <c r="C698" t="s">
        <v>1292</v>
      </c>
      <c r="D698">
        <v>620</v>
      </c>
      <c r="E698" t="s">
        <v>1010</v>
      </c>
      <c r="F698" t="s">
        <v>1239</v>
      </c>
      <c r="G698">
        <v>96</v>
      </c>
      <c r="H698" t="s">
        <v>663</v>
      </c>
      <c r="L698">
        <v>620.1</v>
      </c>
    </row>
    <row r="699" spans="1:12" x14ac:dyDescent="0.25">
      <c r="A699" t="s">
        <v>1285</v>
      </c>
      <c r="B699">
        <v>1543</v>
      </c>
      <c r="C699" t="s">
        <v>1292</v>
      </c>
      <c r="D699">
        <v>620</v>
      </c>
      <c r="E699" t="s">
        <v>1010</v>
      </c>
      <c r="F699" t="s">
        <v>1239</v>
      </c>
      <c r="G699">
        <v>18996</v>
      </c>
      <c r="H699" t="s">
        <v>663</v>
      </c>
      <c r="L699">
        <v>620.1</v>
      </c>
    </row>
    <row r="700" spans="1:12" x14ac:dyDescent="0.25">
      <c r="A700" t="s">
        <v>1285</v>
      </c>
      <c r="B700">
        <v>1544</v>
      </c>
      <c r="C700" t="s">
        <v>1292</v>
      </c>
      <c r="D700">
        <v>620</v>
      </c>
      <c r="E700" t="s">
        <v>1010</v>
      </c>
      <c r="F700" t="s">
        <v>1239</v>
      </c>
      <c r="G700">
        <v>0</v>
      </c>
      <c r="H700" t="s">
        <v>663</v>
      </c>
      <c r="L700">
        <v>620.1</v>
      </c>
    </row>
    <row r="701" spans="1:12" x14ac:dyDescent="0.25">
      <c r="A701" t="s">
        <v>1285</v>
      </c>
      <c r="B701">
        <v>1545</v>
      </c>
      <c r="C701" t="s">
        <v>1292</v>
      </c>
      <c r="D701">
        <v>620</v>
      </c>
      <c r="E701" t="s">
        <v>1010</v>
      </c>
      <c r="F701" t="s">
        <v>1239</v>
      </c>
      <c r="G701">
        <v>150</v>
      </c>
      <c r="H701" t="s">
        <v>663</v>
      </c>
      <c r="L701">
        <v>620.1</v>
      </c>
    </row>
    <row r="702" spans="1:12" x14ac:dyDescent="0.25">
      <c r="A702" t="s">
        <v>1285</v>
      </c>
      <c r="B702">
        <v>1546</v>
      </c>
      <c r="C702" t="s">
        <v>1292</v>
      </c>
      <c r="D702">
        <v>620</v>
      </c>
      <c r="E702" t="s">
        <v>1010</v>
      </c>
      <c r="F702" t="s">
        <v>1239</v>
      </c>
      <c r="G702">
        <v>100</v>
      </c>
      <c r="H702" t="s">
        <v>663</v>
      </c>
      <c r="L702">
        <v>620.1</v>
      </c>
    </row>
    <row r="703" spans="1:12" x14ac:dyDescent="0.25">
      <c r="A703" t="s">
        <v>1285</v>
      </c>
      <c r="B703">
        <v>1547</v>
      </c>
      <c r="C703" t="s">
        <v>1292</v>
      </c>
      <c r="D703">
        <v>620</v>
      </c>
      <c r="E703" t="s">
        <v>1010</v>
      </c>
      <c r="F703" t="s">
        <v>1239</v>
      </c>
      <c r="G703">
        <v>150</v>
      </c>
      <c r="H703" t="s">
        <v>663</v>
      </c>
      <c r="L703">
        <v>620.1</v>
      </c>
    </row>
    <row r="704" spans="1:12" x14ac:dyDescent="0.25">
      <c r="A704" t="s">
        <v>1285</v>
      </c>
      <c r="B704">
        <v>1548</v>
      </c>
      <c r="C704" t="s">
        <v>1292</v>
      </c>
      <c r="D704">
        <v>620</v>
      </c>
      <c r="E704" t="s">
        <v>1010</v>
      </c>
      <c r="F704" t="s">
        <v>1239</v>
      </c>
      <c r="G704">
        <v>1704</v>
      </c>
      <c r="H704" t="s">
        <v>663</v>
      </c>
      <c r="L704">
        <v>620.1</v>
      </c>
    </row>
    <row r="705" spans="1:12" x14ac:dyDescent="0.25">
      <c r="A705" t="s">
        <v>1285</v>
      </c>
      <c r="B705">
        <v>1549</v>
      </c>
      <c r="C705" t="s">
        <v>1292</v>
      </c>
      <c r="D705">
        <v>620</v>
      </c>
      <c r="E705" t="s">
        <v>1010</v>
      </c>
      <c r="F705" t="s">
        <v>1239</v>
      </c>
      <c r="G705">
        <v>0</v>
      </c>
      <c r="L705">
        <v>620.1</v>
      </c>
    </row>
    <row r="706" spans="1:12" x14ac:dyDescent="0.25">
      <c r="A706" t="s">
        <v>1285</v>
      </c>
      <c r="B706">
        <v>1549</v>
      </c>
      <c r="C706" t="s">
        <v>1292</v>
      </c>
      <c r="D706">
        <v>620</v>
      </c>
      <c r="E706" t="s">
        <v>1010</v>
      </c>
      <c r="F706" t="s">
        <v>1239</v>
      </c>
      <c r="G706">
        <v>150</v>
      </c>
      <c r="L706">
        <v>620.1</v>
      </c>
    </row>
    <row r="707" spans="1:12" x14ac:dyDescent="0.25">
      <c r="A707" t="s">
        <v>1285</v>
      </c>
      <c r="B707">
        <v>1554</v>
      </c>
      <c r="C707" t="s">
        <v>1292</v>
      </c>
      <c r="D707">
        <v>620</v>
      </c>
      <c r="E707" t="s">
        <v>1010</v>
      </c>
      <c r="F707" t="s">
        <v>1239</v>
      </c>
      <c r="G707">
        <v>300</v>
      </c>
      <c r="L707">
        <v>620.1</v>
      </c>
    </row>
    <row r="708" spans="1:12" x14ac:dyDescent="0.25">
      <c r="A708" t="s">
        <v>1285</v>
      </c>
      <c r="B708">
        <v>1554</v>
      </c>
      <c r="C708" t="s">
        <v>1292</v>
      </c>
      <c r="D708">
        <v>620</v>
      </c>
      <c r="E708" t="s">
        <v>1010</v>
      </c>
      <c r="F708" t="s">
        <v>1239</v>
      </c>
      <c r="G708">
        <v>300</v>
      </c>
      <c r="L708">
        <v>620.1</v>
      </c>
    </row>
    <row r="709" spans="1:12" x14ac:dyDescent="0.25">
      <c r="A709" t="s">
        <v>1285</v>
      </c>
      <c r="B709">
        <v>1542</v>
      </c>
      <c r="C709" t="s">
        <v>1292</v>
      </c>
      <c r="D709">
        <v>640</v>
      </c>
      <c r="E709" t="s">
        <v>1248</v>
      </c>
      <c r="F709" t="s">
        <v>1249</v>
      </c>
      <c r="G709">
        <v>0</v>
      </c>
      <c r="H709" t="s">
        <v>663</v>
      </c>
      <c r="L709">
        <v>640.1</v>
      </c>
    </row>
    <row r="710" spans="1:12" x14ac:dyDescent="0.25">
      <c r="A710" t="s">
        <v>1285</v>
      </c>
      <c r="B710">
        <v>1543</v>
      </c>
      <c r="C710" t="s">
        <v>1292</v>
      </c>
      <c r="D710">
        <v>640</v>
      </c>
      <c r="E710" t="s">
        <v>1248</v>
      </c>
      <c r="F710" t="s">
        <v>1249</v>
      </c>
      <c r="G710">
        <v>355000</v>
      </c>
      <c r="H710" t="s">
        <v>663</v>
      </c>
      <c r="L710">
        <v>640.1</v>
      </c>
    </row>
    <row r="711" spans="1:12" x14ac:dyDescent="0.25">
      <c r="A711" t="s">
        <v>1285</v>
      </c>
      <c r="B711">
        <v>1544</v>
      </c>
      <c r="C711" t="s">
        <v>1292</v>
      </c>
      <c r="D711">
        <v>640</v>
      </c>
      <c r="E711" t="s">
        <v>1248</v>
      </c>
      <c r="F711" t="s">
        <v>1249</v>
      </c>
      <c r="G711">
        <v>150000</v>
      </c>
      <c r="H711" t="s">
        <v>663</v>
      </c>
      <c r="L711">
        <v>640.1</v>
      </c>
    </row>
    <row r="712" spans="1:12" x14ac:dyDescent="0.25">
      <c r="A712" t="s">
        <v>1285</v>
      </c>
      <c r="B712">
        <v>1545</v>
      </c>
      <c r="C712" t="s">
        <v>1292</v>
      </c>
      <c r="D712">
        <v>640</v>
      </c>
      <c r="E712" t="s">
        <v>1248</v>
      </c>
      <c r="F712" t="s">
        <v>1249</v>
      </c>
      <c r="G712">
        <v>25000</v>
      </c>
      <c r="H712" t="s">
        <v>663</v>
      </c>
      <c r="L712">
        <v>640.1</v>
      </c>
    </row>
    <row r="713" spans="1:12" x14ac:dyDescent="0.25">
      <c r="A713" t="s">
        <v>1285</v>
      </c>
      <c r="B713">
        <v>1546</v>
      </c>
      <c r="C713" t="s">
        <v>1292</v>
      </c>
      <c r="D713">
        <v>640</v>
      </c>
      <c r="E713" t="s">
        <v>1248</v>
      </c>
      <c r="F713" t="s">
        <v>1249</v>
      </c>
      <c r="G713">
        <v>0</v>
      </c>
      <c r="H713" t="s">
        <v>663</v>
      </c>
      <c r="L713">
        <v>640.1</v>
      </c>
    </row>
    <row r="714" spans="1:12" x14ac:dyDescent="0.25">
      <c r="A714" t="s">
        <v>1285</v>
      </c>
      <c r="B714">
        <v>1547</v>
      </c>
      <c r="C714" t="s">
        <v>1292</v>
      </c>
      <c r="D714">
        <v>640</v>
      </c>
      <c r="E714" t="s">
        <v>1248</v>
      </c>
      <c r="F714" t="s">
        <v>1249</v>
      </c>
      <c r="G714">
        <v>200000</v>
      </c>
      <c r="L714">
        <v>640.1</v>
      </c>
    </row>
    <row r="715" spans="1:12" x14ac:dyDescent="0.25">
      <c r="A715" t="s">
        <v>1285</v>
      </c>
      <c r="B715">
        <v>1547</v>
      </c>
      <c r="C715" t="s">
        <v>1292</v>
      </c>
      <c r="D715">
        <v>640</v>
      </c>
      <c r="E715" t="s">
        <v>1248</v>
      </c>
      <c r="F715" t="s">
        <v>1249</v>
      </c>
      <c r="G715">
        <v>380004</v>
      </c>
      <c r="L715">
        <v>640.1</v>
      </c>
    </row>
    <row r="716" spans="1:12" x14ac:dyDescent="0.25">
      <c r="A716" t="s">
        <v>1285</v>
      </c>
      <c r="B716">
        <v>1548</v>
      </c>
      <c r="C716" t="s">
        <v>1292</v>
      </c>
      <c r="D716">
        <v>640</v>
      </c>
      <c r="E716" t="s">
        <v>1248</v>
      </c>
      <c r="F716" t="s">
        <v>1249</v>
      </c>
      <c r="G716">
        <v>42912</v>
      </c>
      <c r="H716" t="s">
        <v>663</v>
      </c>
      <c r="L716">
        <v>640.1</v>
      </c>
    </row>
    <row r="717" spans="1:12" x14ac:dyDescent="0.25">
      <c r="A717" t="s">
        <v>1285</v>
      </c>
      <c r="B717">
        <v>1549</v>
      </c>
      <c r="C717" t="s">
        <v>1292</v>
      </c>
      <c r="D717">
        <v>640</v>
      </c>
      <c r="E717" t="s">
        <v>1248</v>
      </c>
      <c r="F717" t="s">
        <v>1249</v>
      </c>
      <c r="G717">
        <v>125004</v>
      </c>
      <c r="L717">
        <v>640.1</v>
      </c>
    </row>
    <row r="718" spans="1:12" x14ac:dyDescent="0.25">
      <c r="A718" t="s">
        <v>1285</v>
      </c>
      <c r="B718">
        <v>1549</v>
      </c>
      <c r="C718" t="s">
        <v>1292</v>
      </c>
      <c r="D718">
        <v>640</v>
      </c>
      <c r="E718" t="s">
        <v>1248</v>
      </c>
      <c r="F718" t="s">
        <v>1249</v>
      </c>
      <c r="G718">
        <v>262520</v>
      </c>
      <c r="L718">
        <v>640.1</v>
      </c>
    </row>
    <row r="719" spans="1:12" x14ac:dyDescent="0.25">
      <c r="A719" t="s">
        <v>1285</v>
      </c>
      <c r="B719">
        <v>1543</v>
      </c>
      <c r="C719" t="s">
        <v>1292</v>
      </c>
      <c r="D719">
        <v>650</v>
      </c>
      <c r="E719" t="s">
        <v>1010</v>
      </c>
      <c r="F719" t="s">
        <v>1251</v>
      </c>
      <c r="G719">
        <v>0</v>
      </c>
      <c r="H719" t="s">
        <v>663</v>
      </c>
      <c r="L719">
        <v>650.1</v>
      </c>
    </row>
    <row r="720" spans="1:12" x14ac:dyDescent="0.25">
      <c r="A720" t="s">
        <v>1285</v>
      </c>
      <c r="B720">
        <v>1549</v>
      </c>
      <c r="C720" t="s">
        <v>1292</v>
      </c>
      <c r="D720">
        <v>650</v>
      </c>
      <c r="E720" t="s">
        <v>1010</v>
      </c>
      <c r="F720" t="s">
        <v>1251</v>
      </c>
      <c r="G720">
        <v>7096</v>
      </c>
      <c r="L720">
        <v>650.1</v>
      </c>
    </row>
    <row r="721" spans="1:12" x14ac:dyDescent="0.25">
      <c r="A721" t="s">
        <v>1285</v>
      </c>
      <c r="B721">
        <v>1542</v>
      </c>
      <c r="C721" t="s">
        <v>1292</v>
      </c>
      <c r="D721">
        <v>655</v>
      </c>
      <c r="E721" t="s">
        <v>1010</v>
      </c>
      <c r="F721" t="s">
        <v>1240</v>
      </c>
      <c r="G721">
        <v>5004</v>
      </c>
      <c r="H721" t="s">
        <v>663</v>
      </c>
      <c r="L721">
        <v>655.1</v>
      </c>
    </row>
    <row r="722" spans="1:12" x14ac:dyDescent="0.25">
      <c r="A722" t="s">
        <v>1285</v>
      </c>
      <c r="B722">
        <v>1543</v>
      </c>
      <c r="C722" t="s">
        <v>1292</v>
      </c>
      <c r="D722">
        <v>655</v>
      </c>
      <c r="E722" t="s">
        <v>1010</v>
      </c>
      <c r="F722" t="s">
        <v>1240</v>
      </c>
      <c r="G722">
        <v>5004</v>
      </c>
      <c r="H722" t="s">
        <v>663</v>
      </c>
      <c r="L722">
        <v>655.1</v>
      </c>
    </row>
    <row r="723" spans="1:12" x14ac:dyDescent="0.25">
      <c r="A723" t="s">
        <v>1285</v>
      </c>
      <c r="B723">
        <v>1544</v>
      </c>
      <c r="C723" t="s">
        <v>1292</v>
      </c>
      <c r="D723">
        <v>655</v>
      </c>
      <c r="E723" t="s">
        <v>1010</v>
      </c>
      <c r="F723" t="s">
        <v>1240</v>
      </c>
      <c r="G723">
        <v>504</v>
      </c>
      <c r="H723" t="s">
        <v>663</v>
      </c>
      <c r="L723">
        <v>655.1</v>
      </c>
    </row>
    <row r="724" spans="1:12" x14ac:dyDescent="0.25">
      <c r="A724" t="s">
        <v>1285</v>
      </c>
      <c r="B724">
        <v>1545</v>
      </c>
      <c r="C724" t="s">
        <v>1292</v>
      </c>
      <c r="D724">
        <v>655</v>
      </c>
      <c r="E724" t="s">
        <v>1010</v>
      </c>
      <c r="F724" t="s">
        <v>1240</v>
      </c>
      <c r="G724">
        <v>4000</v>
      </c>
      <c r="H724" t="s">
        <v>663</v>
      </c>
      <c r="L724">
        <v>655.1</v>
      </c>
    </row>
    <row r="725" spans="1:12" x14ac:dyDescent="0.25">
      <c r="A725" t="s">
        <v>1285</v>
      </c>
      <c r="B725">
        <v>1546</v>
      </c>
      <c r="C725" t="s">
        <v>1292</v>
      </c>
      <c r="D725">
        <v>655</v>
      </c>
      <c r="E725" t="s">
        <v>1010</v>
      </c>
      <c r="F725" t="s">
        <v>1240</v>
      </c>
      <c r="G725">
        <v>300</v>
      </c>
      <c r="H725" t="s">
        <v>663</v>
      </c>
      <c r="L725">
        <v>655.1</v>
      </c>
    </row>
    <row r="726" spans="1:12" x14ac:dyDescent="0.25">
      <c r="A726" t="s">
        <v>1285</v>
      </c>
      <c r="B726">
        <v>1547</v>
      </c>
      <c r="C726" t="s">
        <v>1292</v>
      </c>
      <c r="D726">
        <v>655</v>
      </c>
      <c r="E726" t="s">
        <v>1010</v>
      </c>
      <c r="F726" t="s">
        <v>1240</v>
      </c>
      <c r="G726">
        <v>1500</v>
      </c>
      <c r="H726" t="s">
        <v>663</v>
      </c>
      <c r="L726">
        <v>655.1</v>
      </c>
    </row>
    <row r="727" spans="1:12" x14ac:dyDescent="0.25">
      <c r="A727" t="s">
        <v>1285</v>
      </c>
      <c r="B727">
        <v>1548</v>
      </c>
      <c r="C727" t="s">
        <v>1292</v>
      </c>
      <c r="D727">
        <v>655</v>
      </c>
      <c r="E727" t="s">
        <v>1010</v>
      </c>
      <c r="F727" t="s">
        <v>1240</v>
      </c>
      <c r="G727">
        <v>2400</v>
      </c>
      <c r="H727" t="s">
        <v>663</v>
      </c>
      <c r="L727">
        <v>655.1</v>
      </c>
    </row>
    <row r="728" spans="1:12" x14ac:dyDescent="0.25">
      <c r="A728" t="s">
        <v>1285</v>
      </c>
      <c r="B728">
        <v>1549</v>
      </c>
      <c r="C728" t="s">
        <v>1292</v>
      </c>
      <c r="D728">
        <v>655</v>
      </c>
      <c r="E728" t="s">
        <v>1010</v>
      </c>
      <c r="F728" t="s">
        <v>1240</v>
      </c>
      <c r="G728">
        <v>30600</v>
      </c>
      <c r="L728">
        <v>655.1</v>
      </c>
    </row>
    <row r="729" spans="1:12" x14ac:dyDescent="0.25">
      <c r="A729" t="s">
        <v>1285</v>
      </c>
      <c r="B729">
        <v>1549</v>
      </c>
      <c r="C729" t="s">
        <v>1292</v>
      </c>
      <c r="D729">
        <v>655</v>
      </c>
      <c r="E729" t="s">
        <v>1010</v>
      </c>
      <c r="F729" t="s">
        <v>1240</v>
      </c>
      <c r="G729">
        <v>11750</v>
      </c>
      <c r="L729">
        <v>655.1</v>
      </c>
    </row>
    <row r="730" spans="1:12" x14ac:dyDescent="0.25">
      <c r="A730" t="s">
        <v>1285</v>
      </c>
      <c r="B730">
        <v>1554</v>
      </c>
      <c r="C730" t="s">
        <v>1292</v>
      </c>
      <c r="D730">
        <v>655</v>
      </c>
      <c r="E730" t="s">
        <v>1010</v>
      </c>
      <c r="F730" t="s">
        <v>1240</v>
      </c>
      <c r="G730">
        <v>2400</v>
      </c>
      <c r="L730">
        <v>655.1</v>
      </c>
    </row>
    <row r="731" spans="1:12" x14ac:dyDescent="0.25">
      <c r="A731" t="s">
        <v>1285</v>
      </c>
      <c r="B731">
        <v>1554</v>
      </c>
      <c r="C731" t="s">
        <v>1292</v>
      </c>
      <c r="D731">
        <v>655</v>
      </c>
      <c r="E731" t="s">
        <v>1010</v>
      </c>
      <c r="F731" t="s">
        <v>1240</v>
      </c>
      <c r="G731">
        <v>2400</v>
      </c>
      <c r="L731">
        <v>655.1</v>
      </c>
    </row>
    <row r="732" spans="1:12" x14ac:dyDescent="0.25">
      <c r="A732" t="s">
        <v>1285</v>
      </c>
      <c r="B732">
        <v>1542</v>
      </c>
      <c r="C732" t="s">
        <v>1292</v>
      </c>
      <c r="D732">
        <v>670</v>
      </c>
      <c r="E732" t="s">
        <v>1010</v>
      </c>
      <c r="F732" t="s">
        <v>1242</v>
      </c>
      <c r="G732">
        <v>996</v>
      </c>
      <c r="H732" t="s">
        <v>663</v>
      </c>
      <c r="L732">
        <v>670.1</v>
      </c>
    </row>
    <row r="733" spans="1:12" x14ac:dyDescent="0.25">
      <c r="A733" t="s">
        <v>1285</v>
      </c>
      <c r="B733">
        <v>1543</v>
      </c>
      <c r="C733" t="s">
        <v>1292</v>
      </c>
      <c r="D733">
        <v>670</v>
      </c>
      <c r="E733" t="s">
        <v>1010</v>
      </c>
      <c r="F733" t="s">
        <v>1242</v>
      </c>
      <c r="G733">
        <v>996</v>
      </c>
      <c r="H733" t="s">
        <v>663</v>
      </c>
      <c r="L733">
        <v>670.1</v>
      </c>
    </row>
    <row r="734" spans="1:12" x14ac:dyDescent="0.25">
      <c r="A734" t="s">
        <v>1285</v>
      </c>
      <c r="B734">
        <v>1544</v>
      </c>
      <c r="C734" t="s">
        <v>1292</v>
      </c>
      <c r="D734">
        <v>670</v>
      </c>
      <c r="E734" t="s">
        <v>1010</v>
      </c>
      <c r="F734" t="s">
        <v>1242</v>
      </c>
      <c r="G734">
        <v>0</v>
      </c>
      <c r="H734" t="s">
        <v>663</v>
      </c>
      <c r="L734">
        <v>670.1</v>
      </c>
    </row>
    <row r="735" spans="1:12" x14ac:dyDescent="0.25">
      <c r="A735" t="s">
        <v>1285</v>
      </c>
      <c r="B735">
        <v>1545</v>
      </c>
      <c r="C735" t="s">
        <v>1292</v>
      </c>
      <c r="D735">
        <v>670</v>
      </c>
      <c r="E735" t="s">
        <v>1010</v>
      </c>
      <c r="F735" t="s">
        <v>1242</v>
      </c>
      <c r="G735">
        <v>2000</v>
      </c>
      <c r="H735" t="s">
        <v>663</v>
      </c>
      <c r="L735">
        <v>670.1</v>
      </c>
    </row>
    <row r="736" spans="1:12" x14ac:dyDescent="0.25">
      <c r="A736" t="s">
        <v>1285</v>
      </c>
      <c r="B736">
        <v>1546</v>
      </c>
      <c r="C736" t="s">
        <v>1292</v>
      </c>
      <c r="D736">
        <v>670</v>
      </c>
      <c r="E736" t="s">
        <v>1010</v>
      </c>
      <c r="F736" t="s">
        <v>1242</v>
      </c>
      <c r="G736">
        <v>1000</v>
      </c>
      <c r="H736" t="s">
        <v>663</v>
      </c>
      <c r="L736">
        <v>670.1</v>
      </c>
    </row>
    <row r="737" spans="1:12" x14ac:dyDescent="0.25">
      <c r="A737" t="s">
        <v>1285</v>
      </c>
      <c r="B737">
        <v>1547</v>
      </c>
      <c r="C737" t="s">
        <v>1292</v>
      </c>
      <c r="D737">
        <v>670</v>
      </c>
      <c r="E737" t="s">
        <v>1010</v>
      </c>
      <c r="F737" t="s">
        <v>1242</v>
      </c>
      <c r="G737">
        <v>400</v>
      </c>
      <c r="H737" t="s">
        <v>663</v>
      </c>
      <c r="L737">
        <v>670.1</v>
      </c>
    </row>
    <row r="738" spans="1:12" x14ac:dyDescent="0.25">
      <c r="A738" t="s">
        <v>1285</v>
      </c>
      <c r="B738">
        <v>1548</v>
      </c>
      <c r="C738" t="s">
        <v>1292</v>
      </c>
      <c r="D738">
        <v>670</v>
      </c>
      <c r="E738" t="s">
        <v>1010</v>
      </c>
      <c r="F738" t="s">
        <v>1242</v>
      </c>
      <c r="G738">
        <v>720</v>
      </c>
      <c r="H738" t="s">
        <v>663</v>
      </c>
      <c r="L738">
        <v>670.1</v>
      </c>
    </row>
    <row r="739" spans="1:12" x14ac:dyDescent="0.25">
      <c r="A739" t="s">
        <v>1285</v>
      </c>
      <c r="B739">
        <v>1549</v>
      </c>
      <c r="C739" t="s">
        <v>1292</v>
      </c>
      <c r="D739">
        <v>670</v>
      </c>
      <c r="E739" t="s">
        <v>1010</v>
      </c>
      <c r="F739" t="s">
        <v>1242</v>
      </c>
      <c r="G739">
        <v>0</v>
      </c>
      <c r="L739">
        <v>670.1</v>
      </c>
    </row>
    <row r="740" spans="1:12" x14ac:dyDescent="0.25">
      <c r="A740" t="s">
        <v>1285</v>
      </c>
      <c r="B740">
        <v>1549</v>
      </c>
      <c r="C740" t="s">
        <v>1292</v>
      </c>
      <c r="D740">
        <v>670</v>
      </c>
      <c r="E740" t="s">
        <v>1010</v>
      </c>
      <c r="F740" t="s">
        <v>1242</v>
      </c>
      <c r="G740">
        <v>250</v>
      </c>
      <c r="L740">
        <v>670.1</v>
      </c>
    </row>
    <row r="741" spans="1:12" x14ac:dyDescent="0.25">
      <c r="A741" t="s">
        <v>1285</v>
      </c>
      <c r="B741">
        <v>1554</v>
      </c>
      <c r="C741" t="s">
        <v>1292</v>
      </c>
      <c r="D741">
        <v>670</v>
      </c>
      <c r="E741" t="s">
        <v>1010</v>
      </c>
      <c r="F741" t="s">
        <v>1242</v>
      </c>
      <c r="G741">
        <v>720</v>
      </c>
      <c r="L741">
        <v>670.1</v>
      </c>
    </row>
    <row r="742" spans="1:12" x14ac:dyDescent="0.25">
      <c r="A742" t="s">
        <v>1285</v>
      </c>
      <c r="B742">
        <v>1554</v>
      </c>
      <c r="C742" t="s">
        <v>1292</v>
      </c>
      <c r="D742">
        <v>670</v>
      </c>
      <c r="E742" t="s">
        <v>1010</v>
      </c>
      <c r="F742" t="s">
        <v>1242</v>
      </c>
      <c r="G742">
        <v>720</v>
      </c>
      <c r="L742">
        <v>670.1</v>
      </c>
    </row>
    <row r="743" spans="1:12" x14ac:dyDescent="0.25">
      <c r="A743" t="s">
        <v>1285</v>
      </c>
      <c r="B743">
        <v>1544</v>
      </c>
      <c r="C743" t="s">
        <v>1292</v>
      </c>
      <c r="D743">
        <v>680</v>
      </c>
      <c r="E743" t="s">
        <v>1010</v>
      </c>
      <c r="F743" t="s">
        <v>1254</v>
      </c>
      <c r="G743">
        <v>0</v>
      </c>
      <c r="L743">
        <v>680.1</v>
      </c>
    </row>
    <row r="744" spans="1:12" x14ac:dyDescent="0.25">
      <c r="A744" t="s">
        <v>1285</v>
      </c>
      <c r="B744">
        <v>1544</v>
      </c>
      <c r="C744" t="s">
        <v>1292</v>
      </c>
      <c r="D744">
        <v>710</v>
      </c>
      <c r="E744" t="s">
        <v>1012</v>
      </c>
      <c r="F744" t="s">
        <v>1243</v>
      </c>
      <c r="G744">
        <v>40000</v>
      </c>
      <c r="L744">
        <v>710.1</v>
      </c>
    </row>
    <row r="745" spans="1:12" x14ac:dyDescent="0.25">
      <c r="A745" t="s">
        <v>1287</v>
      </c>
      <c r="B745">
        <v>1551</v>
      </c>
      <c r="C745" t="s">
        <v>1292</v>
      </c>
      <c r="D745">
        <v>113</v>
      </c>
      <c r="E745" t="s">
        <v>1001</v>
      </c>
      <c r="F745" t="s">
        <v>1221</v>
      </c>
      <c r="G745">
        <v>0</v>
      </c>
      <c r="H745" t="s">
        <v>1222</v>
      </c>
      <c r="L745">
        <v>113.1</v>
      </c>
    </row>
    <row r="746" spans="1:12" x14ac:dyDescent="0.25">
      <c r="A746" t="s">
        <v>1287</v>
      </c>
      <c r="B746">
        <v>1552</v>
      </c>
      <c r="C746" t="s">
        <v>1292</v>
      </c>
      <c r="D746">
        <v>113</v>
      </c>
      <c r="E746" t="s">
        <v>1001</v>
      </c>
      <c r="F746" t="s">
        <v>1221</v>
      </c>
      <c r="G746">
        <v>0</v>
      </c>
      <c r="H746" t="s">
        <v>1222</v>
      </c>
      <c r="L746">
        <v>113.1</v>
      </c>
    </row>
    <row r="747" spans="1:12" x14ac:dyDescent="0.25">
      <c r="A747" t="s">
        <v>1287</v>
      </c>
      <c r="B747">
        <v>1553</v>
      </c>
      <c r="C747" t="s">
        <v>1292</v>
      </c>
      <c r="D747">
        <v>113</v>
      </c>
      <c r="E747" t="s">
        <v>1001</v>
      </c>
      <c r="F747" t="s">
        <v>1221</v>
      </c>
      <c r="G747">
        <v>0</v>
      </c>
      <c r="H747" t="s">
        <v>1222</v>
      </c>
      <c r="L747">
        <v>113.1</v>
      </c>
    </row>
    <row r="748" spans="1:12" x14ac:dyDescent="0.25">
      <c r="A748" t="s">
        <v>1287</v>
      </c>
      <c r="B748">
        <v>1544</v>
      </c>
      <c r="C748" t="s">
        <v>1292</v>
      </c>
      <c r="D748">
        <v>115</v>
      </c>
      <c r="E748" t="s">
        <v>1001</v>
      </c>
      <c r="F748" t="s">
        <v>1224</v>
      </c>
      <c r="G748">
        <v>294964.98</v>
      </c>
      <c r="H748" t="s">
        <v>668</v>
      </c>
      <c r="L748">
        <v>115.1</v>
      </c>
    </row>
    <row r="749" spans="1:12" x14ac:dyDescent="0.25">
      <c r="A749" t="s">
        <v>1287</v>
      </c>
      <c r="B749">
        <v>1551</v>
      </c>
      <c r="C749" t="s">
        <v>1292</v>
      </c>
      <c r="D749">
        <v>115</v>
      </c>
      <c r="E749" t="s">
        <v>1001</v>
      </c>
      <c r="F749" t="s">
        <v>1224</v>
      </c>
      <c r="G749">
        <v>122475.52</v>
      </c>
      <c r="H749" t="s">
        <v>668</v>
      </c>
      <c r="L749">
        <v>115.1</v>
      </c>
    </row>
    <row r="750" spans="1:12" x14ac:dyDescent="0.25">
      <c r="A750" t="s">
        <v>1287</v>
      </c>
      <c r="B750">
        <v>1552</v>
      </c>
      <c r="C750" t="s">
        <v>1292</v>
      </c>
      <c r="D750">
        <v>115</v>
      </c>
      <c r="E750" t="s">
        <v>1001</v>
      </c>
      <c r="F750" t="s">
        <v>1224</v>
      </c>
      <c r="G750">
        <v>188842.86</v>
      </c>
      <c r="H750" t="s">
        <v>668</v>
      </c>
      <c r="L750">
        <v>115.1</v>
      </c>
    </row>
    <row r="751" spans="1:12" x14ac:dyDescent="0.25">
      <c r="A751" t="s">
        <v>1287</v>
      </c>
      <c r="B751">
        <v>1553</v>
      </c>
      <c r="C751" t="s">
        <v>1292</v>
      </c>
      <c r="D751">
        <v>115</v>
      </c>
      <c r="E751" t="s">
        <v>1001</v>
      </c>
      <c r="F751" t="s">
        <v>1224</v>
      </c>
      <c r="G751">
        <v>114190</v>
      </c>
      <c r="H751" t="s">
        <v>668</v>
      </c>
      <c r="L751">
        <v>115.1</v>
      </c>
    </row>
    <row r="752" spans="1:12" x14ac:dyDescent="0.25">
      <c r="A752" t="s">
        <v>1287</v>
      </c>
      <c r="B752">
        <v>1551</v>
      </c>
      <c r="C752" t="s">
        <v>1292</v>
      </c>
      <c r="D752">
        <v>116</v>
      </c>
      <c r="E752" t="s">
        <v>1001</v>
      </c>
      <c r="F752" t="s">
        <v>1225</v>
      </c>
      <c r="G752">
        <v>0</v>
      </c>
      <c r="L752">
        <v>116.1</v>
      </c>
    </row>
    <row r="753" spans="1:12" x14ac:dyDescent="0.25">
      <c r="A753" t="s">
        <v>1287</v>
      </c>
      <c r="B753">
        <v>1552</v>
      </c>
      <c r="C753" t="s">
        <v>1292</v>
      </c>
      <c r="D753">
        <v>116</v>
      </c>
      <c r="E753" t="s">
        <v>1001</v>
      </c>
      <c r="F753" t="s">
        <v>1225</v>
      </c>
      <c r="G753">
        <v>0</v>
      </c>
      <c r="H753" t="s">
        <v>668</v>
      </c>
      <c r="L753">
        <v>116.1</v>
      </c>
    </row>
    <row r="754" spans="1:12" x14ac:dyDescent="0.25">
      <c r="A754" t="s">
        <v>1287</v>
      </c>
      <c r="B754">
        <v>1531</v>
      </c>
      <c r="C754" t="s">
        <v>1292</v>
      </c>
      <c r="D754">
        <v>120</v>
      </c>
      <c r="E754" t="s">
        <v>1001</v>
      </c>
      <c r="F754" t="s">
        <v>1293</v>
      </c>
      <c r="G754">
        <v>0</v>
      </c>
      <c r="L754">
        <v>120.1</v>
      </c>
    </row>
    <row r="755" spans="1:12" x14ac:dyDescent="0.25">
      <c r="A755" t="s">
        <v>1287</v>
      </c>
      <c r="B755">
        <v>1552</v>
      </c>
      <c r="C755" t="s">
        <v>1292</v>
      </c>
      <c r="D755">
        <v>120</v>
      </c>
      <c r="E755" t="s">
        <v>1001</v>
      </c>
      <c r="F755" t="s">
        <v>1293</v>
      </c>
      <c r="G755">
        <v>0</v>
      </c>
      <c r="H755" t="s">
        <v>668</v>
      </c>
      <c r="L755">
        <v>120.1</v>
      </c>
    </row>
    <row r="756" spans="1:12" x14ac:dyDescent="0.25">
      <c r="A756" t="s">
        <v>1287</v>
      </c>
      <c r="B756">
        <v>1553</v>
      </c>
      <c r="C756" t="s">
        <v>1292</v>
      </c>
      <c r="D756">
        <v>120</v>
      </c>
      <c r="E756" t="s">
        <v>1001</v>
      </c>
      <c r="F756" t="s">
        <v>1293</v>
      </c>
      <c r="G756">
        <v>0</v>
      </c>
      <c r="H756" t="s">
        <v>668</v>
      </c>
      <c r="L756">
        <v>120.1</v>
      </c>
    </row>
    <row r="757" spans="1:12" x14ac:dyDescent="0.25">
      <c r="A757" t="s">
        <v>1287</v>
      </c>
      <c r="B757">
        <v>1531</v>
      </c>
      <c r="C757" t="s">
        <v>1292</v>
      </c>
      <c r="D757">
        <v>130</v>
      </c>
      <c r="E757" t="s">
        <v>1001</v>
      </c>
      <c r="F757" t="s">
        <v>1229</v>
      </c>
      <c r="G757">
        <v>0</v>
      </c>
      <c r="L757">
        <v>130.1</v>
      </c>
    </row>
    <row r="758" spans="1:12" x14ac:dyDescent="0.25">
      <c r="A758" t="s">
        <v>1287</v>
      </c>
      <c r="B758">
        <v>1533</v>
      </c>
      <c r="C758" t="s">
        <v>1292</v>
      </c>
      <c r="D758">
        <v>130</v>
      </c>
      <c r="E758" t="s">
        <v>1001</v>
      </c>
      <c r="F758" t="s">
        <v>1229</v>
      </c>
      <c r="G758">
        <v>0</v>
      </c>
      <c r="L758">
        <v>130.1</v>
      </c>
    </row>
    <row r="759" spans="1:12" x14ac:dyDescent="0.25">
      <c r="A759" t="s">
        <v>1287</v>
      </c>
      <c r="B759">
        <v>1551</v>
      </c>
      <c r="C759" t="s">
        <v>1292</v>
      </c>
      <c r="D759">
        <v>130</v>
      </c>
      <c r="E759" t="s">
        <v>1001</v>
      </c>
      <c r="F759" t="s">
        <v>1229</v>
      </c>
      <c r="G759">
        <v>1481982.9444571282</v>
      </c>
      <c r="H759" t="s">
        <v>668</v>
      </c>
      <c r="L759">
        <v>130.1</v>
      </c>
    </row>
    <row r="760" spans="1:12" x14ac:dyDescent="0.25">
      <c r="A760" t="s">
        <v>1287</v>
      </c>
      <c r="B760">
        <v>1552</v>
      </c>
      <c r="C760" t="s">
        <v>1292</v>
      </c>
      <c r="D760">
        <v>130</v>
      </c>
      <c r="E760" t="s">
        <v>1001</v>
      </c>
      <c r="F760" t="s">
        <v>1229</v>
      </c>
      <c r="G760">
        <v>2110892.075843784</v>
      </c>
      <c r="H760" t="s">
        <v>668</v>
      </c>
      <c r="L760">
        <v>130.1</v>
      </c>
    </row>
    <row r="761" spans="1:12" x14ac:dyDescent="0.25">
      <c r="A761" t="s">
        <v>1287</v>
      </c>
      <c r="B761">
        <v>1553</v>
      </c>
      <c r="C761" t="s">
        <v>1292</v>
      </c>
      <c r="D761">
        <v>130</v>
      </c>
      <c r="E761" t="s">
        <v>1001</v>
      </c>
      <c r="F761" t="s">
        <v>1229</v>
      </c>
      <c r="G761">
        <v>1176929.2373130596</v>
      </c>
      <c r="H761" t="s">
        <v>668</v>
      </c>
      <c r="L761">
        <v>130.1</v>
      </c>
    </row>
    <row r="762" spans="1:12" x14ac:dyDescent="0.25">
      <c r="A762" t="s">
        <v>1287</v>
      </c>
      <c r="B762">
        <v>1551</v>
      </c>
      <c r="C762" t="s">
        <v>1292</v>
      </c>
      <c r="D762">
        <v>430</v>
      </c>
      <c r="E762" t="s">
        <v>1005</v>
      </c>
      <c r="F762" t="s">
        <v>1245</v>
      </c>
      <c r="G762">
        <v>1200000</v>
      </c>
      <c r="H762" t="s">
        <v>668</v>
      </c>
      <c r="L762">
        <v>430.1</v>
      </c>
    </row>
    <row r="763" spans="1:12" x14ac:dyDescent="0.25">
      <c r="A763" t="s">
        <v>1287</v>
      </c>
      <c r="B763">
        <v>1551</v>
      </c>
      <c r="C763" t="s">
        <v>1292</v>
      </c>
      <c r="D763">
        <v>440</v>
      </c>
      <c r="E763" t="s">
        <v>1248</v>
      </c>
      <c r="F763" t="s">
        <v>1265</v>
      </c>
      <c r="G763">
        <v>996</v>
      </c>
      <c r="H763" t="s">
        <v>668</v>
      </c>
      <c r="L763">
        <v>440.1</v>
      </c>
    </row>
    <row r="764" spans="1:12" x14ac:dyDescent="0.25">
      <c r="A764" t="s">
        <v>1287</v>
      </c>
      <c r="B764">
        <v>1551</v>
      </c>
      <c r="C764" t="s">
        <v>1292</v>
      </c>
      <c r="D764">
        <v>445</v>
      </c>
      <c r="E764" t="s">
        <v>1248</v>
      </c>
      <c r="F764" t="s">
        <v>1271</v>
      </c>
      <c r="G764">
        <v>46080</v>
      </c>
      <c r="H764" t="s">
        <v>668</v>
      </c>
      <c r="L764">
        <v>445.1</v>
      </c>
    </row>
    <row r="765" spans="1:12" x14ac:dyDescent="0.25">
      <c r="A765" t="s">
        <v>1287</v>
      </c>
      <c r="B765">
        <v>1551</v>
      </c>
      <c r="C765" t="s">
        <v>1292</v>
      </c>
      <c r="D765">
        <v>470</v>
      </c>
      <c r="E765" t="s">
        <v>1005</v>
      </c>
      <c r="F765" t="s">
        <v>1247</v>
      </c>
      <c r="G765">
        <v>10700</v>
      </c>
      <c r="H765" t="s">
        <v>668</v>
      </c>
      <c r="L765">
        <v>470.1</v>
      </c>
    </row>
    <row r="766" spans="1:12" x14ac:dyDescent="0.25">
      <c r="A766" t="s">
        <v>1287</v>
      </c>
      <c r="B766">
        <v>1551</v>
      </c>
      <c r="C766" t="s">
        <v>1292</v>
      </c>
      <c r="D766">
        <v>510</v>
      </c>
      <c r="E766" t="s">
        <v>1008</v>
      </c>
      <c r="F766" t="s">
        <v>1231</v>
      </c>
      <c r="G766">
        <v>14008</v>
      </c>
      <c r="H766" t="s">
        <v>668</v>
      </c>
      <c r="L766">
        <v>510.1</v>
      </c>
    </row>
    <row r="767" spans="1:12" x14ac:dyDescent="0.25">
      <c r="A767" t="s">
        <v>1287</v>
      </c>
      <c r="B767">
        <v>1553</v>
      </c>
      <c r="C767" t="s">
        <v>1292</v>
      </c>
      <c r="D767">
        <v>510</v>
      </c>
      <c r="E767" t="s">
        <v>1008</v>
      </c>
      <c r="F767" t="s">
        <v>1231</v>
      </c>
      <c r="G767">
        <v>2000</v>
      </c>
      <c r="L767">
        <v>510.1</v>
      </c>
    </row>
    <row r="768" spans="1:12" x14ac:dyDescent="0.25">
      <c r="A768" t="s">
        <v>1287</v>
      </c>
      <c r="B768">
        <v>1533</v>
      </c>
      <c r="C768" t="s">
        <v>1292</v>
      </c>
      <c r="D768">
        <v>520</v>
      </c>
      <c r="E768" t="s">
        <v>1008</v>
      </c>
      <c r="F768" t="s">
        <v>1232</v>
      </c>
      <c r="G768">
        <v>0</v>
      </c>
      <c r="L768">
        <v>520.1</v>
      </c>
    </row>
    <row r="769" spans="1:12" x14ac:dyDescent="0.25">
      <c r="A769" t="s">
        <v>1287</v>
      </c>
      <c r="B769">
        <v>1551</v>
      </c>
      <c r="C769" t="s">
        <v>1292</v>
      </c>
      <c r="D769">
        <v>520</v>
      </c>
      <c r="E769" t="s">
        <v>1008</v>
      </c>
      <c r="F769" t="s">
        <v>1232</v>
      </c>
      <c r="G769">
        <v>96984</v>
      </c>
      <c r="H769" t="s">
        <v>668</v>
      </c>
      <c r="L769">
        <v>520.1</v>
      </c>
    </row>
    <row r="770" spans="1:12" x14ac:dyDescent="0.25">
      <c r="A770" t="s">
        <v>1287</v>
      </c>
      <c r="B770">
        <v>1552</v>
      </c>
      <c r="C770" t="s">
        <v>1292</v>
      </c>
      <c r="D770">
        <v>520</v>
      </c>
      <c r="E770" t="s">
        <v>1008</v>
      </c>
      <c r="F770" t="s">
        <v>1232</v>
      </c>
      <c r="G770">
        <v>10000</v>
      </c>
      <c r="H770" t="s">
        <v>668</v>
      </c>
      <c r="L770">
        <v>520.1</v>
      </c>
    </row>
    <row r="771" spans="1:12" x14ac:dyDescent="0.25">
      <c r="A771" t="s">
        <v>1287</v>
      </c>
      <c r="B771">
        <v>1553</v>
      </c>
      <c r="C771" t="s">
        <v>1292</v>
      </c>
      <c r="D771">
        <v>520</v>
      </c>
      <c r="E771" t="s">
        <v>1008</v>
      </c>
      <c r="F771" t="s">
        <v>1232</v>
      </c>
      <c r="G771">
        <v>3000</v>
      </c>
      <c r="H771" t="s">
        <v>668</v>
      </c>
      <c r="L771">
        <v>520.1</v>
      </c>
    </row>
    <row r="772" spans="1:12" x14ac:dyDescent="0.25">
      <c r="A772" t="s">
        <v>1287</v>
      </c>
      <c r="B772">
        <v>1551</v>
      </c>
      <c r="C772" t="s">
        <v>1292</v>
      </c>
      <c r="D772">
        <v>540</v>
      </c>
      <c r="E772" t="s">
        <v>1008</v>
      </c>
      <c r="F772" t="s">
        <v>1233</v>
      </c>
      <c r="G772">
        <v>26980</v>
      </c>
      <c r="H772" t="s">
        <v>668</v>
      </c>
      <c r="L772">
        <v>540.1</v>
      </c>
    </row>
    <row r="773" spans="1:12" x14ac:dyDescent="0.25">
      <c r="A773" t="s">
        <v>1287</v>
      </c>
      <c r="B773">
        <v>1552</v>
      </c>
      <c r="C773" t="s">
        <v>1292</v>
      </c>
      <c r="D773">
        <v>540</v>
      </c>
      <c r="E773" t="s">
        <v>1008</v>
      </c>
      <c r="F773" t="s">
        <v>1233</v>
      </c>
      <c r="G773">
        <v>0</v>
      </c>
      <c r="L773">
        <v>540.1</v>
      </c>
    </row>
    <row r="774" spans="1:12" x14ac:dyDescent="0.25">
      <c r="A774" t="s">
        <v>1287</v>
      </c>
      <c r="B774">
        <v>1552</v>
      </c>
      <c r="C774" t="s">
        <v>1292</v>
      </c>
      <c r="D774">
        <v>540</v>
      </c>
      <c r="E774" t="s">
        <v>1008</v>
      </c>
      <c r="F774" t="s">
        <v>1233</v>
      </c>
      <c r="G774">
        <v>10000</v>
      </c>
      <c r="L774">
        <v>540.1</v>
      </c>
    </row>
    <row r="775" spans="1:12" x14ac:dyDescent="0.25">
      <c r="A775" t="s">
        <v>1287</v>
      </c>
      <c r="B775">
        <v>1553</v>
      </c>
      <c r="C775" t="s">
        <v>1292</v>
      </c>
      <c r="D775">
        <v>540</v>
      </c>
      <c r="E775" t="s">
        <v>1008</v>
      </c>
      <c r="F775" t="s">
        <v>1233</v>
      </c>
      <c r="G775">
        <v>0</v>
      </c>
      <c r="L775">
        <v>540.1</v>
      </c>
    </row>
    <row r="776" spans="1:12" x14ac:dyDescent="0.25">
      <c r="A776" t="s">
        <v>1287</v>
      </c>
      <c r="B776">
        <v>1553</v>
      </c>
      <c r="C776" t="s">
        <v>1292</v>
      </c>
      <c r="D776">
        <v>540</v>
      </c>
      <c r="E776" t="s">
        <v>1008</v>
      </c>
      <c r="F776" t="s">
        <v>1233</v>
      </c>
      <c r="G776">
        <v>5000</v>
      </c>
      <c r="L776">
        <v>540.1</v>
      </c>
    </row>
    <row r="777" spans="1:12" x14ac:dyDescent="0.25">
      <c r="A777" t="s">
        <v>1287</v>
      </c>
      <c r="B777">
        <v>1551</v>
      </c>
      <c r="C777" t="s">
        <v>1292</v>
      </c>
      <c r="D777">
        <v>550</v>
      </c>
      <c r="E777" t="s">
        <v>1008</v>
      </c>
      <c r="F777" t="s">
        <v>1234</v>
      </c>
      <c r="G777">
        <v>1008</v>
      </c>
      <c r="H777" t="s">
        <v>668</v>
      </c>
      <c r="L777">
        <v>550.1</v>
      </c>
    </row>
    <row r="778" spans="1:12" x14ac:dyDescent="0.25">
      <c r="A778" t="s">
        <v>1287</v>
      </c>
      <c r="B778">
        <v>1551</v>
      </c>
      <c r="C778" t="s">
        <v>1292</v>
      </c>
      <c r="D778">
        <v>560</v>
      </c>
      <c r="E778" t="s">
        <v>1008</v>
      </c>
      <c r="F778" t="s">
        <v>1235</v>
      </c>
      <c r="G778">
        <v>0</v>
      </c>
      <c r="H778" t="s">
        <v>668</v>
      </c>
      <c r="L778">
        <v>560.1</v>
      </c>
    </row>
    <row r="779" spans="1:12" x14ac:dyDescent="0.25">
      <c r="A779" t="s">
        <v>1287</v>
      </c>
      <c r="B779">
        <v>1551</v>
      </c>
      <c r="C779" t="s">
        <v>1292</v>
      </c>
      <c r="D779">
        <v>580</v>
      </c>
      <c r="E779" t="s">
        <v>1008</v>
      </c>
      <c r="F779" t="s">
        <v>1236</v>
      </c>
      <c r="G779">
        <v>2004</v>
      </c>
      <c r="H779" t="s">
        <v>668</v>
      </c>
      <c r="L779">
        <v>580.1</v>
      </c>
    </row>
    <row r="780" spans="1:12" x14ac:dyDescent="0.25">
      <c r="A780" t="s">
        <v>1287</v>
      </c>
      <c r="B780">
        <v>1551</v>
      </c>
      <c r="C780" t="s">
        <v>1292</v>
      </c>
      <c r="D780">
        <v>610</v>
      </c>
      <c r="E780" t="s">
        <v>1010</v>
      </c>
      <c r="F780" t="s">
        <v>1237</v>
      </c>
      <c r="G780">
        <v>19976</v>
      </c>
      <c r="H780" t="s">
        <v>668</v>
      </c>
      <c r="L780">
        <v>610.1</v>
      </c>
    </row>
    <row r="781" spans="1:12" x14ac:dyDescent="0.25">
      <c r="A781" t="s">
        <v>1287</v>
      </c>
      <c r="B781">
        <v>1552</v>
      </c>
      <c r="C781" t="s">
        <v>1292</v>
      </c>
      <c r="D781">
        <v>610</v>
      </c>
      <c r="E781" t="s">
        <v>1010</v>
      </c>
      <c r="F781" t="s">
        <v>1237</v>
      </c>
      <c r="G781">
        <v>0</v>
      </c>
      <c r="H781" t="s">
        <v>668</v>
      </c>
      <c r="L781">
        <v>610.1</v>
      </c>
    </row>
    <row r="782" spans="1:12" x14ac:dyDescent="0.25">
      <c r="A782" t="s">
        <v>1287</v>
      </c>
      <c r="B782">
        <v>1553</v>
      </c>
      <c r="C782" t="s">
        <v>1292</v>
      </c>
      <c r="D782">
        <v>610</v>
      </c>
      <c r="E782" t="s">
        <v>1010</v>
      </c>
      <c r="F782" t="s">
        <v>1237</v>
      </c>
      <c r="G782">
        <v>3000</v>
      </c>
      <c r="H782" t="s">
        <v>668</v>
      </c>
      <c r="L782">
        <v>610.1</v>
      </c>
    </row>
    <row r="783" spans="1:12" x14ac:dyDescent="0.25">
      <c r="A783" t="s">
        <v>1287</v>
      </c>
      <c r="B783">
        <v>1533</v>
      </c>
      <c r="C783" t="s">
        <v>1292</v>
      </c>
      <c r="D783">
        <v>615</v>
      </c>
      <c r="E783" t="s">
        <v>1010</v>
      </c>
      <c r="F783" t="s">
        <v>1238</v>
      </c>
      <c r="G783">
        <v>0</v>
      </c>
      <c r="L783">
        <v>615.1</v>
      </c>
    </row>
    <row r="784" spans="1:12" x14ac:dyDescent="0.25">
      <c r="A784" t="s">
        <v>1287</v>
      </c>
      <c r="B784">
        <v>1551</v>
      </c>
      <c r="C784" t="s">
        <v>1292</v>
      </c>
      <c r="D784">
        <v>615</v>
      </c>
      <c r="E784" t="s">
        <v>1010</v>
      </c>
      <c r="F784" t="s">
        <v>1238</v>
      </c>
      <c r="G784">
        <v>0</v>
      </c>
      <c r="H784" t="s">
        <v>668</v>
      </c>
      <c r="L784">
        <v>615.1</v>
      </c>
    </row>
    <row r="785" spans="1:12" x14ac:dyDescent="0.25">
      <c r="A785" t="s">
        <v>1287</v>
      </c>
      <c r="B785">
        <v>1551</v>
      </c>
      <c r="C785" t="s">
        <v>1292</v>
      </c>
      <c r="D785">
        <v>620</v>
      </c>
      <c r="E785" t="s">
        <v>1010</v>
      </c>
      <c r="F785" t="s">
        <v>1239</v>
      </c>
      <c r="G785">
        <v>0</v>
      </c>
      <c r="H785" t="s">
        <v>668</v>
      </c>
      <c r="L785">
        <v>620.1</v>
      </c>
    </row>
    <row r="786" spans="1:12" x14ac:dyDescent="0.25">
      <c r="A786" t="s">
        <v>1287</v>
      </c>
      <c r="B786">
        <v>1551</v>
      </c>
      <c r="C786" t="s">
        <v>1292</v>
      </c>
      <c r="D786">
        <v>640</v>
      </c>
      <c r="E786" t="s">
        <v>1248</v>
      </c>
      <c r="F786" t="s">
        <v>1249</v>
      </c>
      <c r="G786">
        <v>0</v>
      </c>
      <c r="H786" t="s">
        <v>668</v>
      </c>
      <c r="L786">
        <v>640.1</v>
      </c>
    </row>
    <row r="787" spans="1:12" x14ac:dyDescent="0.25">
      <c r="A787" t="s">
        <v>1287</v>
      </c>
      <c r="B787">
        <v>1551</v>
      </c>
      <c r="C787" t="s">
        <v>1292</v>
      </c>
      <c r="D787">
        <v>655</v>
      </c>
      <c r="E787" t="s">
        <v>1010</v>
      </c>
      <c r="F787" t="s">
        <v>1240</v>
      </c>
      <c r="G787">
        <v>2004</v>
      </c>
      <c r="H787" t="s">
        <v>668</v>
      </c>
      <c r="L787">
        <v>655.1</v>
      </c>
    </row>
    <row r="788" spans="1:12" x14ac:dyDescent="0.25">
      <c r="A788" t="s">
        <v>1287</v>
      </c>
      <c r="B788">
        <v>1551</v>
      </c>
      <c r="C788" t="s">
        <v>1292</v>
      </c>
      <c r="D788">
        <v>670</v>
      </c>
      <c r="E788" t="s">
        <v>1010</v>
      </c>
      <c r="F788" t="s">
        <v>1242</v>
      </c>
      <c r="G788">
        <v>3000</v>
      </c>
      <c r="H788" t="s">
        <v>668</v>
      </c>
      <c r="L788">
        <v>670.1</v>
      </c>
    </row>
    <row r="789" spans="1:12" x14ac:dyDescent="0.25">
      <c r="A789" t="s">
        <v>1287</v>
      </c>
      <c r="B789">
        <v>1551</v>
      </c>
      <c r="C789" t="s">
        <v>1292</v>
      </c>
      <c r="D789">
        <v>710</v>
      </c>
      <c r="E789" t="s">
        <v>1012</v>
      </c>
      <c r="F789" t="s">
        <v>1243</v>
      </c>
      <c r="G789">
        <v>0</v>
      </c>
      <c r="L789">
        <v>710.1</v>
      </c>
    </row>
    <row r="790" spans="1:12" x14ac:dyDescent="0.25">
      <c r="A790" t="s">
        <v>1287</v>
      </c>
      <c r="B790">
        <v>1551</v>
      </c>
      <c r="C790" t="s">
        <v>1292</v>
      </c>
      <c r="D790">
        <v>710</v>
      </c>
      <c r="E790" t="s">
        <v>1012</v>
      </c>
      <c r="F790" t="s">
        <v>1243</v>
      </c>
      <c r="G790">
        <v>83000</v>
      </c>
      <c r="L790">
        <v>710.1</v>
      </c>
    </row>
    <row r="791" spans="1:12" x14ac:dyDescent="0.25">
      <c r="A791" t="s">
        <v>1219</v>
      </c>
      <c r="B791">
        <v>1611</v>
      </c>
      <c r="C791" t="s">
        <v>1295</v>
      </c>
      <c r="D791">
        <v>113</v>
      </c>
      <c r="E791" t="s">
        <v>1001</v>
      </c>
      <c r="F791" t="s">
        <v>1221</v>
      </c>
      <c r="G791">
        <v>0</v>
      </c>
      <c r="H791" t="s">
        <v>1222</v>
      </c>
      <c r="L791">
        <v>113.1</v>
      </c>
    </row>
    <row r="792" spans="1:12" x14ac:dyDescent="0.25">
      <c r="A792" t="s">
        <v>1219</v>
      </c>
      <c r="B792">
        <v>1621</v>
      </c>
      <c r="C792" t="s">
        <v>1295</v>
      </c>
      <c r="D792">
        <v>113</v>
      </c>
      <c r="E792" t="s">
        <v>1001</v>
      </c>
      <c r="F792" t="s">
        <v>1221</v>
      </c>
      <c r="G792">
        <v>0</v>
      </c>
      <c r="H792" t="s">
        <v>1222</v>
      </c>
      <c r="L792">
        <v>113.1</v>
      </c>
    </row>
    <row r="793" spans="1:12" x14ac:dyDescent="0.25">
      <c r="A793" t="s">
        <v>1219</v>
      </c>
      <c r="B793">
        <v>1631</v>
      </c>
      <c r="C793" t="s">
        <v>1295</v>
      </c>
      <c r="D793">
        <v>113</v>
      </c>
      <c r="E793" t="s">
        <v>1001</v>
      </c>
      <c r="F793" t="s">
        <v>1221</v>
      </c>
      <c r="G793">
        <v>29769.23</v>
      </c>
      <c r="H793" t="s">
        <v>1222</v>
      </c>
      <c r="L793">
        <v>113.1</v>
      </c>
    </row>
    <row r="794" spans="1:12" x14ac:dyDescent="0.25">
      <c r="A794" t="s">
        <v>1219</v>
      </c>
      <c r="B794">
        <v>1641</v>
      </c>
      <c r="C794" t="s">
        <v>1295</v>
      </c>
      <c r="D794">
        <v>113</v>
      </c>
      <c r="E794" t="s">
        <v>1001</v>
      </c>
      <c r="F794" t="s">
        <v>1221</v>
      </c>
      <c r="G794">
        <v>2942.31</v>
      </c>
      <c r="H794" t="s">
        <v>1222</v>
      </c>
      <c r="L794">
        <v>113.1</v>
      </c>
    </row>
    <row r="795" spans="1:12" x14ac:dyDescent="0.25">
      <c r="A795" t="s">
        <v>1219</v>
      </c>
      <c r="B795">
        <v>1651</v>
      </c>
      <c r="C795" t="s">
        <v>1295</v>
      </c>
      <c r="D795">
        <v>113</v>
      </c>
      <c r="E795" t="s">
        <v>1001</v>
      </c>
      <c r="F795" t="s">
        <v>1221</v>
      </c>
      <c r="G795">
        <v>0</v>
      </c>
      <c r="H795" t="s">
        <v>1222</v>
      </c>
      <c r="L795">
        <v>113.1</v>
      </c>
    </row>
    <row r="796" spans="1:12" x14ac:dyDescent="0.25">
      <c r="A796" t="s">
        <v>1219</v>
      </c>
      <c r="B796">
        <v>1611</v>
      </c>
      <c r="C796" t="s">
        <v>1295</v>
      </c>
      <c r="D796">
        <v>115</v>
      </c>
      <c r="E796" t="s">
        <v>1001</v>
      </c>
      <c r="F796" t="s">
        <v>1224</v>
      </c>
      <c r="G796">
        <v>122521.88</v>
      </c>
      <c r="H796" t="s">
        <v>682</v>
      </c>
      <c r="L796">
        <v>115.1</v>
      </c>
    </row>
    <row r="797" spans="1:12" x14ac:dyDescent="0.25">
      <c r="A797" t="s">
        <v>1219</v>
      </c>
      <c r="B797">
        <v>1621</v>
      </c>
      <c r="C797" t="s">
        <v>1295</v>
      </c>
      <c r="D797">
        <v>115</v>
      </c>
      <c r="E797" t="s">
        <v>1001</v>
      </c>
      <c r="F797" t="s">
        <v>1224</v>
      </c>
      <c r="G797">
        <v>37572</v>
      </c>
      <c r="H797" t="s">
        <v>682</v>
      </c>
      <c r="L797">
        <v>115.1</v>
      </c>
    </row>
    <row r="798" spans="1:12" x14ac:dyDescent="0.25">
      <c r="A798" t="s">
        <v>1219</v>
      </c>
      <c r="B798">
        <v>1631</v>
      </c>
      <c r="C798" t="s">
        <v>1295</v>
      </c>
      <c r="D798">
        <v>115</v>
      </c>
      <c r="E798" t="s">
        <v>1001</v>
      </c>
      <c r="F798" t="s">
        <v>1224</v>
      </c>
      <c r="G798">
        <v>216931.57</v>
      </c>
      <c r="H798" t="s">
        <v>682</v>
      </c>
      <c r="L798">
        <v>115.1</v>
      </c>
    </row>
    <row r="799" spans="1:12" x14ac:dyDescent="0.25">
      <c r="A799" t="s">
        <v>1219</v>
      </c>
      <c r="B799">
        <v>1641</v>
      </c>
      <c r="C799" t="s">
        <v>1295</v>
      </c>
      <c r="D799">
        <v>115</v>
      </c>
      <c r="E799" t="s">
        <v>1001</v>
      </c>
      <c r="F799" t="s">
        <v>1224</v>
      </c>
      <c r="G799">
        <v>122530.4</v>
      </c>
      <c r="H799" t="s">
        <v>682</v>
      </c>
      <c r="L799">
        <v>115.1</v>
      </c>
    </row>
    <row r="800" spans="1:12" x14ac:dyDescent="0.25">
      <c r="A800" t="s">
        <v>1219</v>
      </c>
      <c r="B800">
        <v>1651</v>
      </c>
      <c r="C800" t="s">
        <v>1295</v>
      </c>
      <c r="D800">
        <v>115</v>
      </c>
      <c r="E800" t="s">
        <v>1001</v>
      </c>
      <c r="F800" t="s">
        <v>1224</v>
      </c>
      <c r="G800">
        <v>24000</v>
      </c>
      <c r="H800" t="s">
        <v>682</v>
      </c>
      <c r="L800">
        <v>115.1</v>
      </c>
    </row>
    <row r="801" spans="1:12" x14ac:dyDescent="0.25">
      <c r="A801" t="s">
        <v>1219</v>
      </c>
      <c r="B801">
        <v>1611</v>
      </c>
      <c r="C801" t="s">
        <v>1295</v>
      </c>
      <c r="D801">
        <v>116</v>
      </c>
      <c r="E801" t="s">
        <v>1001</v>
      </c>
      <c r="F801" t="s">
        <v>1225</v>
      </c>
      <c r="G801">
        <v>0</v>
      </c>
      <c r="H801" t="s">
        <v>682</v>
      </c>
      <c r="L801">
        <v>116.1</v>
      </c>
    </row>
    <row r="802" spans="1:12" x14ac:dyDescent="0.25">
      <c r="A802" t="s">
        <v>1219</v>
      </c>
      <c r="B802">
        <v>1631</v>
      </c>
      <c r="C802" t="s">
        <v>1295</v>
      </c>
      <c r="D802">
        <v>116</v>
      </c>
      <c r="E802" t="s">
        <v>1001</v>
      </c>
      <c r="F802" t="s">
        <v>1225</v>
      </c>
      <c r="G802">
        <v>0</v>
      </c>
      <c r="H802" t="s">
        <v>682</v>
      </c>
      <c r="L802">
        <v>116.1</v>
      </c>
    </row>
    <row r="803" spans="1:12" x14ac:dyDescent="0.25">
      <c r="A803" t="s">
        <v>1219</v>
      </c>
      <c r="B803">
        <v>1611</v>
      </c>
      <c r="C803" t="s">
        <v>1295</v>
      </c>
      <c r="D803">
        <v>130</v>
      </c>
      <c r="E803" t="s">
        <v>1001</v>
      </c>
      <c r="F803" t="s">
        <v>1229</v>
      </c>
      <c r="G803">
        <v>350080.98147076846</v>
      </c>
      <c r="H803" t="s">
        <v>682</v>
      </c>
      <c r="L803">
        <v>130.1</v>
      </c>
    </row>
    <row r="804" spans="1:12" x14ac:dyDescent="0.25">
      <c r="A804" t="s">
        <v>1219</v>
      </c>
      <c r="B804">
        <v>1621</v>
      </c>
      <c r="C804" t="s">
        <v>1295</v>
      </c>
      <c r="D804">
        <v>130</v>
      </c>
      <c r="E804" t="s">
        <v>1001</v>
      </c>
      <c r="F804" t="s">
        <v>1229</v>
      </c>
      <c r="G804">
        <v>315436.66277002788</v>
      </c>
      <c r="H804" t="s">
        <v>682</v>
      </c>
      <c r="L804">
        <v>130.1</v>
      </c>
    </row>
    <row r="805" spans="1:12" x14ac:dyDescent="0.25">
      <c r="A805" t="s">
        <v>1219</v>
      </c>
      <c r="B805">
        <v>1631</v>
      </c>
      <c r="C805" t="s">
        <v>1295</v>
      </c>
      <c r="D805">
        <v>130</v>
      </c>
      <c r="E805" t="s">
        <v>1001</v>
      </c>
      <c r="F805" t="s">
        <v>1229</v>
      </c>
      <c r="G805">
        <v>1898456.5620227372</v>
      </c>
      <c r="H805" t="s">
        <v>682</v>
      </c>
      <c r="L805">
        <v>130.1</v>
      </c>
    </row>
    <row r="806" spans="1:12" x14ac:dyDescent="0.25">
      <c r="A806" t="s">
        <v>1219</v>
      </c>
      <c r="B806">
        <v>1641</v>
      </c>
      <c r="C806" t="s">
        <v>1295</v>
      </c>
      <c r="D806">
        <v>130</v>
      </c>
      <c r="E806" t="s">
        <v>1001</v>
      </c>
      <c r="F806" t="s">
        <v>1229</v>
      </c>
      <c r="G806">
        <v>1035300.9957250252</v>
      </c>
      <c r="H806" t="s">
        <v>682</v>
      </c>
      <c r="L806">
        <v>130.1</v>
      </c>
    </row>
    <row r="807" spans="1:12" x14ac:dyDescent="0.25">
      <c r="A807" t="s">
        <v>1219</v>
      </c>
      <c r="B807">
        <v>1651</v>
      </c>
      <c r="C807" t="s">
        <v>1295</v>
      </c>
      <c r="D807">
        <v>130</v>
      </c>
      <c r="E807" t="s">
        <v>1001</v>
      </c>
      <c r="F807" t="s">
        <v>1229</v>
      </c>
      <c r="G807">
        <v>161142.611887626</v>
      </c>
      <c r="H807" t="s">
        <v>682</v>
      </c>
      <c r="L807">
        <v>130.1</v>
      </c>
    </row>
    <row r="808" spans="1:12" x14ac:dyDescent="0.25">
      <c r="A808" t="s">
        <v>1230</v>
      </c>
      <c r="B808">
        <v>1631</v>
      </c>
      <c r="C808" t="s">
        <v>1295</v>
      </c>
      <c r="D808">
        <v>130</v>
      </c>
      <c r="E808" t="s">
        <v>1001</v>
      </c>
      <c r="F808" t="s">
        <v>1229</v>
      </c>
      <c r="G808">
        <v>0</v>
      </c>
      <c r="L808">
        <v>130.1</v>
      </c>
    </row>
    <row r="809" spans="1:12" x14ac:dyDescent="0.25">
      <c r="A809" t="s">
        <v>1230</v>
      </c>
      <c r="B809">
        <v>1611</v>
      </c>
      <c r="C809" t="s">
        <v>1295</v>
      </c>
      <c r="D809">
        <v>510</v>
      </c>
      <c r="E809" t="s">
        <v>1008</v>
      </c>
      <c r="F809" t="s">
        <v>1231</v>
      </c>
      <c r="G809">
        <v>4260</v>
      </c>
      <c r="H809" t="s">
        <v>683</v>
      </c>
      <c r="L809">
        <v>510.1</v>
      </c>
    </row>
    <row r="810" spans="1:12" x14ac:dyDescent="0.25">
      <c r="A810" t="s">
        <v>1230</v>
      </c>
      <c r="B810">
        <v>1621</v>
      </c>
      <c r="C810" t="s">
        <v>1295</v>
      </c>
      <c r="D810">
        <v>510</v>
      </c>
      <c r="E810" t="s">
        <v>1008</v>
      </c>
      <c r="F810" t="s">
        <v>1231</v>
      </c>
      <c r="G810">
        <v>0</v>
      </c>
      <c r="H810" t="s">
        <v>683</v>
      </c>
      <c r="L810">
        <v>510.1</v>
      </c>
    </row>
    <row r="811" spans="1:12" x14ac:dyDescent="0.25">
      <c r="A811" t="s">
        <v>1230</v>
      </c>
      <c r="B811">
        <v>1631</v>
      </c>
      <c r="C811" t="s">
        <v>1295</v>
      </c>
      <c r="D811">
        <v>510</v>
      </c>
      <c r="E811" t="s">
        <v>1008</v>
      </c>
      <c r="F811" t="s">
        <v>1231</v>
      </c>
      <c r="G811">
        <v>12386</v>
      </c>
      <c r="H811" t="s">
        <v>683</v>
      </c>
      <c r="L811">
        <v>510.1</v>
      </c>
    </row>
    <row r="812" spans="1:12" x14ac:dyDescent="0.25">
      <c r="A812" t="s">
        <v>1230</v>
      </c>
      <c r="B812">
        <v>1641</v>
      </c>
      <c r="C812" t="s">
        <v>1295</v>
      </c>
      <c r="D812">
        <v>510</v>
      </c>
      <c r="E812" t="s">
        <v>1008</v>
      </c>
      <c r="F812" t="s">
        <v>1231</v>
      </c>
      <c r="G812">
        <v>0</v>
      </c>
      <c r="H812" t="s">
        <v>683</v>
      </c>
      <c r="L812">
        <v>510.1</v>
      </c>
    </row>
    <row r="813" spans="1:12" x14ac:dyDescent="0.25">
      <c r="A813" t="s">
        <v>1230</v>
      </c>
      <c r="B813">
        <v>1651</v>
      </c>
      <c r="C813" t="s">
        <v>1295</v>
      </c>
      <c r="D813">
        <v>510</v>
      </c>
      <c r="E813" t="s">
        <v>1008</v>
      </c>
      <c r="F813" t="s">
        <v>1231</v>
      </c>
      <c r="G813">
        <v>1700</v>
      </c>
      <c r="L813">
        <v>510.1</v>
      </c>
    </row>
    <row r="814" spans="1:12" x14ac:dyDescent="0.25">
      <c r="A814" t="s">
        <v>1230</v>
      </c>
      <c r="B814">
        <v>1611</v>
      </c>
      <c r="C814" t="s">
        <v>1295</v>
      </c>
      <c r="D814">
        <v>520</v>
      </c>
      <c r="E814" t="s">
        <v>1008</v>
      </c>
      <c r="F814" t="s">
        <v>1232</v>
      </c>
      <c r="G814">
        <v>20440</v>
      </c>
      <c r="H814" t="s">
        <v>683</v>
      </c>
      <c r="L814">
        <v>520.1</v>
      </c>
    </row>
    <row r="815" spans="1:12" x14ac:dyDescent="0.25">
      <c r="A815" t="s">
        <v>1230</v>
      </c>
      <c r="B815">
        <v>1621</v>
      </c>
      <c r="C815" t="s">
        <v>1295</v>
      </c>
      <c r="D815">
        <v>520</v>
      </c>
      <c r="E815" t="s">
        <v>1008</v>
      </c>
      <c r="F815" t="s">
        <v>1232</v>
      </c>
      <c r="G815">
        <v>15000</v>
      </c>
      <c r="H815" t="s">
        <v>683</v>
      </c>
      <c r="L815">
        <v>520.1</v>
      </c>
    </row>
    <row r="816" spans="1:12" x14ac:dyDescent="0.25">
      <c r="A816" t="s">
        <v>1230</v>
      </c>
      <c r="B816">
        <v>1631</v>
      </c>
      <c r="C816" t="s">
        <v>1295</v>
      </c>
      <c r="D816">
        <v>520</v>
      </c>
      <c r="E816" t="s">
        <v>1008</v>
      </c>
      <c r="F816" t="s">
        <v>1232</v>
      </c>
      <c r="G816">
        <v>72000</v>
      </c>
      <c r="H816" t="s">
        <v>683</v>
      </c>
      <c r="L816">
        <v>520.1</v>
      </c>
    </row>
    <row r="817" spans="1:12" x14ac:dyDescent="0.25">
      <c r="A817" t="s">
        <v>1230</v>
      </c>
      <c r="B817">
        <v>1641</v>
      </c>
      <c r="C817" t="s">
        <v>1295</v>
      </c>
      <c r="D817">
        <v>520</v>
      </c>
      <c r="E817" t="s">
        <v>1008</v>
      </c>
      <c r="F817" t="s">
        <v>1232</v>
      </c>
      <c r="G817">
        <v>30000</v>
      </c>
      <c r="H817" t="s">
        <v>683</v>
      </c>
      <c r="L817">
        <v>520.1</v>
      </c>
    </row>
    <row r="818" spans="1:12" x14ac:dyDescent="0.25">
      <c r="A818" t="s">
        <v>1230</v>
      </c>
      <c r="B818">
        <v>1651</v>
      </c>
      <c r="C818" t="s">
        <v>1295</v>
      </c>
      <c r="D818">
        <v>520</v>
      </c>
      <c r="E818" t="s">
        <v>1008</v>
      </c>
      <c r="F818" t="s">
        <v>1232</v>
      </c>
      <c r="G818">
        <v>60000</v>
      </c>
      <c r="H818" t="s">
        <v>683</v>
      </c>
      <c r="L818">
        <v>520.1</v>
      </c>
    </row>
    <row r="819" spans="1:12" x14ac:dyDescent="0.25">
      <c r="A819" t="s">
        <v>1230</v>
      </c>
      <c r="B819">
        <v>1611</v>
      </c>
      <c r="C819" t="s">
        <v>1295</v>
      </c>
      <c r="D819">
        <v>540</v>
      </c>
      <c r="E819" t="s">
        <v>1008</v>
      </c>
      <c r="F819" t="s">
        <v>1233</v>
      </c>
      <c r="G819">
        <v>4500</v>
      </c>
      <c r="H819" t="s">
        <v>683</v>
      </c>
      <c r="L819">
        <v>540.1</v>
      </c>
    </row>
    <row r="820" spans="1:12" x14ac:dyDescent="0.25">
      <c r="A820" t="s">
        <v>1230</v>
      </c>
      <c r="B820">
        <v>1621</v>
      </c>
      <c r="C820" t="s">
        <v>1295</v>
      </c>
      <c r="D820">
        <v>540</v>
      </c>
      <c r="E820" t="s">
        <v>1008</v>
      </c>
      <c r="F820" t="s">
        <v>1233</v>
      </c>
      <c r="G820">
        <v>9000</v>
      </c>
      <c r="H820" t="s">
        <v>683</v>
      </c>
      <c r="L820">
        <v>540.1</v>
      </c>
    </row>
    <row r="821" spans="1:12" x14ac:dyDescent="0.25">
      <c r="A821" t="s">
        <v>1230</v>
      </c>
      <c r="B821">
        <v>1631</v>
      </c>
      <c r="C821" t="s">
        <v>1295</v>
      </c>
      <c r="D821">
        <v>540</v>
      </c>
      <c r="E821" t="s">
        <v>1008</v>
      </c>
      <c r="F821" t="s">
        <v>1233</v>
      </c>
      <c r="G821">
        <v>54000</v>
      </c>
      <c r="H821" t="s">
        <v>683</v>
      </c>
      <c r="L821">
        <v>540.1</v>
      </c>
    </row>
    <row r="822" spans="1:12" x14ac:dyDescent="0.25">
      <c r="A822" t="s">
        <v>1230</v>
      </c>
      <c r="B822">
        <v>1641</v>
      </c>
      <c r="C822" t="s">
        <v>1295</v>
      </c>
      <c r="D822">
        <v>540</v>
      </c>
      <c r="E822" t="s">
        <v>1008</v>
      </c>
      <c r="F822" t="s">
        <v>1233</v>
      </c>
      <c r="G822">
        <v>24000</v>
      </c>
      <c r="H822" t="s">
        <v>683</v>
      </c>
      <c r="L822">
        <v>540.1</v>
      </c>
    </row>
    <row r="823" spans="1:12" x14ac:dyDescent="0.25">
      <c r="A823" t="s">
        <v>1230</v>
      </c>
      <c r="B823">
        <v>1651</v>
      </c>
      <c r="C823" t="s">
        <v>1295</v>
      </c>
      <c r="D823">
        <v>540</v>
      </c>
      <c r="E823" t="s">
        <v>1008</v>
      </c>
      <c r="F823" t="s">
        <v>1233</v>
      </c>
      <c r="G823">
        <v>6000</v>
      </c>
      <c r="L823">
        <v>540.1</v>
      </c>
    </row>
    <row r="824" spans="1:12" x14ac:dyDescent="0.25">
      <c r="A824" t="s">
        <v>1230</v>
      </c>
      <c r="B824">
        <v>1611</v>
      </c>
      <c r="C824" t="s">
        <v>1295</v>
      </c>
      <c r="D824">
        <v>550</v>
      </c>
      <c r="E824" t="s">
        <v>1008</v>
      </c>
      <c r="F824" t="s">
        <v>1234</v>
      </c>
      <c r="G824">
        <v>500</v>
      </c>
      <c r="H824" t="s">
        <v>683</v>
      </c>
      <c r="L824">
        <v>550.1</v>
      </c>
    </row>
    <row r="825" spans="1:12" x14ac:dyDescent="0.25">
      <c r="A825" t="s">
        <v>1230</v>
      </c>
      <c r="B825">
        <v>1621</v>
      </c>
      <c r="C825" t="s">
        <v>1295</v>
      </c>
      <c r="D825">
        <v>550</v>
      </c>
      <c r="E825" t="s">
        <v>1008</v>
      </c>
      <c r="F825" t="s">
        <v>1234</v>
      </c>
      <c r="G825">
        <v>1500</v>
      </c>
      <c r="H825" t="s">
        <v>683</v>
      </c>
      <c r="L825">
        <v>550.1</v>
      </c>
    </row>
    <row r="826" spans="1:12" x14ac:dyDescent="0.25">
      <c r="A826" t="s">
        <v>1230</v>
      </c>
      <c r="B826">
        <v>1631</v>
      </c>
      <c r="C826" t="s">
        <v>1295</v>
      </c>
      <c r="D826">
        <v>550</v>
      </c>
      <c r="E826" t="s">
        <v>1008</v>
      </c>
      <c r="F826" t="s">
        <v>1234</v>
      </c>
      <c r="G826">
        <v>0</v>
      </c>
      <c r="H826" t="s">
        <v>683</v>
      </c>
      <c r="L826">
        <v>550.1</v>
      </c>
    </row>
    <row r="827" spans="1:12" x14ac:dyDescent="0.25">
      <c r="A827" t="s">
        <v>1230</v>
      </c>
      <c r="B827">
        <v>1641</v>
      </c>
      <c r="C827" t="s">
        <v>1295</v>
      </c>
      <c r="D827">
        <v>550</v>
      </c>
      <c r="E827" t="s">
        <v>1008</v>
      </c>
      <c r="F827" t="s">
        <v>1234</v>
      </c>
      <c r="G827">
        <v>3500</v>
      </c>
      <c r="H827" t="s">
        <v>683</v>
      </c>
      <c r="L827">
        <v>550.1</v>
      </c>
    </row>
    <row r="828" spans="1:12" x14ac:dyDescent="0.25">
      <c r="A828" t="s">
        <v>1230</v>
      </c>
      <c r="B828">
        <v>1651</v>
      </c>
      <c r="C828" t="s">
        <v>1295</v>
      </c>
      <c r="D828">
        <v>550</v>
      </c>
      <c r="E828" t="s">
        <v>1008</v>
      </c>
      <c r="F828" t="s">
        <v>1234</v>
      </c>
      <c r="G828">
        <v>0</v>
      </c>
      <c r="H828" t="s">
        <v>683</v>
      </c>
      <c r="L828">
        <v>550.1</v>
      </c>
    </row>
    <row r="829" spans="1:12" x14ac:dyDescent="0.25">
      <c r="A829" t="s">
        <v>1230</v>
      </c>
      <c r="B829">
        <v>1611</v>
      </c>
      <c r="C829" t="s">
        <v>1295</v>
      </c>
      <c r="D829">
        <v>560</v>
      </c>
      <c r="E829" t="s">
        <v>1008</v>
      </c>
      <c r="F829" t="s">
        <v>1235</v>
      </c>
      <c r="G829">
        <v>0</v>
      </c>
      <c r="H829" t="s">
        <v>683</v>
      </c>
      <c r="L829">
        <v>560.1</v>
      </c>
    </row>
    <row r="830" spans="1:12" x14ac:dyDescent="0.25">
      <c r="A830" t="s">
        <v>1230</v>
      </c>
      <c r="B830">
        <v>1621</v>
      </c>
      <c r="C830" t="s">
        <v>1295</v>
      </c>
      <c r="D830">
        <v>560</v>
      </c>
      <c r="E830" t="s">
        <v>1008</v>
      </c>
      <c r="F830" t="s">
        <v>1235</v>
      </c>
      <c r="G830">
        <v>0</v>
      </c>
      <c r="H830" t="s">
        <v>683</v>
      </c>
      <c r="L830">
        <v>560.1</v>
      </c>
    </row>
    <row r="831" spans="1:12" x14ac:dyDescent="0.25">
      <c r="A831" t="s">
        <v>1230</v>
      </c>
      <c r="B831">
        <v>1631</v>
      </c>
      <c r="C831" t="s">
        <v>1295</v>
      </c>
      <c r="D831">
        <v>560</v>
      </c>
      <c r="E831" t="s">
        <v>1008</v>
      </c>
      <c r="F831" t="s">
        <v>1235</v>
      </c>
      <c r="G831">
        <v>2500</v>
      </c>
      <c r="H831" t="s">
        <v>683</v>
      </c>
      <c r="L831">
        <v>560.1</v>
      </c>
    </row>
    <row r="832" spans="1:12" x14ac:dyDescent="0.25">
      <c r="A832" t="s">
        <v>1230</v>
      </c>
      <c r="B832">
        <v>1641</v>
      </c>
      <c r="C832" t="s">
        <v>1295</v>
      </c>
      <c r="D832">
        <v>560</v>
      </c>
      <c r="E832" t="s">
        <v>1008</v>
      </c>
      <c r="F832" t="s">
        <v>1235</v>
      </c>
      <c r="G832">
        <v>0</v>
      </c>
      <c r="H832" t="s">
        <v>683</v>
      </c>
      <c r="L832">
        <v>560.1</v>
      </c>
    </row>
    <row r="833" spans="1:12" x14ac:dyDescent="0.25">
      <c r="A833" t="s">
        <v>1230</v>
      </c>
      <c r="B833">
        <v>1631</v>
      </c>
      <c r="C833" t="s">
        <v>1295</v>
      </c>
      <c r="D833">
        <v>570</v>
      </c>
      <c r="E833" t="s">
        <v>1008</v>
      </c>
      <c r="F833" t="s">
        <v>1272</v>
      </c>
      <c r="G833">
        <v>0</v>
      </c>
      <c r="L833">
        <v>570.1</v>
      </c>
    </row>
    <row r="834" spans="1:12" x14ac:dyDescent="0.25">
      <c r="A834" t="s">
        <v>1230</v>
      </c>
      <c r="B834">
        <v>1641</v>
      </c>
      <c r="C834" t="s">
        <v>1295</v>
      </c>
      <c r="D834">
        <v>570</v>
      </c>
      <c r="E834" t="s">
        <v>1008</v>
      </c>
      <c r="F834" t="s">
        <v>1272</v>
      </c>
      <c r="G834">
        <v>6000</v>
      </c>
      <c r="H834" t="s">
        <v>683</v>
      </c>
      <c r="L834">
        <v>570.1</v>
      </c>
    </row>
    <row r="835" spans="1:12" x14ac:dyDescent="0.25">
      <c r="A835" t="s">
        <v>1230</v>
      </c>
      <c r="B835">
        <v>1611</v>
      </c>
      <c r="C835" t="s">
        <v>1295</v>
      </c>
      <c r="D835">
        <v>580</v>
      </c>
      <c r="E835" t="s">
        <v>1008</v>
      </c>
      <c r="F835" t="s">
        <v>1236</v>
      </c>
      <c r="G835">
        <v>7800</v>
      </c>
      <c r="H835" t="s">
        <v>683</v>
      </c>
      <c r="L835">
        <v>580.1</v>
      </c>
    </row>
    <row r="836" spans="1:12" x14ac:dyDescent="0.25">
      <c r="A836" t="s">
        <v>1230</v>
      </c>
      <c r="B836">
        <v>1621</v>
      </c>
      <c r="C836" t="s">
        <v>1295</v>
      </c>
      <c r="D836">
        <v>580</v>
      </c>
      <c r="E836" t="s">
        <v>1008</v>
      </c>
      <c r="F836" t="s">
        <v>1236</v>
      </c>
      <c r="G836">
        <v>4000</v>
      </c>
      <c r="H836" t="s">
        <v>683</v>
      </c>
      <c r="L836">
        <v>580.1</v>
      </c>
    </row>
    <row r="837" spans="1:12" x14ac:dyDescent="0.25">
      <c r="A837" t="s">
        <v>1230</v>
      </c>
      <c r="B837">
        <v>1631</v>
      </c>
      <c r="C837" t="s">
        <v>1295</v>
      </c>
      <c r="D837">
        <v>580</v>
      </c>
      <c r="E837" t="s">
        <v>1008</v>
      </c>
      <c r="F837" t="s">
        <v>1236</v>
      </c>
      <c r="G837">
        <v>4500</v>
      </c>
      <c r="H837" t="s">
        <v>683</v>
      </c>
      <c r="L837">
        <v>580.1</v>
      </c>
    </row>
    <row r="838" spans="1:12" x14ac:dyDescent="0.25">
      <c r="A838" t="s">
        <v>1230</v>
      </c>
      <c r="B838">
        <v>1641</v>
      </c>
      <c r="C838" t="s">
        <v>1295</v>
      </c>
      <c r="D838">
        <v>580</v>
      </c>
      <c r="E838" t="s">
        <v>1008</v>
      </c>
      <c r="F838" t="s">
        <v>1236</v>
      </c>
      <c r="G838">
        <v>0</v>
      </c>
      <c r="H838" t="s">
        <v>683</v>
      </c>
      <c r="L838">
        <v>580.1</v>
      </c>
    </row>
    <row r="839" spans="1:12" x14ac:dyDescent="0.25">
      <c r="A839" t="s">
        <v>1230</v>
      </c>
      <c r="B839">
        <v>1611</v>
      </c>
      <c r="C839" t="s">
        <v>1295</v>
      </c>
      <c r="D839">
        <v>610</v>
      </c>
      <c r="E839" t="s">
        <v>1010</v>
      </c>
      <c r="F839" t="s">
        <v>1237</v>
      </c>
      <c r="G839">
        <v>1500</v>
      </c>
      <c r="H839" t="s">
        <v>683</v>
      </c>
      <c r="L839">
        <v>610.1</v>
      </c>
    </row>
    <row r="840" spans="1:12" x14ac:dyDescent="0.25">
      <c r="A840" t="s">
        <v>1230</v>
      </c>
      <c r="B840">
        <v>1621</v>
      </c>
      <c r="C840" t="s">
        <v>1295</v>
      </c>
      <c r="D840">
        <v>610</v>
      </c>
      <c r="E840" t="s">
        <v>1010</v>
      </c>
      <c r="F840" t="s">
        <v>1237</v>
      </c>
      <c r="G840">
        <v>3000</v>
      </c>
      <c r="H840" t="s">
        <v>683</v>
      </c>
      <c r="L840">
        <v>610.1</v>
      </c>
    </row>
    <row r="841" spans="1:12" x14ac:dyDescent="0.25">
      <c r="A841" t="s">
        <v>1230</v>
      </c>
      <c r="B841">
        <v>1631</v>
      </c>
      <c r="C841" t="s">
        <v>1295</v>
      </c>
      <c r="D841">
        <v>610</v>
      </c>
      <c r="E841" t="s">
        <v>1010</v>
      </c>
      <c r="F841" t="s">
        <v>1237</v>
      </c>
      <c r="G841">
        <v>18000</v>
      </c>
      <c r="H841" t="s">
        <v>683</v>
      </c>
      <c r="L841">
        <v>610.1</v>
      </c>
    </row>
    <row r="842" spans="1:12" x14ac:dyDescent="0.25">
      <c r="A842" t="s">
        <v>1230</v>
      </c>
      <c r="B842">
        <v>1641</v>
      </c>
      <c r="C842" t="s">
        <v>1295</v>
      </c>
      <c r="D842">
        <v>610</v>
      </c>
      <c r="E842" t="s">
        <v>1010</v>
      </c>
      <c r="F842" t="s">
        <v>1237</v>
      </c>
      <c r="G842">
        <v>8000</v>
      </c>
      <c r="H842" t="s">
        <v>683</v>
      </c>
      <c r="L842">
        <v>610.1</v>
      </c>
    </row>
    <row r="843" spans="1:12" x14ac:dyDescent="0.25">
      <c r="A843" t="s">
        <v>1230</v>
      </c>
      <c r="B843">
        <v>1651</v>
      </c>
      <c r="C843" t="s">
        <v>1295</v>
      </c>
      <c r="D843">
        <v>610</v>
      </c>
      <c r="E843" t="s">
        <v>1010</v>
      </c>
      <c r="F843" t="s">
        <v>1237</v>
      </c>
      <c r="G843">
        <v>6246</v>
      </c>
      <c r="H843" t="s">
        <v>683</v>
      </c>
      <c r="L843">
        <v>610.1</v>
      </c>
    </row>
    <row r="844" spans="1:12" x14ac:dyDescent="0.25">
      <c r="A844" t="s">
        <v>1230</v>
      </c>
      <c r="B844">
        <v>1611</v>
      </c>
      <c r="C844" t="s">
        <v>1295</v>
      </c>
      <c r="D844">
        <v>615</v>
      </c>
      <c r="E844" t="s">
        <v>1010</v>
      </c>
      <c r="F844" t="s">
        <v>1238</v>
      </c>
      <c r="G844">
        <v>0</v>
      </c>
      <c r="H844" t="s">
        <v>683</v>
      </c>
      <c r="L844">
        <v>615.1</v>
      </c>
    </row>
    <row r="845" spans="1:12" x14ac:dyDescent="0.25">
      <c r="A845" t="s">
        <v>1230</v>
      </c>
      <c r="B845">
        <v>1621</v>
      </c>
      <c r="C845" t="s">
        <v>1295</v>
      </c>
      <c r="D845">
        <v>615</v>
      </c>
      <c r="E845" t="s">
        <v>1010</v>
      </c>
      <c r="F845" t="s">
        <v>1238</v>
      </c>
      <c r="G845">
        <v>0</v>
      </c>
      <c r="H845" t="s">
        <v>683</v>
      </c>
      <c r="L845">
        <v>615.1</v>
      </c>
    </row>
    <row r="846" spans="1:12" x14ac:dyDescent="0.25">
      <c r="A846" t="s">
        <v>1230</v>
      </c>
      <c r="B846">
        <v>1631</v>
      </c>
      <c r="C846" t="s">
        <v>1295</v>
      </c>
      <c r="D846">
        <v>615</v>
      </c>
      <c r="E846" t="s">
        <v>1010</v>
      </c>
      <c r="F846" t="s">
        <v>1238</v>
      </c>
      <c r="G846">
        <v>5000</v>
      </c>
      <c r="H846" t="s">
        <v>683</v>
      </c>
      <c r="L846">
        <v>615.1</v>
      </c>
    </row>
    <row r="847" spans="1:12" x14ac:dyDescent="0.25">
      <c r="A847" t="s">
        <v>1230</v>
      </c>
      <c r="B847">
        <v>1641</v>
      </c>
      <c r="C847" t="s">
        <v>1295</v>
      </c>
      <c r="D847">
        <v>615</v>
      </c>
      <c r="E847" t="s">
        <v>1010</v>
      </c>
      <c r="F847" t="s">
        <v>1238</v>
      </c>
      <c r="G847">
        <v>2550</v>
      </c>
      <c r="H847" t="s">
        <v>683</v>
      </c>
      <c r="L847">
        <v>615.1</v>
      </c>
    </row>
    <row r="848" spans="1:12" x14ac:dyDescent="0.25">
      <c r="A848" t="s">
        <v>1230</v>
      </c>
      <c r="B848">
        <v>1651</v>
      </c>
      <c r="C848" t="s">
        <v>1295</v>
      </c>
      <c r="D848">
        <v>615</v>
      </c>
      <c r="E848" t="s">
        <v>1010</v>
      </c>
      <c r="F848" t="s">
        <v>1238</v>
      </c>
      <c r="G848">
        <v>0</v>
      </c>
      <c r="H848" t="s">
        <v>683</v>
      </c>
      <c r="L848">
        <v>615.1</v>
      </c>
    </row>
    <row r="849" spans="1:12" x14ac:dyDescent="0.25">
      <c r="A849" t="s">
        <v>1230</v>
      </c>
      <c r="B849">
        <v>1611</v>
      </c>
      <c r="C849" t="s">
        <v>1295</v>
      </c>
      <c r="D849">
        <v>620</v>
      </c>
      <c r="E849" t="s">
        <v>1010</v>
      </c>
      <c r="F849" t="s">
        <v>1239</v>
      </c>
      <c r="G849">
        <v>3300</v>
      </c>
      <c r="H849" t="s">
        <v>683</v>
      </c>
      <c r="L849">
        <v>620.1</v>
      </c>
    </row>
    <row r="850" spans="1:12" x14ac:dyDescent="0.25">
      <c r="A850" t="s">
        <v>1230</v>
      </c>
      <c r="B850">
        <v>1621</v>
      </c>
      <c r="C850" t="s">
        <v>1295</v>
      </c>
      <c r="D850">
        <v>620</v>
      </c>
      <c r="E850" t="s">
        <v>1010</v>
      </c>
      <c r="F850" t="s">
        <v>1239</v>
      </c>
      <c r="G850">
        <v>5000</v>
      </c>
      <c r="H850" t="s">
        <v>683</v>
      </c>
      <c r="L850">
        <v>620.1</v>
      </c>
    </row>
    <row r="851" spans="1:12" x14ac:dyDescent="0.25">
      <c r="A851" t="s">
        <v>1230</v>
      </c>
      <c r="B851">
        <v>1631</v>
      </c>
      <c r="C851" t="s">
        <v>1295</v>
      </c>
      <c r="D851">
        <v>620</v>
      </c>
      <c r="E851" t="s">
        <v>1010</v>
      </c>
      <c r="F851" t="s">
        <v>1239</v>
      </c>
      <c r="G851">
        <v>34500</v>
      </c>
      <c r="H851" t="s">
        <v>683</v>
      </c>
      <c r="L851">
        <v>620.1</v>
      </c>
    </row>
    <row r="852" spans="1:12" x14ac:dyDescent="0.25">
      <c r="A852" t="s">
        <v>1230</v>
      </c>
      <c r="B852">
        <v>1641</v>
      </c>
      <c r="C852" t="s">
        <v>1295</v>
      </c>
      <c r="D852">
        <v>620</v>
      </c>
      <c r="E852" t="s">
        <v>1010</v>
      </c>
      <c r="F852" t="s">
        <v>1239</v>
      </c>
      <c r="G852">
        <v>3450</v>
      </c>
      <c r="H852" t="s">
        <v>683</v>
      </c>
      <c r="L852">
        <v>620.1</v>
      </c>
    </row>
    <row r="853" spans="1:12" x14ac:dyDescent="0.25">
      <c r="A853" t="s">
        <v>1230</v>
      </c>
      <c r="B853">
        <v>1651</v>
      </c>
      <c r="C853" t="s">
        <v>1295</v>
      </c>
      <c r="D853">
        <v>620</v>
      </c>
      <c r="E853" t="s">
        <v>1010</v>
      </c>
      <c r="F853" t="s">
        <v>1239</v>
      </c>
      <c r="G853">
        <v>1000</v>
      </c>
      <c r="H853" t="s">
        <v>683</v>
      </c>
      <c r="L853">
        <v>620.1</v>
      </c>
    </row>
    <row r="854" spans="1:12" x14ac:dyDescent="0.25">
      <c r="A854" t="s">
        <v>1230</v>
      </c>
      <c r="B854">
        <v>1611</v>
      </c>
      <c r="C854" t="s">
        <v>1295</v>
      </c>
      <c r="D854">
        <v>655</v>
      </c>
      <c r="E854" t="s">
        <v>1010</v>
      </c>
      <c r="F854" t="s">
        <v>1240</v>
      </c>
      <c r="G854">
        <v>1200</v>
      </c>
      <c r="H854" t="s">
        <v>683</v>
      </c>
      <c r="L854">
        <v>655.1</v>
      </c>
    </row>
    <row r="855" spans="1:12" x14ac:dyDescent="0.25">
      <c r="A855" t="s">
        <v>1230</v>
      </c>
      <c r="B855">
        <v>1621</v>
      </c>
      <c r="C855" t="s">
        <v>1295</v>
      </c>
      <c r="D855">
        <v>655</v>
      </c>
      <c r="E855" t="s">
        <v>1010</v>
      </c>
      <c r="F855" t="s">
        <v>1240</v>
      </c>
      <c r="G855">
        <v>100000</v>
      </c>
      <c r="H855" t="s">
        <v>683</v>
      </c>
      <c r="L855">
        <v>655.1</v>
      </c>
    </row>
    <row r="856" spans="1:12" x14ac:dyDescent="0.25">
      <c r="A856" t="s">
        <v>1230</v>
      </c>
      <c r="B856">
        <v>1631</v>
      </c>
      <c r="C856" t="s">
        <v>1295</v>
      </c>
      <c r="D856">
        <v>655</v>
      </c>
      <c r="E856" t="s">
        <v>1010</v>
      </c>
      <c r="F856" t="s">
        <v>1240</v>
      </c>
      <c r="G856">
        <v>8100</v>
      </c>
      <c r="H856" t="s">
        <v>683</v>
      </c>
      <c r="L856">
        <v>655.1</v>
      </c>
    </row>
    <row r="857" spans="1:12" x14ac:dyDescent="0.25">
      <c r="A857" t="s">
        <v>1230</v>
      </c>
      <c r="B857">
        <v>1641</v>
      </c>
      <c r="C857" t="s">
        <v>1295</v>
      </c>
      <c r="D857">
        <v>655</v>
      </c>
      <c r="E857" t="s">
        <v>1010</v>
      </c>
      <c r="F857" t="s">
        <v>1240</v>
      </c>
      <c r="G857">
        <v>12400</v>
      </c>
      <c r="H857" t="s">
        <v>683</v>
      </c>
      <c r="L857">
        <v>655.1</v>
      </c>
    </row>
    <row r="858" spans="1:12" x14ac:dyDescent="0.25">
      <c r="A858" t="s">
        <v>1230</v>
      </c>
      <c r="B858">
        <v>1651</v>
      </c>
      <c r="C858" t="s">
        <v>1295</v>
      </c>
      <c r="D858">
        <v>655</v>
      </c>
      <c r="E858" t="s">
        <v>1010</v>
      </c>
      <c r="F858" t="s">
        <v>1240</v>
      </c>
      <c r="G858">
        <v>24000</v>
      </c>
      <c r="H858" t="s">
        <v>683</v>
      </c>
      <c r="L858">
        <v>655.1</v>
      </c>
    </row>
    <row r="859" spans="1:12" x14ac:dyDescent="0.25">
      <c r="A859" t="s">
        <v>1230</v>
      </c>
      <c r="B859">
        <v>1611</v>
      </c>
      <c r="C859" t="s">
        <v>1295</v>
      </c>
      <c r="D859">
        <v>670</v>
      </c>
      <c r="E859" t="s">
        <v>1010</v>
      </c>
      <c r="F859" t="s">
        <v>1242</v>
      </c>
      <c r="G859">
        <v>1500</v>
      </c>
      <c r="H859" t="s">
        <v>683</v>
      </c>
      <c r="L859">
        <v>670.1</v>
      </c>
    </row>
    <row r="860" spans="1:12" x14ac:dyDescent="0.25">
      <c r="A860" t="s">
        <v>1230</v>
      </c>
      <c r="B860">
        <v>1621</v>
      </c>
      <c r="C860" t="s">
        <v>1295</v>
      </c>
      <c r="D860">
        <v>670</v>
      </c>
      <c r="E860" t="s">
        <v>1010</v>
      </c>
      <c r="F860" t="s">
        <v>1242</v>
      </c>
      <c r="G860">
        <v>2500</v>
      </c>
      <c r="H860" t="s">
        <v>683</v>
      </c>
      <c r="L860">
        <v>670.1</v>
      </c>
    </row>
    <row r="861" spans="1:12" x14ac:dyDescent="0.25">
      <c r="A861" t="s">
        <v>1230</v>
      </c>
      <c r="B861">
        <v>1631</v>
      </c>
      <c r="C861" t="s">
        <v>1295</v>
      </c>
      <c r="D861">
        <v>670</v>
      </c>
      <c r="E861" t="s">
        <v>1010</v>
      </c>
      <c r="F861" t="s">
        <v>1242</v>
      </c>
      <c r="G861">
        <v>2400</v>
      </c>
      <c r="H861" t="s">
        <v>683</v>
      </c>
      <c r="L861">
        <v>670.1</v>
      </c>
    </row>
    <row r="862" spans="1:12" x14ac:dyDescent="0.25">
      <c r="A862" t="s">
        <v>1230</v>
      </c>
      <c r="B862">
        <v>1641</v>
      </c>
      <c r="C862" t="s">
        <v>1295</v>
      </c>
      <c r="D862">
        <v>670</v>
      </c>
      <c r="E862" t="s">
        <v>1010</v>
      </c>
      <c r="F862" t="s">
        <v>1242</v>
      </c>
      <c r="G862">
        <v>2400</v>
      </c>
      <c r="H862" t="s">
        <v>683</v>
      </c>
      <c r="L862">
        <v>670.1</v>
      </c>
    </row>
    <row r="863" spans="1:12" x14ac:dyDescent="0.25">
      <c r="A863" t="s">
        <v>1230</v>
      </c>
      <c r="B863">
        <v>1651</v>
      </c>
      <c r="C863" t="s">
        <v>1295</v>
      </c>
      <c r="D863">
        <v>670</v>
      </c>
      <c r="E863" t="s">
        <v>1010</v>
      </c>
      <c r="F863" t="s">
        <v>1242</v>
      </c>
      <c r="G863">
        <v>19200</v>
      </c>
      <c r="H863" t="s">
        <v>683</v>
      </c>
      <c r="L863">
        <v>670.1</v>
      </c>
    </row>
    <row r="864" spans="1:12" x14ac:dyDescent="0.25">
      <c r="A864" t="s">
        <v>1230</v>
      </c>
      <c r="B864">
        <v>1631</v>
      </c>
      <c r="C864" t="s">
        <v>1295</v>
      </c>
      <c r="D864">
        <v>710</v>
      </c>
      <c r="E864" t="s">
        <v>1012</v>
      </c>
      <c r="F864" t="s">
        <v>1243</v>
      </c>
      <c r="G864">
        <v>202196</v>
      </c>
      <c r="H864" t="s">
        <v>683</v>
      </c>
      <c r="L864">
        <v>710.1</v>
      </c>
    </row>
    <row r="865" spans="1:12" x14ac:dyDescent="0.25">
      <c r="A865" t="s">
        <v>1230</v>
      </c>
      <c r="B865">
        <v>1651</v>
      </c>
      <c r="C865" t="s">
        <v>1295</v>
      </c>
      <c r="D865">
        <v>710</v>
      </c>
      <c r="E865" t="s">
        <v>1012</v>
      </c>
      <c r="F865" t="s">
        <v>1243</v>
      </c>
      <c r="G865">
        <v>53600</v>
      </c>
      <c r="L865">
        <v>710.1</v>
      </c>
    </row>
    <row r="866" spans="1:12" x14ac:dyDescent="0.25">
      <c r="A866" t="s">
        <v>1244</v>
      </c>
      <c r="B866">
        <v>1611</v>
      </c>
      <c r="C866" t="s">
        <v>1295</v>
      </c>
      <c r="D866">
        <v>430</v>
      </c>
      <c r="E866" t="s">
        <v>1005</v>
      </c>
      <c r="F866" t="s">
        <v>1245</v>
      </c>
      <c r="G866">
        <v>25000</v>
      </c>
      <c r="H866" t="s">
        <v>684</v>
      </c>
      <c r="L866">
        <v>430.1</v>
      </c>
    </row>
    <row r="867" spans="1:12" x14ac:dyDescent="0.25">
      <c r="A867" t="s">
        <v>1244</v>
      </c>
      <c r="B867">
        <v>1621</v>
      </c>
      <c r="C867" t="s">
        <v>1295</v>
      </c>
      <c r="D867">
        <v>430</v>
      </c>
      <c r="E867" t="s">
        <v>1005</v>
      </c>
      <c r="F867" t="s">
        <v>1245</v>
      </c>
      <c r="G867">
        <v>62000</v>
      </c>
      <c r="H867" t="s">
        <v>684</v>
      </c>
      <c r="L867">
        <v>430.1</v>
      </c>
    </row>
    <row r="868" spans="1:12" x14ac:dyDescent="0.25">
      <c r="A868" t="s">
        <v>1244</v>
      </c>
      <c r="B868">
        <v>1631</v>
      </c>
      <c r="C868" t="s">
        <v>1295</v>
      </c>
      <c r="D868">
        <v>430</v>
      </c>
      <c r="E868" t="s">
        <v>1005</v>
      </c>
      <c r="F868" t="s">
        <v>1245</v>
      </c>
      <c r="G868">
        <v>70000</v>
      </c>
      <c r="H868" t="s">
        <v>684</v>
      </c>
      <c r="L868">
        <v>430.1</v>
      </c>
    </row>
    <row r="869" spans="1:12" x14ac:dyDescent="0.25">
      <c r="A869" t="s">
        <v>1244</v>
      </c>
      <c r="B869">
        <v>1641</v>
      </c>
      <c r="C869" t="s">
        <v>1295</v>
      </c>
      <c r="D869">
        <v>430</v>
      </c>
      <c r="E869" t="s">
        <v>1005</v>
      </c>
      <c r="F869" t="s">
        <v>1245</v>
      </c>
      <c r="G869">
        <v>500000</v>
      </c>
      <c r="H869" t="s">
        <v>684</v>
      </c>
      <c r="L869">
        <v>430.1</v>
      </c>
    </row>
    <row r="870" spans="1:12" x14ac:dyDescent="0.25">
      <c r="A870" t="s">
        <v>1244</v>
      </c>
      <c r="B870">
        <v>1611</v>
      </c>
      <c r="C870" t="s">
        <v>1295</v>
      </c>
      <c r="D870">
        <v>450</v>
      </c>
      <c r="E870">
        <v>6</v>
      </c>
      <c r="F870" t="s">
        <v>1246</v>
      </c>
      <c r="G870">
        <v>0</v>
      </c>
      <c r="H870" t="s">
        <v>684</v>
      </c>
      <c r="L870">
        <v>450.1</v>
      </c>
    </row>
    <row r="871" spans="1:12" x14ac:dyDescent="0.25">
      <c r="A871" t="s">
        <v>1244</v>
      </c>
      <c r="B871">
        <v>1631</v>
      </c>
      <c r="C871" t="s">
        <v>1295</v>
      </c>
      <c r="D871">
        <v>450</v>
      </c>
      <c r="E871">
        <v>6</v>
      </c>
      <c r="F871" t="s">
        <v>1246</v>
      </c>
      <c r="G871">
        <v>5000000</v>
      </c>
      <c r="L871">
        <v>450.1</v>
      </c>
    </row>
    <row r="872" spans="1:12" x14ac:dyDescent="0.25">
      <c r="A872" t="s">
        <v>1244</v>
      </c>
      <c r="B872">
        <v>1611</v>
      </c>
      <c r="C872" t="s">
        <v>1295</v>
      </c>
      <c r="D872">
        <v>470</v>
      </c>
      <c r="E872" t="s">
        <v>1005</v>
      </c>
      <c r="F872" t="s">
        <v>1247</v>
      </c>
      <c r="G872">
        <v>0</v>
      </c>
      <c r="H872" t="s">
        <v>684</v>
      </c>
      <c r="L872">
        <v>470.1</v>
      </c>
    </row>
    <row r="873" spans="1:12" x14ac:dyDescent="0.25">
      <c r="A873" t="s">
        <v>1244</v>
      </c>
      <c r="B873">
        <v>1621</v>
      </c>
      <c r="C873" t="s">
        <v>1295</v>
      </c>
      <c r="D873">
        <v>470</v>
      </c>
      <c r="E873" t="s">
        <v>1005</v>
      </c>
      <c r="F873" t="s">
        <v>1247</v>
      </c>
      <c r="G873">
        <v>50000</v>
      </c>
      <c r="H873" t="s">
        <v>684</v>
      </c>
      <c r="L873">
        <v>470.1</v>
      </c>
    </row>
    <row r="874" spans="1:12" x14ac:dyDescent="0.25">
      <c r="A874" t="s">
        <v>1244</v>
      </c>
      <c r="B874">
        <v>1631</v>
      </c>
      <c r="C874" t="s">
        <v>1295</v>
      </c>
      <c r="D874">
        <v>470</v>
      </c>
      <c r="E874" t="s">
        <v>1005</v>
      </c>
      <c r="F874" t="s">
        <v>1247</v>
      </c>
      <c r="G874">
        <v>0</v>
      </c>
      <c r="H874" t="s">
        <v>684</v>
      </c>
      <c r="L874">
        <v>470.1</v>
      </c>
    </row>
    <row r="875" spans="1:12" x14ac:dyDescent="0.25">
      <c r="A875" t="s">
        <v>1244</v>
      </c>
      <c r="B875">
        <v>1641</v>
      </c>
      <c r="C875" t="s">
        <v>1295</v>
      </c>
      <c r="D875">
        <v>470</v>
      </c>
      <c r="E875" t="s">
        <v>1005</v>
      </c>
      <c r="F875" t="s">
        <v>1247</v>
      </c>
      <c r="G875">
        <v>674198</v>
      </c>
      <c r="H875" t="s">
        <v>684</v>
      </c>
      <c r="L875">
        <v>470.1</v>
      </c>
    </row>
    <row r="876" spans="1:12" x14ac:dyDescent="0.25">
      <c r="A876" t="s">
        <v>1244</v>
      </c>
      <c r="B876">
        <v>1651</v>
      </c>
      <c r="C876" t="s">
        <v>1295</v>
      </c>
      <c r="D876">
        <v>470</v>
      </c>
      <c r="E876" t="s">
        <v>1005</v>
      </c>
      <c r="F876" t="s">
        <v>1247</v>
      </c>
      <c r="G876">
        <v>100000</v>
      </c>
      <c r="H876" t="s">
        <v>684</v>
      </c>
      <c r="L876">
        <v>470.1</v>
      </c>
    </row>
    <row r="877" spans="1:12" x14ac:dyDescent="0.25">
      <c r="A877" t="s">
        <v>1244</v>
      </c>
      <c r="B877">
        <v>1611</v>
      </c>
      <c r="C877" t="s">
        <v>1295</v>
      </c>
      <c r="D877">
        <v>640</v>
      </c>
      <c r="E877" t="s">
        <v>1248</v>
      </c>
      <c r="F877" t="s">
        <v>1249</v>
      </c>
      <c r="G877">
        <v>0</v>
      </c>
      <c r="H877" t="s">
        <v>684</v>
      </c>
      <c r="L877">
        <v>640.1</v>
      </c>
    </row>
    <row r="878" spans="1:12" x14ac:dyDescent="0.25">
      <c r="A878" t="s">
        <v>1244</v>
      </c>
      <c r="B878">
        <v>1621</v>
      </c>
      <c r="C878" t="s">
        <v>1295</v>
      </c>
      <c r="D878">
        <v>640</v>
      </c>
      <c r="E878" t="s">
        <v>1248</v>
      </c>
      <c r="F878" t="s">
        <v>1249</v>
      </c>
      <c r="G878">
        <v>0</v>
      </c>
      <c r="L878">
        <v>640.1</v>
      </c>
    </row>
    <row r="879" spans="1:12" x14ac:dyDescent="0.25">
      <c r="A879" t="s">
        <v>1244</v>
      </c>
      <c r="B879">
        <v>1631</v>
      </c>
      <c r="C879" t="s">
        <v>1295</v>
      </c>
      <c r="D879">
        <v>640</v>
      </c>
      <c r="E879" t="s">
        <v>1248</v>
      </c>
      <c r="F879" t="s">
        <v>1249</v>
      </c>
      <c r="G879">
        <v>0</v>
      </c>
      <c r="H879" t="s">
        <v>684</v>
      </c>
      <c r="L879">
        <v>640.1</v>
      </c>
    </row>
    <row r="880" spans="1:12" x14ac:dyDescent="0.25">
      <c r="A880" t="s">
        <v>1244</v>
      </c>
      <c r="B880">
        <v>1641</v>
      </c>
      <c r="C880" t="s">
        <v>1295</v>
      </c>
      <c r="D880">
        <v>640</v>
      </c>
      <c r="E880" t="s">
        <v>1248</v>
      </c>
      <c r="F880" t="s">
        <v>1249</v>
      </c>
      <c r="G880">
        <v>0</v>
      </c>
      <c r="H880" t="s">
        <v>684</v>
      </c>
      <c r="L880">
        <v>640.1</v>
      </c>
    </row>
    <row r="881" spans="1:12" x14ac:dyDescent="0.25">
      <c r="A881" t="s">
        <v>1244</v>
      </c>
      <c r="B881">
        <v>1651</v>
      </c>
      <c r="C881" t="s">
        <v>1295</v>
      </c>
      <c r="D881">
        <v>640</v>
      </c>
      <c r="E881" t="s">
        <v>1248</v>
      </c>
      <c r="F881" t="s">
        <v>1249</v>
      </c>
      <c r="G881">
        <v>0</v>
      </c>
      <c r="L881">
        <v>640.1</v>
      </c>
    </row>
    <row r="882" spans="1:12" x14ac:dyDescent="0.25">
      <c r="A882" t="s">
        <v>1280</v>
      </c>
      <c r="B882">
        <v>1631</v>
      </c>
      <c r="C882" t="s">
        <v>1295</v>
      </c>
      <c r="D882">
        <v>450</v>
      </c>
      <c r="E882">
        <v>6</v>
      </c>
      <c r="F882" t="s">
        <v>1246</v>
      </c>
      <c r="G882">
        <v>0</v>
      </c>
      <c r="L882">
        <v>450.1</v>
      </c>
    </row>
    <row r="883" spans="1:12" x14ac:dyDescent="0.25">
      <c r="A883" t="s">
        <v>1280</v>
      </c>
      <c r="B883">
        <v>1611</v>
      </c>
      <c r="C883" t="s">
        <v>1295</v>
      </c>
      <c r="D883">
        <v>610</v>
      </c>
      <c r="E883" t="s">
        <v>1010</v>
      </c>
      <c r="F883" t="s">
        <v>1237</v>
      </c>
      <c r="G883">
        <v>0</v>
      </c>
      <c r="H883" t="s">
        <v>687</v>
      </c>
      <c r="L883">
        <v>610.1</v>
      </c>
    </row>
    <row r="884" spans="1:12" x14ac:dyDescent="0.25">
      <c r="A884" t="s">
        <v>1280</v>
      </c>
      <c r="B884">
        <v>1631</v>
      </c>
      <c r="C884" t="s">
        <v>1295</v>
      </c>
      <c r="D884">
        <v>610</v>
      </c>
      <c r="E884" t="s">
        <v>1010</v>
      </c>
      <c r="F884" t="s">
        <v>1237</v>
      </c>
      <c r="G884">
        <v>0</v>
      </c>
      <c r="H884" t="s">
        <v>687</v>
      </c>
      <c r="L884">
        <v>610.1</v>
      </c>
    </row>
    <row r="885" spans="1:12" x14ac:dyDescent="0.25">
      <c r="A885" t="s">
        <v>1296</v>
      </c>
      <c r="B885">
        <v>1631</v>
      </c>
      <c r="C885" t="s">
        <v>1295</v>
      </c>
      <c r="D885">
        <v>695</v>
      </c>
      <c r="E885" t="s">
        <v>1011</v>
      </c>
      <c r="F885" t="s">
        <v>437</v>
      </c>
      <c r="G885">
        <v>0</v>
      </c>
      <c r="L885">
        <v>695.1</v>
      </c>
    </row>
    <row r="886" spans="1:12" x14ac:dyDescent="0.25">
      <c r="A886" t="s">
        <v>1250</v>
      </c>
      <c r="B886">
        <v>1621</v>
      </c>
      <c r="C886" t="s">
        <v>1295</v>
      </c>
      <c r="D886">
        <v>650</v>
      </c>
      <c r="E886" t="s">
        <v>1010</v>
      </c>
      <c r="F886" t="s">
        <v>1251</v>
      </c>
      <c r="G886">
        <v>0</v>
      </c>
      <c r="H886" t="s">
        <v>1252</v>
      </c>
      <c r="L886">
        <v>650.1</v>
      </c>
    </row>
    <row r="887" spans="1:12" x14ac:dyDescent="0.25">
      <c r="A887" t="s">
        <v>1283</v>
      </c>
      <c r="B887">
        <v>1631</v>
      </c>
      <c r="C887" t="s">
        <v>1295</v>
      </c>
      <c r="D887">
        <v>695</v>
      </c>
      <c r="E887" t="s">
        <v>1011</v>
      </c>
      <c r="F887" t="s">
        <v>437</v>
      </c>
      <c r="G887">
        <v>0</v>
      </c>
      <c r="H887" t="s">
        <v>437</v>
      </c>
      <c r="L887">
        <v>695.1</v>
      </c>
    </row>
    <row r="888" spans="1:12" x14ac:dyDescent="0.25">
      <c r="A888" t="s">
        <v>1253</v>
      </c>
      <c r="B888">
        <v>1651</v>
      </c>
      <c r="C888" t="s">
        <v>1295</v>
      </c>
      <c r="D888">
        <v>550</v>
      </c>
      <c r="E888" t="s">
        <v>1008</v>
      </c>
      <c r="F888" t="s">
        <v>1234</v>
      </c>
      <c r="G888">
        <v>0</v>
      </c>
      <c r="L888">
        <v>550.1</v>
      </c>
    </row>
    <row r="889" spans="1:12" x14ac:dyDescent="0.25">
      <c r="A889" t="s">
        <v>1253</v>
      </c>
      <c r="B889">
        <v>1621</v>
      </c>
      <c r="C889" t="s">
        <v>1295</v>
      </c>
      <c r="D889">
        <v>680</v>
      </c>
      <c r="E889" t="s">
        <v>1010</v>
      </c>
      <c r="F889" t="s">
        <v>1254</v>
      </c>
      <c r="G889">
        <v>0</v>
      </c>
      <c r="H889" t="s">
        <v>1255</v>
      </c>
      <c r="L889">
        <v>680.1</v>
      </c>
    </row>
    <row r="890" spans="1:12" x14ac:dyDescent="0.25">
      <c r="A890" t="s">
        <v>1253</v>
      </c>
      <c r="B890">
        <v>1651</v>
      </c>
      <c r="C890" t="s">
        <v>1295</v>
      </c>
      <c r="D890">
        <v>680</v>
      </c>
      <c r="E890" t="s">
        <v>1010</v>
      </c>
      <c r="F890" t="s">
        <v>1254</v>
      </c>
      <c r="G890">
        <v>151000</v>
      </c>
      <c r="H890" t="s">
        <v>1255</v>
      </c>
      <c r="L890">
        <v>680.1</v>
      </c>
    </row>
    <row r="891" spans="1:12" x14ac:dyDescent="0.25">
      <c r="A891" t="s">
        <v>1256</v>
      </c>
      <c r="B891">
        <v>1611</v>
      </c>
      <c r="C891" t="s">
        <v>1295</v>
      </c>
      <c r="D891">
        <v>680</v>
      </c>
      <c r="E891" t="s">
        <v>1010</v>
      </c>
      <c r="F891" t="s">
        <v>1254</v>
      </c>
      <c r="G891">
        <v>0</v>
      </c>
      <c r="H891" t="s">
        <v>1257</v>
      </c>
      <c r="L891">
        <v>680.1</v>
      </c>
    </row>
    <row r="892" spans="1:12" x14ac:dyDescent="0.25">
      <c r="A892" t="s">
        <v>1256</v>
      </c>
      <c r="B892">
        <v>1651</v>
      </c>
      <c r="C892" t="s">
        <v>1295</v>
      </c>
      <c r="D892">
        <v>680</v>
      </c>
      <c r="E892" t="s">
        <v>1010</v>
      </c>
      <c r="F892" t="s">
        <v>1254</v>
      </c>
      <c r="G892">
        <v>0</v>
      </c>
      <c r="L892">
        <v>680.1</v>
      </c>
    </row>
    <row r="893" spans="1:12" x14ac:dyDescent="0.25">
      <c r="A893" t="s">
        <v>1256</v>
      </c>
      <c r="B893">
        <v>1651</v>
      </c>
      <c r="C893" t="s">
        <v>1295</v>
      </c>
      <c r="D893">
        <v>681</v>
      </c>
      <c r="E893" t="s">
        <v>1010</v>
      </c>
      <c r="F893" t="s">
        <v>709</v>
      </c>
      <c r="G893">
        <v>522000</v>
      </c>
      <c r="H893" t="s">
        <v>1257</v>
      </c>
      <c r="L893">
        <v>681.1</v>
      </c>
    </row>
    <row r="894" spans="1:12" x14ac:dyDescent="0.25">
      <c r="A894" t="s">
        <v>1262</v>
      </c>
      <c r="B894">
        <v>1631</v>
      </c>
      <c r="C894" t="s">
        <v>1295</v>
      </c>
      <c r="D894">
        <v>240</v>
      </c>
      <c r="E894" t="s">
        <v>1002</v>
      </c>
      <c r="F894" t="s">
        <v>1264</v>
      </c>
      <c r="G894">
        <v>0</v>
      </c>
      <c r="H894" t="s">
        <v>1263</v>
      </c>
      <c r="L894">
        <v>240.1</v>
      </c>
    </row>
    <row r="895" spans="1:12" x14ac:dyDescent="0.25">
      <c r="A895" t="s">
        <v>1262</v>
      </c>
      <c r="B895">
        <v>1641</v>
      </c>
      <c r="C895" t="s">
        <v>1295</v>
      </c>
      <c r="D895">
        <v>445</v>
      </c>
      <c r="E895" t="s">
        <v>1248</v>
      </c>
      <c r="F895" t="s">
        <v>1271</v>
      </c>
      <c r="G895">
        <v>26004</v>
      </c>
      <c r="H895" t="s">
        <v>1263</v>
      </c>
      <c r="L895">
        <v>445.1</v>
      </c>
    </row>
    <row r="896" spans="1:12" x14ac:dyDescent="0.25">
      <c r="A896" t="s">
        <v>1266</v>
      </c>
      <c r="B896">
        <v>1711</v>
      </c>
      <c r="C896" t="s">
        <v>1297</v>
      </c>
      <c r="D896">
        <v>113</v>
      </c>
      <c r="E896" t="s">
        <v>1001</v>
      </c>
      <c r="F896" t="s">
        <v>1221</v>
      </c>
      <c r="G896">
        <v>0</v>
      </c>
      <c r="H896" t="s">
        <v>1298</v>
      </c>
      <c r="L896">
        <v>113.1</v>
      </c>
    </row>
    <row r="897" spans="1:12" x14ac:dyDescent="0.25">
      <c r="A897" t="s">
        <v>1266</v>
      </c>
      <c r="B897">
        <v>1711</v>
      </c>
      <c r="C897" t="s">
        <v>1297</v>
      </c>
      <c r="D897">
        <v>115</v>
      </c>
      <c r="E897" t="s">
        <v>1001</v>
      </c>
      <c r="F897" t="s">
        <v>1224</v>
      </c>
      <c r="G897">
        <v>77621.88</v>
      </c>
      <c r="H897" t="s">
        <v>1298</v>
      </c>
      <c r="L897">
        <v>115.1</v>
      </c>
    </row>
    <row r="898" spans="1:12" x14ac:dyDescent="0.25">
      <c r="A898" t="s">
        <v>1266</v>
      </c>
      <c r="B898">
        <v>1711</v>
      </c>
      <c r="C898" t="s">
        <v>1297</v>
      </c>
      <c r="D898">
        <v>116</v>
      </c>
      <c r="E898" t="s">
        <v>1001</v>
      </c>
      <c r="F898" t="s">
        <v>1225</v>
      </c>
      <c r="G898">
        <v>0</v>
      </c>
      <c r="H898" t="s">
        <v>1298</v>
      </c>
      <c r="L898">
        <v>116.1</v>
      </c>
    </row>
    <row r="899" spans="1:12" x14ac:dyDescent="0.25">
      <c r="A899" t="s">
        <v>1266</v>
      </c>
      <c r="B899">
        <v>1711</v>
      </c>
      <c r="C899" t="s">
        <v>1297</v>
      </c>
      <c r="D899">
        <v>119</v>
      </c>
      <c r="E899" t="s">
        <v>1001</v>
      </c>
      <c r="F899" t="s">
        <v>1228</v>
      </c>
      <c r="G899">
        <v>0</v>
      </c>
      <c r="L899">
        <v>119.1</v>
      </c>
    </row>
    <row r="900" spans="1:12" x14ac:dyDescent="0.25">
      <c r="A900" t="s">
        <v>1266</v>
      </c>
      <c r="B900">
        <v>1711</v>
      </c>
      <c r="C900" t="s">
        <v>1297</v>
      </c>
      <c r="D900">
        <v>130</v>
      </c>
      <c r="E900" t="s">
        <v>1001</v>
      </c>
      <c r="F900" t="s">
        <v>1229</v>
      </c>
      <c r="G900">
        <v>230768.30591897201</v>
      </c>
      <c r="H900" t="s">
        <v>1298</v>
      </c>
      <c r="L900">
        <v>130.1</v>
      </c>
    </row>
    <row r="901" spans="1:12" x14ac:dyDescent="0.25">
      <c r="A901" t="s">
        <v>1266</v>
      </c>
      <c r="B901">
        <v>1711</v>
      </c>
      <c r="C901" t="s">
        <v>1297</v>
      </c>
      <c r="D901">
        <v>210</v>
      </c>
      <c r="E901" t="s">
        <v>1002</v>
      </c>
      <c r="F901" t="s">
        <v>336</v>
      </c>
      <c r="G901">
        <v>0</v>
      </c>
      <c r="H901" t="s">
        <v>1298</v>
      </c>
      <c r="L901">
        <v>210.1</v>
      </c>
    </row>
    <row r="902" spans="1:12" x14ac:dyDescent="0.25">
      <c r="A902" t="s">
        <v>1266</v>
      </c>
      <c r="B902">
        <v>1711</v>
      </c>
      <c r="C902" t="s">
        <v>1297</v>
      </c>
      <c r="D902">
        <v>430</v>
      </c>
      <c r="E902" t="s">
        <v>1005</v>
      </c>
      <c r="F902" t="s">
        <v>1245</v>
      </c>
      <c r="G902">
        <v>9996</v>
      </c>
      <c r="H902" t="s">
        <v>1298</v>
      </c>
      <c r="L902">
        <v>430.1</v>
      </c>
    </row>
    <row r="903" spans="1:12" x14ac:dyDescent="0.25">
      <c r="A903" t="s">
        <v>1266</v>
      </c>
      <c r="B903">
        <v>1711</v>
      </c>
      <c r="C903" t="s">
        <v>1297</v>
      </c>
      <c r="D903">
        <v>470</v>
      </c>
      <c r="E903" t="s">
        <v>1005</v>
      </c>
      <c r="F903" t="s">
        <v>1247</v>
      </c>
      <c r="G903">
        <v>9996</v>
      </c>
      <c r="H903" t="s">
        <v>1298</v>
      </c>
      <c r="L903">
        <v>470.1</v>
      </c>
    </row>
    <row r="904" spans="1:12" x14ac:dyDescent="0.25">
      <c r="A904" t="s">
        <v>1266</v>
      </c>
      <c r="B904">
        <v>1711</v>
      </c>
      <c r="C904" t="s">
        <v>1297</v>
      </c>
      <c r="D904">
        <v>520</v>
      </c>
      <c r="E904" t="s">
        <v>1008</v>
      </c>
      <c r="F904" t="s">
        <v>1232</v>
      </c>
      <c r="G904">
        <v>24000</v>
      </c>
      <c r="H904" t="s">
        <v>1298</v>
      </c>
      <c r="L904">
        <v>520.1</v>
      </c>
    </row>
    <row r="905" spans="1:12" x14ac:dyDescent="0.25">
      <c r="A905" t="s">
        <v>1266</v>
      </c>
      <c r="B905">
        <v>1711</v>
      </c>
      <c r="C905" t="s">
        <v>1297</v>
      </c>
      <c r="D905">
        <v>540</v>
      </c>
      <c r="E905" t="s">
        <v>1008</v>
      </c>
      <c r="F905" t="s">
        <v>1233</v>
      </c>
      <c r="G905">
        <v>0</v>
      </c>
      <c r="H905" t="s">
        <v>1298</v>
      </c>
      <c r="L905">
        <v>540.1</v>
      </c>
    </row>
    <row r="906" spans="1:12" x14ac:dyDescent="0.25">
      <c r="A906" t="s">
        <v>1266</v>
      </c>
      <c r="B906">
        <v>1711</v>
      </c>
      <c r="C906" t="s">
        <v>1297</v>
      </c>
      <c r="D906">
        <v>560</v>
      </c>
      <c r="E906" t="s">
        <v>1008</v>
      </c>
      <c r="F906" t="s">
        <v>1235</v>
      </c>
      <c r="G906">
        <v>0</v>
      </c>
      <c r="H906" t="s">
        <v>1298</v>
      </c>
      <c r="L906">
        <v>560.1</v>
      </c>
    </row>
    <row r="907" spans="1:12" x14ac:dyDescent="0.25">
      <c r="A907" t="s">
        <v>1266</v>
      </c>
      <c r="B907">
        <v>1711</v>
      </c>
      <c r="C907" t="s">
        <v>1297</v>
      </c>
      <c r="D907">
        <v>570</v>
      </c>
      <c r="E907" t="s">
        <v>1008</v>
      </c>
      <c r="F907" t="s">
        <v>1272</v>
      </c>
      <c r="G907">
        <v>0</v>
      </c>
      <c r="H907" t="s">
        <v>1298</v>
      </c>
      <c r="L907">
        <v>570.1</v>
      </c>
    </row>
    <row r="908" spans="1:12" x14ac:dyDescent="0.25">
      <c r="A908" t="s">
        <v>1266</v>
      </c>
      <c r="B908">
        <v>1711</v>
      </c>
      <c r="C908" t="s">
        <v>1297</v>
      </c>
      <c r="D908">
        <v>580</v>
      </c>
      <c r="E908" t="s">
        <v>1008</v>
      </c>
      <c r="F908" t="s">
        <v>1236</v>
      </c>
      <c r="G908">
        <v>0</v>
      </c>
      <c r="H908" t="s">
        <v>1298</v>
      </c>
      <c r="L908">
        <v>580.1</v>
      </c>
    </row>
    <row r="909" spans="1:12" x14ac:dyDescent="0.25">
      <c r="A909" t="s">
        <v>1266</v>
      </c>
      <c r="B909">
        <v>1711</v>
      </c>
      <c r="C909" t="s">
        <v>1297</v>
      </c>
      <c r="D909">
        <v>610</v>
      </c>
      <c r="E909" t="s">
        <v>1010</v>
      </c>
      <c r="F909" t="s">
        <v>1237</v>
      </c>
      <c r="G909">
        <v>0</v>
      </c>
      <c r="H909" t="s">
        <v>1298</v>
      </c>
      <c r="L909">
        <v>610.1</v>
      </c>
    </row>
    <row r="910" spans="1:12" x14ac:dyDescent="0.25">
      <c r="A910" t="s">
        <v>1266</v>
      </c>
      <c r="B910">
        <v>1711</v>
      </c>
      <c r="C910" t="s">
        <v>1297</v>
      </c>
      <c r="D910">
        <v>615</v>
      </c>
      <c r="E910" t="s">
        <v>1010</v>
      </c>
      <c r="F910" t="s">
        <v>1238</v>
      </c>
      <c r="G910">
        <v>0</v>
      </c>
      <c r="H910" t="s">
        <v>1298</v>
      </c>
      <c r="L910">
        <v>615.1</v>
      </c>
    </row>
    <row r="911" spans="1:12" x14ac:dyDescent="0.25">
      <c r="A911" t="s">
        <v>1266</v>
      </c>
      <c r="B911">
        <v>1711</v>
      </c>
      <c r="C911" t="s">
        <v>1297</v>
      </c>
      <c r="D911">
        <v>620</v>
      </c>
      <c r="E911" t="s">
        <v>1010</v>
      </c>
      <c r="F911" t="s">
        <v>1239</v>
      </c>
      <c r="G911">
        <v>2004</v>
      </c>
      <c r="H911" t="s">
        <v>1298</v>
      </c>
      <c r="L911">
        <v>620.1</v>
      </c>
    </row>
    <row r="912" spans="1:12" x14ac:dyDescent="0.25">
      <c r="A912" t="s">
        <v>1266</v>
      </c>
      <c r="B912">
        <v>1711</v>
      </c>
      <c r="C912" t="s">
        <v>1297</v>
      </c>
      <c r="D912">
        <v>640</v>
      </c>
      <c r="E912" t="s">
        <v>1248</v>
      </c>
      <c r="F912" t="s">
        <v>1249</v>
      </c>
      <c r="G912">
        <v>0</v>
      </c>
      <c r="H912" t="s">
        <v>1298</v>
      </c>
      <c r="L912">
        <v>640.1</v>
      </c>
    </row>
    <row r="913" spans="1:12" x14ac:dyDescent="0.25">
      <c r="A913" t="s">
        <v>1266</v>
      </c>
      <c r="B913">
        <v>1711</v>
      </c>
      <c r="C913" t="s">
        <v>1297</v>
      </c>
      <c r="D913">
        <v>655</v>
      </c>
      <c r="E913" t="s">
        <v>1010</v>
      </c>
      <c r="F913" t="s">
        <v>1240</v>
      </c>
      <c r="G913">
        <v>0</v>
      </c>
      <c r="H913" t="s">
        <v>1298</v>
      </c>
      <c r="L913">
        <v>655.1</v>
      </c>
    </row>
    <row r="914" spans="1:12" x14ac:dyDescent="0.25">
      <c r="A914" t="s">
        <v>1266</v>
      </c>
      <c r="B914">
        <v>1711</v>
      </c>
      <c r="C914" t="s">
        <v>1297</v>
      </c>
      <c r="D914">
        <v>670</v>
      </c>
      <c r="E914" t="s">
        <v>1010</v>
      </c>
      <c r="F914" t="s">
        <v>1242</v>
      </c>
      <c r="G914">
        <v>996</v>
      </c>
      <c r="H914" t="s">
        <v>1298</v>
      </c>
      <c r="L914">
        <v>670.1</v>
      </c>
    </row>
    <row r="915" spans="1:12" x14ac:dyDescent="0.25">
      <c r="A915" t="s">
        <v>1266</v>
      </c>
      <c r="B915">
        <v>1711</v>
      </c>
      <c r="C915" t="s">
        <v>1297</v>
      </c>
      <c r="D915">
        <v>680</v>
      </c>
      <c r="E915" t="s">
        <v>1010</v>
      </c>
      <c r="F915" t="s">
        <v>1254</v>
      </c>
      <c r="G915">
        <v>0</v>
      </c>
      <c r="H915" t="s">
        <v>1298</v>
      </c>
      <c r="L915">
        <v>680.1</v>
      </c>
    </row>
    <row r="916" spans="1:12" x14ac:dyDescent="0.25">
      <c r="A916" t="s">
        <v>1269</v>
      </c>
      <c r="B916">
        <v>1731</v>
      </c>
      <c r="C916" t="s">
        <v>1297</v>
      </c>
      <c r="D916">
        <v>113</v>
      </c>
      <c r="E916" t="s">
        <v>1001</v>
      </c>
      <c r="F916" t="s">
        <v>1221</v>
      </c>
      <c r="G916">
        <v>0</v>
      </c>
      <c r="H916" t="s">
        <v>1222</v>
      </c>
      <c r="L916">
        <v>113.1</v>
      </c>
    </row>
    <row r="917" spans="1:12" x14ac:dyDescent="0.25">
      <c r="A917" t="s">
        <v>1269</v>
      </c>
      <c r="B917">
        <v>1731</v>
      </c>
      <c r="C917" t="s">
        <v>1297</v>
      </c>
      <c r="D917">
        <v>115</v>
      </c>
      <c r="E917" t="s">
        <v>1001</v>
      </c>
      <c r="F917" t="s">
        <v>1224</v>
      </c>
      <c r="G917">
        <v>162411</v>
      </c>
      <c r="H917" t="s">
        <v>1270</v>
      </c>
      <c r="L917">
        <v>115.1</v>
      </c>
    </row>
    <row r="918" spans="1:12" x14ac:dyDescent="0.25">
      <c r="A918" t="s">
        <v>1269</v>
      </c>
      <c r="B918">
        <v>1731</v>
      </c>
      <c r="C918" t="s">
        <v>1297</v>
      </c>
      <c r="D918">
        <v>116</v>
      </c>
      <c r="E918" t="s">
        <v>1001</v>
      </c>
      <c r="F918" t="s">
        <v>1225</v>
      </c>
      <c r="G918">
        <v>0</v>
      </c>
      <c r="H918" t="s">
        <v>1270</v>
      </c>
      <c r="L918">
        <v>116.1</v>
      </c>
    </row>
    <row r="919" spans="1:12" x14ac:dyDescent="0.25">
      <c r="A919" t="s">
        <v>1269</v>
      </c>
      <c r="B919">
        <v>1711</v>
      </c>
      <c r="C919" t="s">
        <v>1297</v>
      </c>
      <c r="D919">
        <v>130</v>
      </c>
      <c r="E919" t="s">
        <v>1001</v>
      </c>
      <c r="F919" t="s">
        <v>1229</v>
      </c>
      <c r="G919">
        <v>0</v>
      </c>
      <c r="L919">
        <v>130.1</v>
      </c>
    </row>
    <row r="920" spans="1:12" x14ac:dyDescent="0.25">
      <c r="A920" t="s">
        <v>1269</v>
      </c>
      <c r="B920">
        <v>1731</v>
      </c>
      <c r="C920" t="s">
        <v>1297</v>
      </c>
      <c r="D920">
        <v>130</v>
      </c>
      <c r="E920" t="s">
        <v>1001</v>
      </c>
      <c r="F920" t="s">
        <v>1229</v>
      </c>
      <c r="G920">
        <v>1682429.5822392453</v>
      </c>
      <c r="H920" t="s">
        <v>1270</v>
      </c>
      <c r="L920">
        <v>130.1</v>
      </c>
    </row>
    <row r="921" spans="1:12" x14ac:dyDescent="0.25">
      <c r="A921" t="s">
        <v>1269</v>
      </c>
      <c r="B921">
        <v>1731</v>
      </c>
      <c r="C921" t="s">
        <v>1297</v>
      </c>
      <c r="D921">
        <v>240</v>
      </c>
      <c r="E921" t="s">
        <v>1002</v>
      </c>
      <c r="F921" t="s">
        <v>1264</v>
      </c>
      <c r="G921">
        <v>0</v>
      </c>
      <c r="L921">
        <v>240.1</v>
      </c>
    </row>
    <row r="922" spans="1:12" x14ac:dyDescent="0.25">
      <c r="A922" t="s">
        <v>1269</v>
      </c>
      <c r="B922">
        <v>1731</v>
      </c>
      <c r="C922" t="s">
        <v>1297</v>
      </c>
      <c r="D922">
        <v>430</v>
      </c>
      <c r="E922" t="s">
        <v>1005</v>
      </c>
      <c r="F922" t="s">
        <v>1245</v>
      </c>
      <c r="G922">
        <v>250008</v>
      </c>
      <c r="H922" t="s">
        <v>1270</v>
      </c>
      <c r="L922">
        <v>430.1</v>
      </c>
    </row>
    <row r="923" spans="1:12" x14ac:dyDescent="0.25">
      <c r="A923" t="s">
        <v>1269</v>
      </c>
      <c r="B923">
        <v>1731</v>
      </c>
      <c r="C923" t="s">
        <v>1297</v>
      </c>
      <c r="D923">
        <v>470</v>
      </c>
      <c r="E923" t="s">
        <v>1005</v>
      </c>
      <c r="F923" t="s">
        <v>1247</v>
      </c>
      <c r="G923">
        <v>0</v>
      </c>
      <c r="H923" t="s">
        <v>1270</v>
      </c>
      <c r="L923">
        <v>470.1</v>
      </c>
    </row>
    <row r="924" spans="1:12" x14ac:dyDescent="0.25">
      <c r="A924" t="s">
        <v>1269</v>
      </c>
      <c r="B924">
        <v>1731</v>
      </c>
      <c r="C924" t="s">
        <v>1297</v>
      </c>
      <c r="D924">
        <v>510</v>
      </c>
      <c r="E924" t="s">
        <v>1008</v>
      </c>
      <c r="F924" t="s">
        <v>1231</v>
      </c>
      <c r="G924">
        <v>0</v>
      </c>
      <c r="H924" t="s">
        <v>1270</v>
      </c>
      <c r="L924">
        <v>510.1</v>
      </c>
    </row>
    <row r="925" spans="1:12" x14ac:dyDescent="0.25">
      <c r="A925" t="s">
        <v>1269</v>
      </c>
      <c r="B925">
        <v>1731</v>
      </c>
      <c r="C925" t="s">
        <v>1297</v>
      </c>
      <c r="D925">
        <v>520</v>
      </c>
      <c r="E925" t="s">
        <v>1008</v>
      </c>
      <c r="F925" t="s">
        <v>1232</v>
      </c>
      <c r="G925">
        <v>0</v>
      </c>
      <c r="H925" t="s">
        <v>1270</v>
      </c>
      <c r="L925">
        <v>520.1</v>
      </c>
    </row>
    <row r="926" spans="1:12" x14ac:dyDescent="0.25">
      <c r="A926" t="s">
        <v>1269</v>
      </c>
      <c r="B926">
        <v>1731</v>
      </c>
      <c r="C926" t="s">
        <v>1297</v>
      </c>
      <c r="D926">
        <v>540</v>
      </c>
      <c r="E926" t="s">
        <v>1008</v>
      </c>
      <c r="F926" t="s">
        <v>1233</v>
      </c>
      <c r="G926">
        <v>0</v>
      </c>
      <c r="H926" t="s">
        <v>1270</v>
      </c>
      <c r="L926">
        <v>540.1</v>
      </c>
    </row>
    <row r="927" spans="1:12" x14ac:dyDescent="0.25">
      <c r="A927" t="s">
        <v>1269</v>
      </c>
      <c r="B927">
        <v>1731</v>
      </c>
      <c r="C927" t="s">
        <v>1297</v>
      </c>
      <c r="D927">
        <v>550</v>
      </c>
      <c r="E927" t="s">
        <v>1008</v>
      </c>
      <c r="F927" t="s">
        <v>1234</v>
      </c>
      <c r="G927">
        <v>0</v>
      </c>
      <c r="H927" t="s">
        <v>1270</v>
      </c>
      <c r="L927">
        <v>550.1</v>
      </c>
    </row>
    <row r="928" spans="1:12" x14ac:dyDescent="0.25">
      <c r="A928" t="s">
        <v>1269</v>
      </c>
      <c r="B928">
        <v>1731</v>
      </c>
      <c r="C928" t="s">
        <v>1297</v>
      </c>
      <c r="D928">
        <v>560</v>
      </c>
      <c r="E928" t="s">
        <v>1008</v>
      </c>
      <c r="F928" t="s">
        <v>1235</v>
      </c>
      <c r="G928">
        <v>0</v>
      </c>
      <c r="H928" t="s">
        <v>1270</v>
      </c>
      <c r="L928">
        <v>560.1</v>
      </c>
    </row>
    <row r="929" spans="1:12" x14ac:dyDescent="0.25">
      <c r="A929" t="s">
        <v>1269</v>
      </c>
      <c r="B929">
        <v>1731</v>
      </c>
      <c r="C929" t="s">
        <v>1297</v>
      </c>
      <c r="D929">
        <v>570</v>
      </c>
      <c r="E929" t="s">
        <v>1008</v>
      </c>
      <c r="F929" t="s">
        <v>1272</v>
      </c>
      <c r="G929">
        <v>36000</v>
      </c>
      <c r="H929" t="s">
        <v>1270</v>
      </c>
      <c r="L929">
        <v>570.1</v>
      </c>
    </row>
    <row r="930" spans="1:12" x14ac:dyDescent="0.25">
      <c r="A930" t="s">
        <v>1269</v>
      </c>
      <c r="B930">
        <v>1731</v>
      </c>
      <c r="C930" t="s">
        <v>1297</v>
      </c>
      <c r="D930">
        <v>580</v>
      </c>
      <c r="E930" t="s">
        <v>1008</v>
      </c>
      <c r="F930" t="s">
        <v>1236</v>
      </c>
      <c r="G930">
        <v>5000</v>
      </c>
      <c r="H930" t="s">
        <v>1270</v>
      </c>
      <c r="L930">
        <v>580.1</v>
      </c>
    </row>
    <row r="931" spans="1:12" x14ac:dyDescent="0.25">
      <c r="A931" t="s">
        <v>1269</v>
      </c>
      <c r="B931">
        <v>1731</v>
      </c>
      <c r="C931" t="s">
        <v>1297</v>
      </c>
      <c r="D931">
        <v>610</v>
      </c>
      <c r="E931" t="s">
        <v>1010</v>
      </c>
      <c r="F931" t="s">
        <v>1237</v>
      </c>
      <c r="G931">
        <v>0</v>
      </c>
      <c r="H931" t="s">
        <v>1270</v>
      </c>
      <c r="L931">
        <v>610.1</v>
      </c>
    </row>
    <row r="932" spans="1:12" x14ac:dyDescent="0.25">
      <c r="A932" t="s">
        <v>1269</v>
      </c>
      <c r="B932">
        <v>1731</v>
      </c>
      <c r="C932" t="s">
        <v>1297</v>
      </c>
      <c r="D932">
        <v>615</v>
      </c>
      <c r="E932" t="s">
        <v>1010</v>
      </c>
      <c r="F932" t="s">
        <v>1238</v>
      </c>
      <c r="G932">
        <v>0</v>
      </c>
      <c r="H932" t="s">
        <v>1270</v>
      </c>
      <c r="L932">
        <v>615.1</v>
      </c>
    </row>
    <row r="933" spans="1:12" x14ac:dyDescent="0.25">
      <c r="A933" t="s">
        <v>1269</v>
      </c>
      <c r="B933">
        <v>1731</v>
      </c>
      <c r="C933" t="s">
        <v>1297</v>
      </c>
      <c r="D933">
        <v>620</v>
      </c>
      <c r="E933" t="s">
        <v>1010</v>
      </c>
      <c r="F933" t="s">
        <v>1239</v>
      </c>
      <c r="G933">
        <v>2000</v>
      </c>
      <c r="H933" t="s">
        <v>1270</v>
      </c>
      <c r="L933">
        <v>620.1</v>
      </c>
    </row>
    <row r="934" spans="1:12" x14ac:dyDescent="0.25">
      <c r="A934" t="s">
        <v>1269</v>
      </c>
      <c r="B934">
        <v>1731</v>
      </c>
      <c r="C934" t="s">
        <v>1297</v>
      </c>
      <c r="D934">
        <v>640</v>
      </c>
      <c r="E934" t="s">
        <v>1248</v>
      </c>
      <c r="F934" t="s">
        <v>1249</v>
      </c>
      <c r="G934">
        <v>0</v>
      </c>
      <c r="H934" t="s">
        <v>1270</v>
      </c>
      <c r="L934">
        <v>640.1</v>
      </c>
    </row>
    <row r="935" spans="1:12" x14ac:dyDescent="0.25">
      <c r="A935" t="s">
        <v>1269</v>
      </c>
      <c r="B935">
        <v>1731</v>
      </c>
      <c r="C935" t="s">
        <v>1297</v>
      </c>
      <c r="D935">
        <v>655</v>
      </c>
      <c r="E935" t="s">
        <v>1010</v>
      </c>
      <c r="F935" t="s">
        <v>1240</v>
      </c>
      <c r="G935">
        <v>5004</v>
      </c>
      <c r="H935" t="s">
        <v>1270</v>
      </c>
      <c r="L935">
        <v>655.1</v>
      </c>
    </row>
    <row r="936" spans="1:12" x14ac:dyDescent="0.25">
      <c r="A936" t="s">
        <v>1269</v>
      </c>
      <c r="B936">
        <v>1731</v>
      </c>
      <c r="C936" t="s">
        <v>1297</v>
      </c>
      <c r="D936">
        <v>670</v>
      </c>
      <c r="E936" t="s">
        <v>1010</v>
      </c>
      <c r="F936" t="s">
        <v>1242</v>
      </c>
      <c r="G936">
        <v>4000</v>
      </c>
      <c r="H936" t="s">
        <v>1270</v>
      </c>
      <c r="L936">
        <v>670.1</v>
      </c>
    </row>
    <row r="937" spans="1:12" x14ac:dyDescent="0.25">
      <c r="A937" t="s">
        <v>1269</v>
      </c>
      <c r="B937">
        <v>1731</v>
      </c>
      <c r="C937" t="s">
        <v>1297</v>
      </c>
      <c r="D937">
        <v>680</v>
      </c>
      <c r="E937" t="s">
        <v>1010</v>
      </c>
      <c r="F937" t="s">
        <v>1254</v>
      </c>
      <c r="G937">
        <v>600</v>
      </c>
      <c r="H937" t="s">
        <v>1270</v>
      </c>
      <c r="L937">
        <v>680.1</v>
      </c>
    </row>
    <row r="938" spans="1:12" x14ac:dyDescent="0.25">
      <c r="A938" t="s">
        <v>1299</v>
      </c>
      <c r="B938">
        <v>1741</v>
      </c>
      <c r="C938" t="s">
        <v>1297</v>
      </c>
      <c r="D938">
        <v>113</v>
      </c>
      <c r="E938" t="s">
        <v>1001</v>
      </c>
      <c r="F938" t="s">
        <v>1221</v>
      </c>
      <c r="G938">
        <v>0</v>
      </c>
      <c r="H938" t="s">
        <v>1222</v>
      </c>
      <c r="L938">
        <v>113.1</v>
      </c>
    </row>
    <row r="939" spans="1:12" x14ac:dyDescent="0.25">
      <c r="A939" t="s">
        <v>1299</v>
      </c>
      <c r="B939">
        <v>1741</v>
      </c>
      <c r="C939" t="s">
        <v>1297</v>
      </c>
      <c r="D939">
        <v>114</v>
      </c>
      <c r="E939" t="s">
        <v>1001</v>
      </c>
      <c r="F939" t="s">
        <v>1223</v>
      </c>
      <c r="G939">
        <v>0</v>
      </c>
      <c r="L939">
        <v>114.1</v>
      </c>
    </row>
    <row r="940" spans="1:12" x14ac:dyDescent="0.25">
      <c r="A940" t="s">
        <v>1299</v>
      </c>
      <c r="B940">
        <v>1741</v>
      </c>
      <c r="C940" t="s">
        <v>1297</v>
      </c>
      <c r="D940">
        <v>115</v>
      </c>
      <c r="E940" t="s">
        <v>1001</v>
      </c>
      <c r="F940" t="s">
        <v>1224</v>
      </c>
      <c r="G940">
        <v>184647.98</v>
      </c>
      <c r="H940" t="s">
        <v>1300</v>
      </c>
      <c r="L940">
        <v>115.1</v>
      </c>
    </row>
    <row r="941" spans="1:12" x14ac:dyDescent="0.25">
      <c r="A941" t="s">
        <v>1299</v>
      </c>
      <c r="B941">
        <v>1741</v>
      </c>
      <c r="C941" t="s">
        <v>1297</v>
      </c>
      <c r="D941">
        <v>116</v>
      </c>
      <c r="E941" t="s">
        <v>1001</v>
      </c>
      <c r="F941" t="s">
        <v>1225</v>
      </c>
      <c r="G941">
        <v>0</v>
      </c>
      <c r="H941" t="s">
        <v>1300</v>
      </c>
      <c r="L941">
        <v>116.1</v>
      </c>
    </row>
    <row r="942" spans="1:12" x14ac:dyDescent="0.25">
      <c r="A942" t="s">
        <v>1299</v>
      </c>
      <c r="B942">
        <v>1741</v>
      </c>
      <c r="C942" t="s">
        <v>1297</v>
      </c>
      <c r="D942">
        <v>130</v>
      </c>
      <c r="E942" t="s">
        <v>1001</v>
      </c>
      <c r="F942" t="s">
        <v>1229</v>
      </c>
      <c r="G942">
        <v>1734887.1010814651</v>
      </c>
      <c r="H942" t="s">
        <v>1300</v>
      </c>
      <c r="L942">
        <v>130.1</v>
      </c>
    </row>
    <row r="943" spans="1:12" x14ac:dyDescent="0.25">
      <c r="A943" t="s">
        <v>1299</v>
      </c>
      <c r="B943">
        <v>1761</v>
      </c>
      <c r="C943" t="s">
        <v>1297</v>
      </c>
      <c r="D943">
        <v>130</v>
      </c>
      <c r="E943" t="s">
        <v>1001</v>
      </c>
      <c r="F943" t="s">
        <v>1229</v>
      </c>
      <c r="G943">
        <v>0</v>
      </c>
      <c r="L943">
        <v>130.1</v>
      </c>
    </row>
    <row r="944" spans="1:12" x14ac:dyDescent="0.25">
      <c r="A944" t="s">
        <v>1299</v>
      </c>
      <c r="B944">
        <v>1741</v>
      </c>
      <c r="C944" t="s">
        <v>1297</v>
      </c>
      <c r="D944">
        <v>430</v>
      </c>
      <c r="E944" t="s">
        <v>1005</v>
      </c>
      <c r="F944" t="s">
        <v>1245</v>
      </c>
      <c r="G944">
        <v>200004</v>
      </c>
      <c r="H944" t="s">
        <v>1300</v>
      </c>
      <c r="L944">
        <v>430.1</v>
      </c>
    </row>
    <row r="945" spans="1:12" x14ac:dyDescent="0.25">
      <c r="A945" t="s">
        <v>1299</v>
      </c>
      <c r="B945">
        <v>1741</v>
      </c>
      <c r="C945" t="s">
        <v>1297</v>
      </c>
      <c r="D945">
        <v>470</v>
      </c>
      <c r="E945" t="s">
        <v>1005</v>
      </c>
      <c r="F945" t="s">
        <v>1247</v>
      </c>
      <c r="G945">
        <v>0</v>
      </c>
      <c r="H945" t="s">
        <v>1300</v>
      </c>
      <c r="L945">
        <v>470.1</v>
      </c>
    </row>
    <row r="946" spans="1:12" x14ac:dyDescent="0.25">
      <c r="A946" t="s">
        <v>1299</v>
      </c>
      <c r="B946">
        <v>1741</v>
      </c>
      <c r="C946" t="s">
        <v>1297</v>
      </c>
      <c r="D946">
        <v>520</v>
      </c>
      <c r="E946" t="s">
        <v>1008</v>
      </c>
      <c r="F946" t="s">
        <v>1232</v>
      </c>
      <c r="G946">
        <v>134400</v>
      </c>
      <c r="H946" t="s">
        <v>1300</v>
      </c>
      <c r="L946">
        <v>520.1</v>
      </c>
    </row>
    <row r="947" spans="1:12" x14ac:dyDescent="0.25">
      <c r="A947" t="s">
        <v>1299</v>
      </c>
      <c r="B947">
        <v>1741</v>
      </c>
      <c r="C947" t="s">
        <v>1297</v>
      </c>
      <c r="D947">
        <v>540</v>
      </c>
      <c r="E947" t="s">
        <v>1008</v>
      </c>
      <c r="F947" t="s">
        <v>1233</v>
      </c>
      <c r="G947">
        <v>63996</v>
      </c>
      <c r="H947" t="s">
        <v>1300</v>
      </c>
      <c r="L947">
        <v>540.1</v>
      </c>
    </row>
    <row r="948" spans="1:12" x14ac:dyDescent="0.25">
      <c r="A948" t="s">
        <v>1299</v>
      </c>
      <c r="B948">
        <v>1741</v>
      </c>
      <c r="C948" t="s">
        <v>1297</v>
      </c>
      <c r="D948">
        <v>550</v>
      </c>
      <c r="E948" t="s">
        <v>1008</v>
      </c>
      <c r="F948" t="s">
        <v>1234</v>
      </c>
      <c r="G948">
        <v>5004</v>
      </c>
      <c r="H948" t="s">
        <v>1300</v>
      </c>
      <c r="L948">
        <v>550.1</v>
      </c>
    </row>
    <row r="949" spans="1:12" x14ac:dyDescent="0.25">
      <c r="A949" t="s">
        <v>1299</v>
      </c>
      <c r="B949">
        <v>1741</v>
      </c>
      <c r="C949" t="s">
        <v>1297</v>
      </c>
      <c r="D949">
        <v>560</v>
      </c>
      <c r="E949" t="s">
        <v>1008</v>
      </c>
      <c r="F949" t="s">
        <v>1235</v>
      </c>
      <c r="G949">
        <v>0</v>
      </c>
      <c r="H949" t="s">
        <v>1300</v>
      </c>
      <c r="L949">
        <v>560.1</v>
      </c>
    </row>
    <row r="950" spans="1:12" x14ac:dyDescent="0.25">
      <c r="A950" t="s">
        <v>1299</v>
      </c>
      <c r="B950">
        <v>1741</v>
      </c>
      <c r="C950" t="s">
        <v>1297</v>
      </c>
      <c r="D950">
        <v>570</v>
      </c>
      <c r="E950" t="s">
        <v>1008</v>
      </c>
      <c r="F950" t="s">
        <v>1272</v>
      </c>
      <c r="G950">
        <v>108000</v>
      </c>
      <c r="H950" t="s">
        <v>1300</v>
      </c>
      <c r="L950">
        <v>570.1</v>
      </c>
    </row>
    <row r="951" spans="1:12" x14ac:dyDescent="0.25">
      <c r="A951" t="s">
        <v>1299</v>
      </c>
      <c r="B951">
        <v>1741</v>
      </c>
      <c r="C951" t="s">
        <v>1297</v>
      </c>
      <c r="D951">
        <v>580</v>
      </c>
      <c r="E951" t="s">
        <v>1008</v>
      </c>
      <c r="F951" t="s">
        <v>1236</v>
      </c>
      <c r="G951">
        <v>6000</v>
      </c>
      <c r="H951" t="s">
        <v>1300</v>
      </c>
      <c r="L951">
        <v>580.1</v>
      </c>
    </row>
    <row r="952" spans="1:12" x14ac:dyDescent="0.25">
      <c r="A952" t="s">
        <v>1299</v>
      </c>
      <c r="B952">
        <v>1741</v>
      </c>
      <c r="C952" t="s">
        <v>1297</v>
      </c>
      <c r="D952">
        <v>610</v>
      </c>
      <c r="E952" t="s">
        <v>1010</v>
      </c>
      <c r="F952" t="s">
        <v>1237</v>
      </c>
      <c r="G952">
        <v>20004</v>
      </c>
      <c r="H952" t="s">
        <v>1300</v>
      </c>
      <c r="L952">
        <v>610.1</v>
      </c>
    </row>
    <row r="953" spans="1:12" x14ac:dyDescent="0.25">
      <c r="A953" t="s">
        <v>1299</v>
      </c>
      <c r="B953">
        <v>1741</v>
      </c>
      <c r="C953" t="s">
        <v>1297</v>
      </c>
      <c r="D953">
        <v>615</v>
      </c>
      <c r="E953" t="s">
        <v>1010</v>
      </c>
      <c r="F953" t="s">
        <v>1238</v>
      </c>
      <c r="G953">
        <v>0</v>
      </c>
      <c r="H953" t="s">
        <v>1300</v>
      </c>
      <c r="L953">
        <v>615.1</v>
      </c>
    </row>
    <row r="954" spans="1:12" x14ac:dyDescent="0.25">
      <c r="A954" t="s">
        <v>1299</v>
      </c>
      <c r="B954">
        <v>1741</v>
      </c>
      <c r="C954" t="s">
        <v>1297</v>
      </c>
      <c r="D954">
        <v>620</v>
      </c>
      <c r="E954" t="s">
        <v>1010</v>
      </c>
      <c r="F954" t="s">
        <v>1239</v>
      </c>
      <c r="G954">
        <v>2004</v>
      </c>
      <c r="H954" t="s">
        <v>1300</v>
      </c>
      <c r="L954">
        <v>620.1</v>
      </c>
    </row>
    <row r="955" spans="1:12" x14ac:dyDescent="0.25">
      <c r="A955" t="s">
        <v>1299</v>
      </c>
      <c r="B955">
        <v>1741</v>
      </c>
      <c r="C955" t="s">
        <v>1297</v>
      </c>
      <c r="D955">
        <v>640</v>
      </c>
      <c r="E955" t="s">
        <v>1248</v>
      </c>
      <c r="F955" t="s">
        <v>1249</v>
      </c>
      <c r="G955">
        <v>103992</v>
      </c>
      <c r="H955" t="s">
        <v>1300</v>
      </c>
      <c r="L955">
        <v>640.1</v>
      </c>
    </row>
    <row r="956" spans="1:12" x14ac:dyDescent="0.25">
      <c r="A956" t="s">
        <v>1299</v>
      </c>
      <c r="B956">
        <v>1741</v>
      </c>
      <c r="C956" t="s">
        <v>1297</v>
      </c>
      <c r="D956">
        <v>655</v>
      </c>
      <c r="E956" t="s">
        <v>1010</v>
      </c>
      <c r="F956" t="s">
        <v>1240</v>
      </c>
      <c r="G956">
        <v>30000</v>
      </c>
      <c r="H956" t="s">
        <v>1300</v>
      </c>
      <c r="L956">
        <v>655.1</v>
      </c>
    </row>
    <row r="957" spans="1:12" x14ac:dyDescent="0.25">
      <c r="A957" t="s">
        <v>1299</v>
      </c>
      <c r="B957">
        <v>1741</v>
      </c>
      <c r="C957" t="s">
        <v>1297</v>
      </c>
      <c r="D957">
        <v>670</v>
      </c>
      <c r="E957" t="s">
        <v>1010</v>
      </c>
      <c r="F957" t="s">
        <v>1242</v>
      </c>
      <c r="G957">
        <v>5004</v>
      </c>
      <c r="H957" t="s">
        <v>1300</v>
      </c>
      <c r="L957">
        <v>670.1</v>
      </c>
    </row>
    <row r="958" spans="1:12" x14ac:dyDescent="0.25">
      <c r="A958" t="s">
        <v>1230</v>
      </c>
      <c r="B958">
        <v>1731</v>
      </c>
      <c r="C958" t="s">
        <v>1297</v>
      </c>
      <c r="D958">
        <v>510</v>
      </c>
      <c r="E958" t="s">
        <v>1008</v>
      </c>
      <c r="F958" t="s">
        <v>1231</v>
      </c>
      <c r="G958">
        <v>3004</v>
      </c>
      <c r="L958">
        <v>510.1</v>
      </c>
    </row>
    <row r="959" spans="1:12" x14ac:dyDescent="0.25">
      <c r="A959" t="s">
        <v>1230</v>
      </c>
      <c r="B959">
        <v>1731</v>
      </c>
      <c r="C959" t="s">
        <v>1297</v>
      </c>
      <c r="D959">
        <v>520</v>
      </c>
      <c r="E959" t="s">
        <v>1008</v>
      </c>
      <c r="F959" t="s">
        <v>1232</v>
      </c>
      <c r="G959">
        <v>42004</v>
      </c>
      <c r="L959">
        <v>520.1</v>
      </c>
    </row>
    <row r="960" spans="1:12" x14ac:dyDescent="0.25">
      <c r="A960" t="s">
        <v>1230</v>
      </c>
      <c r="B960">
        <v>1731</v>
      </c>
      <c r="C960" t="s">
        <v>1297</v>
      </c>
      <c r="D960">
        <v>540</v>
      </c>
      <c r="E960" t="s">
        <v>1008</v>
      </c>
      <c r="F960" t="s">
        <v>1233</v>
      </c>
      <c r="G960">
        <v>22000</v>
      </c>
      <c r="L960">
        <v>540.1</v>
      </c>
    </row>
    <row r="961" spans="1:12" x14ac:dyDescent="0.25">
      <c r="A961" t="s">
        <v>1230</v>
      </c>
      <c r="B961">
        <v>1741</v>
      </c>
      <c r="C961" t="s">
        <v>1297</v>
      </c>
      <c r="D961">
        <v>540</v>
      </c>
      <c r="E961" t="s">
        <v>1008</v>
      </c>
      <c r="F961" t="s">
        <v>1233</v>
      </c>
      <c r="G961">
        <v>0</v>
      </c>
      <c r="L961">
        <v>540.1</v>
      </c>
    </row>
    <row r="962" spans="1:12" x14ac:dyDescent="0.25">
      <c r="A962" t="s">
        <v>1230</v>
      </c>
      <c r="B962">
        <v>1731</v>
      </c>
      <c r="C962" t="s">
        <v>1297</v>
      </c>
      <c r="D962">
        <v>550</v>
      </c>
      <c r="E962" t="s">
        <v>1008</v>
      </c>
      <c r="F962" t="s">
        <v>1234</v>
      </c>
      <c r="G962">
        <v>9000</v>
      </c>
      <c r="L962">
        <v>550.1</v>
      </c>
    </row>
    <row r="963" spans="1:12" x14ac:dyDescent="0.25">
      <c r="A963" t="s">
        <v>1230</v>
      </c>
      <c r="B963">
        <v>1731</v>
      </c>
      <c r="C963" t="s">
        <v>1297</v>
      </c>
      <c r="D963">
        <v>610</v>
      </c>
      <c r="E963" t="s">
        <v>1010</v>
      </c>
      <c r="F963" t="s">
        <v>1237</v>
      </c>
      <c r="G963">
        <v>7000</v>
      </c>
      <c r="L963">
        <v>610.1</v>
      </c>
    </row>
    <row r="964" spans="1:12" x14ac:dyDescent="0.25">
      <c r="A964" t="s">
        <v>1230</v>
      </c>
      <c r="B964">
        <v>1731</v>
      </c>
      <c r="C964" t="s">
        <v>1297</v>
      </c>
      <c r="D964">
        <v>640</v>
      </c>
      <c r="E964" t="s">
        <v>1248</v>
      </c>
      <c r="F964" t="s">
        <v>1249</v>
      </c>
      <c r="G964">
        <v>60000</v>
      </c>
      <c r="L964">
        <v>640.1</v>
      </c>
    </row>
    <row r="967" spans="1:12" x14ac:dyDescent="0.25">
      <c r="G967">
        <f>SUBTOTAL(9,G745:G790)</f>
        <v>7030017.6176139712</v>
      </c>
    </row>
    <row r="969" spans="1:12" x14ac:dyDescent="0.25">
      <c r="G969">
        <f>SUM(G2:G964)</f>
        <v>133217004.65999997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69D40-6505-4A2A-8186-4B9A8DA3CFC4}">
  <dimension ref="A1:F61"/>
  <sheetViews>
    <sheetView workbookViewId="0"/>
  </sheetViews>
  <sheetFormatPr defaultRowHeight="15" x14ac:dyDescent="0.25"/>
  <sheetData>
    <row r="1" spans="1:6" x14ac:dyDescent="0.25">
      <c r="A1" t="s">
        <v>1301</v>
      </c>
      <c r="B1" t="s">
        <v>492</v>
      </c>
      <c r="C1" t="s">
        <v>1302</v>
      </c>
      <c r="E1" t="s">
        <v>1303</v>
      </c>
      <c r="F1" t="s">
        <v>1304</v>
      </c>
    </row>
    <row r="2" spans="1:6" x14ac:dyDescent="0.25">
      <c r="A2">
        <v>0</v>
      </c>
      <c r="B2" t="s">
        <v>1305</v>
      </c>
      <c r="C2" t="s">
        <v>1306</v>
      </c>
      <c r="E2" t="s">
        <v>1001</v>
      </c>
      <c r="F2" t="s">
        <v>430</v>
      </c>
    </row>
    <row r="3" spans="1:6" x14ac:dyDescent="0.25">
      <c r="A3">
        <v>110</v>
      </c>
      <c r="B3" t="s">
        <v>1307</v>
      </c>
      <c r="C3" t="s">
        <v>1001</v>
      </c>
      <c r="E3" t="s">
        <v>1002</v>
      </c>
      <c r="F3" t="s">
        <v>1308</v>
      </c>
    </row>
    <row r="4" spans="1:6" x14ac:dyDescent="0.25">
      <c r="A4">
        <v>113</v>
      </c>
      <c r="B4" t="s">
        <v>1221</v>
      </c>
      <c r="C4" t="s">
        <v>1001</v>
      </c>
      <c r="E4" t="s">
        <v>1004</v>
      </c>
      <c r="F4" t="s">
        <v>1309</v>
      </c>
    </row>
    <row r="5" spans="1:6" x14ac:dyDescent="0.25">
      <c r="A5">
        <v>114</v>
      </c>
      <c r="B5" t="s">
        <v>1223</v>
      </c>
      <c r="C5" t="s">
        <v>1001</v>
      </c>
      <c r="E5">
        <v>4</v>
      </c>
      <c r="F5" t="s">
        <v>433</v>
      </c>
    </row>
    <row r="6" spans="1:6" x14ac:dyDescent="0.25">
      <c r="A6">
        <v>115</v>
      </c>
      <c r="B6" t="s">
        <v>1224</v>
      </c>
      <c r="C6" t="s">
        <v>1001</v>
      </c>
      <c r="E6" t="s">
        <v>1005</v>
      </c>
      <c r="F6" t="s">
        <v>1310</v>
      </c>
    </row>
    <row r="7" spans="1:6" x14ac:dyDescent="0.25">
      <c r="A7">
        <v>116</v>
      </c>
      <c r="B7" t="s">
        <v>1225</v>
      </c>
      <c r="C7" t="s">
        <v>1001</v>
      </c>
      <c r="E7" t="s">
        <v>1006</v>
      </c>
      <c r="F7" t="s">
        <v>1311</v>
      </c>
    </row>
    <row r="8" spans="1:6" x14ac:dyDescent="0.25">
      <c r="A8">
        <v>117</v>
      </c>
      <c r="B8" t="s">
        <v>1226</v>
      </c>
      <c r="C8" t="s">
        <v>1001</v>
      </c>
      <c r="E8" t="s">
        <v>1008</v>
      </c>
      <c r="F8" t="s">
        <v>1312</v>
      </c>
    </row>
    <row r="9" spans="1:6" x14ac:dyDescent="0.25">
      <c r="A9">
        <v>118</v>
      </c>
      <c r="B9" t="s">
        <v>1227</v>
      </c>
      <c r="C9" t="s">
        <v>1001</v>
      </c>
      <c r="E9" t="s">
        <v>1010</v>
      </c>
      <c r="F9" t="s">
        <v>350</v>
      </c>
    </row>
    <row r="10" spans="1:6" x14ac:dyDescent="0.25">
      <c r="A10">
        <v>119</v>
      </c>
      <c r="B10" t="s">
        <v>1228</v>
      </c>
      <c r="C10" t="s">
        <v>1001</v>
      </c>
      <c r="E10" t="s">
        <v>1011</v>
      </c>
      <c r="F10" t="s">
        <v>437</v>
      </c>
    </row>
    <row r="11" spans="1:6" x14ac:dyDescent="0.25">
      <c r="A11">
        <v>120</v>
      </c>
      <c r="B11" t="s">
        <v>1293</v>
      </c>
      <c r="C11" t="s">
        <v>1001</v>
      </c>
      <c r="E11" t="s">
        <v>1012</v>
      </c>
      <c r="F11" t="s">
        <v>438</v>
      </c>
    </row>
    <row r="12" spans="1:6" x14ac:dyDescent="0.25">
      <c r="A12">
        <v>130</v>
      </c>
      <c r="B12" t="s">
        <v>1229</v>
      </c>
      <c r="C12" t="s">
        <v>1001</v>
      </c>
    </row>
    <row r="13" spans="1:6" x14ac:dyDescent="0.25">
      <c r="A13">
        <v>131</v>
      </c>
      <c r="B13" t="s">
        <v>1313</v>
      </c>
      <c r="C13" t="s">
        <v>1001</v>
      </c>
    </row>
    <row r="14" spans="1:6" x14ac:dyDescent="0.25">
      <c r="A14">
        <v>140</v>
      </c>
      <c r="B14" t="s">
        <v>1314</v>
      </c>
      <c r="C14" t="s">
        <v>1001</v>
      </c>
    </row>
    <row r="15" spans="1:6" x14ac:dyDescent="0.25">
      <c r="A15">
        <v>210</v>
      </c>
      <c r="B15" t="s">
        <v>336</v>
      </c>
      <c r="C15" t="s">
        <v>1002</v>
      </c>
    </row>
    <row r="16" spans="1:6" x14ac:dyDescent="0.25">
      <c r="A16">
        <v>220</v>
      </c>
      <c r="B16" t="s">
        <v>1260</v>
      </c>
      <c r="C16" t="s">
        <v>1002</v>
      </c>
    </row>
    <row r="17" spans="1:3" x14ac:dyDescent="0.25">
      <c r="A17">
        <v>230</v>
      </c>
      <c r="B17" t="s">
        <v>1261</v>
      </c>
      <c r="C17" t="s">
        <v>1002</v>
      </c>
    </row>
    <row r="18" spans="1:3" x14ac:dyDescent="0.25">
      <c r="A18">
        <v>240</v>
      </c>
      <c r="B18" t="s">
        <v>1264</v>
      </c>
      <c r="C18" t="s">
        <v>1002</v>
      </c>
    </row>
    <row r="19" spans="1:3" x14ac:dyDescent="0.25">
      <c r="A19">
        <v>310</v>
      </c>
      <c r="B19" t="s">
        <v>1277</v>
      </c>
      <c r="C19" t="s">
        <v>1004</v>
      </c>
    </row>
    <row r="20" spans="1:3" x14ac:dyDescent="0.25">
      <c r="A20">
        <v>350</v>
      </c>
      <c r="B20" t="s">
        <v>406</v>
      </c>
      <c r="C20" t="s">
        <v>1004</v>
      </c>
    </row>
    <row r="21" spans="1:3" x14ac:dyDescent="0.25">
      <c r="A21">
        <v>355</v>
      </c>
      <c r="B21" t="s">
        <v>406</v>
      </c>
      <c r="C21" t="s">
        <v>1004</v>
      </c>
    </row>
    <row r="22" spans="1:3" x14ac:dyDescent="0.25">
      <c r="A22">
        <v>358</v>
      </c>
      <c r="B22" t="s">
        <v>1315</v>
      </c>
      <c r="C22" t="s">
        <v>1004</v>
      </c>
    </row>
    <row r="23" spans="1:3" x14ac:dyDescent="0.25">
      <c r="A23">
        <v>410</v>
      </c>
      <c r="B23" t="s">
        <v>1290</v>
      </c>
      <c r="C23" t="s">
        <v>1248</v>
      </c>
    </row>
    <row r="24" spans="1:3" x14ac:dyDescent="0.25">
      <c r="A24">
        <v>415</v>
      </c>
      <c r="B24" t="s">
        <v>1286</v>
      </c>
      <c r="C24" t="s">
        <v>1248</v>
      </c>
    </row>
    <row r="25" spans="1:3" x14ac:dyDescent="0.25">
      <c r="A25">
        <v>430</v>
      </c>
      <c r="B25" t="s">
        <v>1245</v>
      </c>
      <c r="C25" t="s">
        <v>1005</v>
      </c>
    </row>
    <row r="26" spans="1:3" x14ac:dyDescent="0.25">
      <c r="A26">
        <v>440</v>
      </c>
      <c r="B26" t="s">
        <v>1265</v>
      </c>
      <c r="C26" t="s">
        <v>1248</v>
      </c>
    </row>
    <row r="27" spans="1:3" x14ac:dyDescent="0.25">
      <c r="A27">
        <v>445</v>
      </c>
      <c r="B27" t="s">
        <v>1271</v>
      </c>
      <c r="C27" t="s">
        <v>1248</v>
      </c>
    </row>
    <row r="28" spans="1:3" x14ac:dyDescent="0.25">
      <c r="A28">
        <v>450</v>
      </c>
      <c r="B28" t="s">
        <v>1246</v>
      </c>
      <c r="C28">
        <v>6</v>
      </c>
    </row>
    <row r="29" spans="1:3" x14ac:dyDescent="0.25">
      <c r="A29">
        <v>470</v>
      </c>
      <c r="B29" t="s">
        <v>1247</v>
      </c>
      <c r="C29" t="s">
        <v>1005</v>
      </c>
    </row>
    <row r="30" spans="1:3" x14ac:dyDescent="0.25">
      <c r="A30">
        <v>480</v>
      </c>
      <c r="B30" t="s">
        <v>1316</v>
      </c>
      <c r="C30" t="s">
        <v>1005</v>
      </c>
    </row>
    <row r="31" spans="1:3" x14ac:dyDescent="0.25">
      <c r="A31">
        <v>490</v>
      </c>
      <c r="B31" t="s">
        <v>1316</v>
      </c>
      <c r="C31" t="s">
        <v>1005</v>
      </c>
    </row>
    <row r="32" spans="1:3" x14ac:dyDescent="0.25">
      <c r="A32">
        <v>495</v>
      </c>
      <c r="B32" t="s">
        <v>1316</v>
      </c>
      <c r="C32" t="s">
        <v>1005</v>
      </c>
    </row>
    <row r="33" spans="1:3" x14ac:dyDescent="0.25">
      <c r="A33">
        <v>510</v>
      </c>
      <c r="B33" t="s">
        <v>1231</v>
      </c>
      <c r="C33" t="s">
        <v>1008</v>
      </c>
    </row>
    <row r="34" spans="1:3" x14ac:dyDescent="0.25">
      <c r="A34">
        <v>520</v>
      </c>
      <c r="B34" t="s">
        <v>1232</v>
      </c>
      <c r="C34" t="s">
        <v>1008</v>
      </c>
    </row>
    <row r="35" spans="1:3" x14ac:dyDescent="0.25">
      <c r="A35">
        <v>530</v>
      </c>
      <c r="B35" t="s">
        <v>1288</v>
      </c>
      <c r="C35" t="s">
        <v>1008</v>
      </c>
    </row>
    <row r="36" spans="1:3" x14ac:dyDescent="0.25">
      <c r="A36">
        <v>540</v>
      </c>
      <c r="B36" t="s">
        <v>1233</v>
      </c>
      <c r="C36" t="s">
        <v>1008</v>
      </c>
    </row>
    <row r="37" spans="1:3" x14ac:dyDescent="0.25">
      <c r="A37">
        <v>550</v>
      </c>
      <c r="B37" t="s">
        <v>1234</v>
      </c>
      <c r="C37" t="s">
        <v>1008</v>
      </c>
    </row>
    <row r="38" spans="1:3" x14ac:dyDescent="0.25">
      <c r="A38">
        <v>560</v>
      </c>
      <c r="B38" t="s">
        <v>1235</v>
      </c>
      <c r="C38" t="s">
        <v>1008</v>
      </c>
    </row>
    <row r="39" spans="1:3" x14ac:dyDescent="0.25">
      <c r="A39">
        <v>570</v>
      </c>
      <c r="B39" t="s">
        <v>1272</v>
      </c>
      <c r="C39" t="s">
        <v>1008</v>
      </c>
    </row>
    <row r="40" spans="1:3" x14ac:dyDescent="0.25">
      <c r="A40">
        <v>580</v>
      </c>
      <c r="B40" t="s">
        <v>1236</v>
      </c>
      <c r="C40" t="s">
        <v>1008</v>
      </c>
    </row>
    <row r="41" spans="1:3" x14ac:dyDescent="0.25">
      <c r="A41">
        <v>610</v>
      </c>
      <c r="B41" t="s">
        <v>1237</v>
      </c>
      <c r="C41" t="s">
        <v>1010</v>
      </c>
    </row>
    <row r="42" spans="1:3" x14ac:dyDescent="0.25">
      <c r="A42">
        <v>614</v>
      </c>
      <c r="B42" t="s">
        <v>930</v>
      </c>
      <c r="C42" t="s">
        <v>1010</v>
      </c>
    </row>
    <row r="43" spans="1:3" x14ac:dyDescent="0.25">
      <c r="A43">
        <v>615</v>
      </c>
      <c r="B43" t="s">
        <v>1238</v>
      </c>
      <c r="C43" t="s">
        <v>1010</v>
      </c>
    </row>
    <row r="44" spans="1:3" x14ac:dyDescent="0.25">
      <c r="A44">
        <v>616</v>
      </c>
      <c r="B44" t="s">
        <v>1294</v>
      </c>
      <c r="C44" t="s">
        <v>1010</v>
      </c>
    </row>
    <row r="45" spans="1:3" x14ac:dyDescent="0.25">
      <c r="A45">
        <v>620</v>
      </c>
      <c r="B45" t="s">
        <v>1239</v>
      </c>
      <c r="C45" t="s">
        <v>1010</v>
      </c>
    </row>
    <row r="46" spans="1:3" x14ac:dyDescent="0.25">
      <c r="A46">
        <v>640</v>
      </c>
      <c r="B46" t="s">
        <v>1249</v>
      </c>
      <c r="C46" t="s">
        <v>1248</v>
      </c>
    </row>
    <row r="47" spans="1:3" x14ac:dyDescent="0.25">
      <c r="A47">
        <v>650</v>
      </c>
      <c r="B47" t="s">
        <v>1251</v>
      </c>
      <c r="C47" t="s">
        <v>1010</v>
      </c>
    </row>
    <row r="48" spans="1:3" x14ac:dyDescent="0.25">
      <c r="A48">
        <v>655</v>
      </c>
      <c r="B48" t="s">
        <v>1240</v>
      </c>
      <c r="C48" t="s">
        <v>1010</v>
      </c>
    </row>
    <row r="49" spans="1:3" x14ac:dyDescent="0.25">
      <c r="A49">
        <v>660</v>
      </c>
      <c r="B49" t="s">
        <v>1275</v>
      </c>
      <c r="C49" t="s">
        <v>1010</v>
      </c>
    </row>
    <row r="50" spans="1:3" x14ac:dyDescent="0.25">
      <c r="A50">
        <v>665</v>
      </c>
      <c r="B50" t="s">
        <v>1241</v>
      </c>
      <c r="C50" t="s">
        <v>1010</v>
      </c>
    </row>
    <row r="51" spans="1:3" x14ac:dyDescent="0.25">
      <c r="A51">
        <v>670</v>
      </c>
      <c r="B51" t="s">
        <v>1242</v>
      </c>
      <c r="C51" t="s">
        <v>1010</v>
      </c>
    </row>
    <row r="52" spans="1:3" x14ac:dyDescent="0.25">
      <c r="A52">
        <v>680</v>
      </c>
      <c r="B52" t="s">
        <v>1254</v>
      </c>
      <c r="C52" t="s">
        <v>1010</v>
      </c>
    </row>
    <row r="53" spans="1:3" x14ac:dyDescent="0.25">
      <c r="A53">
        <v>681</v>
      </c>
      <c r="B53" t="s">
        <v>709</v>
      </c>
      <c r="C53" t="s">
        <v>1010</v>
      </c>
    </row>
    <row r="54" spans="1:3" x14ac:dyDescent="0.25">
      <c r="A54">
        <v>690</v>
      </c>
      <c r="B54" t="s">
        <v>1317</v>
      </c>
      <c r="C54" t="s">
        <v>1010</v>
      </c>
    </row>
    <row r="55" spans="1:3" x14ac:dyDescent="0.25">
      <c r="A55">
        <v>695</v>
      </c>
      <c r="B55" t="s">
        <v>437</v>
      </c>
      <c r="C55" t="s">
        <v>1011</v>
      </c>
    </row>
    <row r="56" spans="1:3" x14ac:dyDescent="0.25">
      <c r="A56">
        <v>710</v>
      </c>
      <c r="B56" t="s">
        <v>1243</v>
      </c>
      <c r="C56" t="s">
        <v>1012</v>
      </c>
    </row>
    <row r="57" spans="1:3" x14ac:dyDescent="0.25">
      <c r="A57">
        <v>810</v>
      </c>
      <c r="B57" t="s">
        <v>1318</v>
      </c>
      <c r="C57" t="s">
        <v>1012</v>
      </c>
    </row>
    <row r="58" spans="1:3" x14ac:dyDescent="0.25">
      <c r="A58">
        <v>820</v>
      </c>
      <c r="B58" t="s">
        <v>1319</v>
      </c>
      <c r="C58" t="s">
        <v>1012</v>
      </c>
    </row>
    <row r="59" spans="1:3" x14ac:dyDescent="0.25">
      <c r="A59">
        <v>850</v>
      </c>
      <c r="B59" t="s">
        <v>1284</v>
      </c>
      <c r="C59" t="s">
        <v>1012</v>
      </c>
    </row>
    <row r="60" spans="1:3" x14ac:dyDescent="0.25">
      <c r="A60">
        <v>920</v>
      </c>
      <c r="B60" t="s">
        <v>1320</v>
      </c>
      <c r="C60" t="s">
        <v>1012</v>
      </c>
    </row>
    <row r="61" spans="1:3" x14ac:dyDescent="0.25">
      <c r="A61">
        <v>940</v>
      </c>
      <c r="B61" t="s">
        <v>1321</v>
      </c>
      <c r="C61" t="s">
        <v>1012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8855-4CAF-46BF-9F67-B744C0F29368}">
  <dimension ref="A1:I19"/>
  <sheetViews>
    <sheetView workbookViewId="0"/>
  </sheetViews>
  <sheetFormatPr defaultRowHeight="15" x14ac:dyDescent="0.25"/>
  <sheetData>
    <row r="1" spans="1:2" x14ac:dyDescent="0.25">
      <c r="A1" t="s">
        <v>84</v>
      </c>
    </row>
    <row r="4" spans="1:2" x14ac:dyDescent="0.25">
      <c r="A4" t="s">
        <v>1322</v>
      </c>
    </row>
    <row r="6" spans="1:2" x14ac:dyDescent="0.25">
      <c r="A6" t="s">
        <v>1323</v>
      </c>
    </row>
    <row r="10" spans="1:2" x14ac:dyDescent="0.25">
      <c r="B10" t="s">
        <v>1324</v>
      </c>
    </row>
    <row r="11" spans="1:2" x14ac:dyDescent="0.25">
      <c r="A11" t="s">
        <v>1325</v>
      </c>
    </row>
    <row r="12" spans="1:2" x14ac:dyDescent="0.25">
      <c r="A12" t="s">
        <v>1326</v>
      </c>
    </row>
    <row r="13" spans="1:2" x14ac:dyDescent="0.25">
      <c r="A13" t="s">
        <v>1327</v>
      </c>
    </row>
    <row r="15" spans="1:2" x14ac:dyDescent="0.25">
      <c r="B15" t="s">
        <v>84</v>
      </c>
    </row>
    <row r="19" spans="9:9" x14ac:dyDescent="0.25">
      <c r="I19" t="s">
        <v>1328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2B9F0-01DF-4198-8E6B-94DFB63AA378}">
  <dimension ref="A1:Z49"/>
  <sheetViews>
    <sheetView workbookViewId="0"/>
  </sheetViews>
  <sheetFormatPr defaultRowHeight="15" x14ac:dyDescent="0.25"/>
  <sheetData>
    <row r="1" spans="1:26" x14ac:dyDescent="0.25">
      <c r="A1" t="s">
        <v>410</v>
      </c>
    </row>
    <row r="2" spans="1:26" x14ac:dyDescent="0.25">
      <c r="A2" t="s">
        <v>411</v>
      </c>
      <c r="H2" t="s">
        <v>84</v>
      </c>
    </row>
    <row r="3" spans="1:26" x14ac:dyDescent="0.25">
      <c r="A3" t="s">
        <v>412</v>
      </c>
    </row>
    <row r="4" spans="1:26" x14ac:dyDescent="0.25">
      <c r="A4" t="s">
        <v>413</v>
      </c>
    </row>
    <row r="5" spans="1:26" x14ac:dyDescent="0.25">
      <c r="D5" t="s">
        <v>414</v>
      </c>
      <c r="L5" t="s">
        <v>415</v>
      </c>
      <c r="T5" t="s">
        <v>416</v>
      </c>
    </row>
    <row r="6" spans="1:26" x14ac:dyDescent="0.25">
      <c r="D6" t="s">
        <v>417</v>
      </c>
      <c r="F6" t="s">
        <v>418</v>
      </c>
      <c r="H6" t="s">
        <v>419</v>
      </c>
      <c r="J6" t="s">
        <v>420</v>
      </c>
      <c r="L6" t="s">
        <v>417</v>
      </c>
      <c r="N6" t="s">
        <v>418</v>
      </c>
      <c r="P6" t="s">
        <v>421</v>
      </c>
      <c r="R6" t="s">
        <v>420</v>
      </c>
      <c r="T6" t="s">
        <v>422</v>
      </c>
      <c r="V6" t="s">
        <v>423</v>
      </c>
      <c r="X6" t="s">
        <v>419</v>
      </c>
      <c r="Z6" t="s">
        <v>420</v>
      </c>
    </row>
    <row r="7" spans="1:26" x14ac:dyDescent="0.25">
      <c r="A7" t="s">
        <v>424</v>
      </c>
    </row>
    <row r="8" spans="1:26" x14ac:dyDescent="0.25">
      <c r="B8" t="s">
        <v>425</v>
      </c>
      <c r="C8" t="s">
        <v>355</v>
      </c>
      <c r="D8">
        <f>12062</f>
        <v>12062</v>
      </c>
      <c r="E8" t="s">
        <v>355</v>
      </c>
      <c r="F8">
        <v>12628</v>
      </c>
      <c r="G8" t="s">
        <v>355</v>
      </c>
      <c r="H8">
        <f>+D8-F8</f>
        <v>-566</v>
      </c>
      <c r="J8">
        <f>(+H8/F8)*100</f>
        <v>-4.4821032625910675</v>
      </c>
      <c r="K8" t="s">
        <v>355</v>
      </c>
      <c r="L8">
        <f>93184</f>
        <v>93184</v>
      </c>
      <c r="M8" t="s">
        <v>355</v>
      </c>
      <c r="N8">
        <f>128191</f>
        <v>128191</v>
      </c>
      <c r="O8" t="s">
        <v>355</v>
      </c>
      <c r="P8">
        <f>+L8-N8</f>
        <v>-35007</v>
      </c>
      <c r="R8">
        <f>(+P8/N8)*100</f>
        <v>-27.308469393327144</v>
      </c>
      <c r="S8" t="s">
        <v>355</v>
      </c>
      <c r="T8">
        <v>118011</v>
      </c>
      <c r="U8" t="s">
        <v>355</v>
      </c>
      <c r="V8">
        <v>152710</v>
      </c>
      <c r="W8" t="s">
        <v>355</v>
      </c>
      <c r="X8">
        <f>+T8-V8</f>
        <v>-34699</v>
      </c>
      <c r="Z8">
        <f>(+X8/V8)*100</f>
        <v>-22.722153100648288</v>
      </c>
    </row>
    <row r="9" spans="1:26" x14ac:dyDescent="0.25">
      <c r="B9" t="s">
        <v>426</v>
      </c>
      <c r="D9">
        <f>10+70+1</f>
        <v>81</v>
      </c>
      <c r="F9">
        <v>65</v>
      </c>
      <c r="H9">
        <f>+D9-F9</f>
        <v>16</v>
      </c>
      <c r="J9">
        <f>(+H9/F9)*100</f>
        <v>24.615384615384617</v>
      </c>
      <c r="L9">
        <f>23+70+1027</f>
        <v>1120</v>
      </c>
      <c r="N9">
        <f>6+642</f>
        <v>648</v>
      </c>
      <c r="P9">
        <f>+L9-N9</f>
        <v>472</v>
      </c>
      <c r="R9">
        <f>(+P9/N9)*100</f>
        <v>72.839506172839506</v>
      </c>
      <c r="T9">
        <f>90+24+1167</f>
        <v>1281</v>
      </c>
      <c r="V9">
        <f>7+771</f>
        <v>778</v>
      </c>
      <c r="X9">
        <f>+T9-V9</f>
        <v>503</v>
      </c>
      <c r="Z9">
        <f>(+X9/V9)*100</f>
        <v>64.652956298200507</v>
      </c>
    </row>
    <row r="10" spans="1:26" x14ac:dyDescent="0.25">
      <c r="B10" t="s">
        <v>427</v>
      </c>
      <c r="D10">
        <f>1250</f>
        <v>1250</v>
      </c>
      <c r="E10" t="s">
        <v>84</v>
      </c>
      <c r="F10">
        <v>25</v>
      </c>
      <c r="H10">
        <f>+D10-F10</f>
        <v>1225</v>
      </c>
      <c r="J10">
        <v>0</v>
      </c>
      <c r="L10">
        <f>7648</f>
        <v>7648</v>
      </c>
      <c r="M10">
        <v>0</v>
      </c>
      <c r="N10">
        <f>249</f>
        <v>249</v>
      </c>
      <c r="P10">
        <f>+L10-N10</f>
        <v>7399</v>
      </c>
      <c r="R10">
        <v>0</v>
      </c>
      <c r="T10">
        <v>4903</v>
      </c>
      <c r="V10">
        <v>299</v>
      </c>
      <c r="X10">
        <f>+T10-V10</f>
        <v>4604</v>
      </c>
      <c r="Z10">
        <f>(+X10/V10)*100</f>
        <v>1539.7993311036789</v>
      </c>
    </row>
    <row r="11" spans="1:26" x14ac:dyDescent="0.25">
      <c r="B11" t="s">
        <v>428</v>
      </c>
      <c r="D11">
        <f>SUM(D8:D10)</f>
        <v>13393</v>
      </c>
      <c r="E11" t="s">
        <v>84</v>
      </c>
      <c r="F11">
        <f>SUM(F8:F10)</f>
        <v>12718</v>
      </c>
      <c r="G11" t="s">
        <v>84</v>
      </c>
      <c r="H11">
        <f>SUM(H8:H10)</f>
        <v>675</v>
      </c>
      <c r="J11">
        <f>(+H11/F11)*100</f>
        <v>5.307438276458563</v>
      </c>
      <c r="L11">
        <f>SUM(L8:L10)</f>
        <v>101952</v>
      </c>
      <c r="M11" t="s">
        <v>84</v>
      </c>
      <c r="N11">
        <f>SUM(N8:N10)</f>
        <v>129088</v>
      </c>
      <c r="O11" t="s">
        <v>84</v>
      </c>
      <c r="P11">
        <f>SUM(P8:P10)</f>
        <v>-27136</v>
      </c>
      <c r="R11">
        <f>(+P11/N11)*100</f>
        <v>-21.021318790282599</v>
      </c>
      <c r="S11" t="s">
        <v>84</v>
      </c>
      <c r="T11">
        <f>SUM(T8:T10)</f>
        <v>124195</v>
      </c>
      <c r="U11" t="s">
        <v>84</v>
      </c>
      <c r="V11">
        <f>SUM(V8:V10)</f>
        <v>153787</v>
      </c>
      <c r="W11" t="s">
        <v>84</v>
      </c>
      <c r="X11">
        <f>SUM(X8:X10)</f>
        <v>-29592</v>
      </c>
      <c r="Z11">
        <f>(+X11/V11)*100</f>
        <v>-19.242198625371458</v>
      </c>
    </row>
    <row r="13" spans="1:26" x14ac:dyDescent="0.25">
      <c r="A13" t="s">
        <v>429</v>
      </c>
    </row>
    <row r="14" spans="1:26" x14ac:dyDescent="0.25">
      <c r="B14" t="s">
        <v>430</v>
      </c>
      <c r="D14">
        <v>2416</v>
      </c>
      <c r="F14">
        <v>3186</v>
      </c>
      <c r="H14">
        <f t="shared" ref="H14:H23" si="0">-F14+D14</f>
        <v>-770</v>
      </c>
      <c r="J14">
        <f t="shared" ref="J14:J21" si="1">(+H14/F14)*100</f>
        <v>-24.168236032642813</v>
      </c>
      <c r="L14">
        <v>25032</v>
      </c>
      <c r="N14">
        <v>30085</v>
      </c>
      <c r="P14">
        <f t="shared" ref="P14:P23" si="2">-N14+L14</f>
        <v>-5053</v>
      </c>
      <c r="R14">
        <f t="shared" ref="R14:R21" si="3">(+P14/N14)*100</f>
        <v>-16.795745388067143</v>
      </c>
      <c r="T14">
        <f>31023+1273+1779</f>
        <v>34075</v>
      </c>
      <c r="V14">
        <v>36457</v>
      </c>
      <c r="X14">
        <f t="shared" ref="X14:X23" si="4">-V14+T14</f>
        <v>-2382</v>
      </c>
      <c r="Z14">
        <f t="shared" ref="Z14:Z21" si="5">(+X14/V14)*100</f>
        <v>-6.5337246619304929</v>
      </c>
    </row>
    <row r="15" spans="1:26" x14ac:dyDescent="0.25">
      <c r="B15" t="s">
        <v>431</v>
      </c>
      <c r="D15">
        <v>442</v>
      </c>
      <c r="F15">
        <v>288</v>
      </c>
      <c r="H15">
        <f t="shared" si="0"/>
        <v>154</v>
      </c>
      <c r="J15">
        <f t="shared" si="1"/>
        <v>53.472222222222221</v>
      </c>
      <c r="L15">
        <v>3089</v>
      </c>
      <c r="N15">
        <v>2872</v>
      </c>
      <c r="P15">
        <f t="shared" si="2"/>
        <v>217</v>
      </c>
      <c r="R15">
        <f t="shared" si="3"/>
        <v>7.5557103064066853</v>
      </c>
      <c r="T15">
        <v>4682</v>
      </c>
      <c r="V15">
        <v>3448</v>
      </c>
      <c r="X15">
        <f t="shared" si="4"/>
        <v>1234</v>
      </c>
      <c r="Z15">
        <f t="shared" si="5"/>
        <v>35.788863109048727</v>
      </c>
    </row>
    <row r="16" spans="1:26" x14ac:dyDescent="0.25">
      <c r="B16" t="s">
        <v>432</v>
      </c>
      <c r="D16">
        <v>21</v>
      </c>
      <c r="F16">
        <v>55</v>
      </c>
      <c r="H16">
        <f t="shared" si="0"/>
        <v>-34</v>
      </c>
      <c r="J16">
        <f t="shared" si="1"/>
        <v>-61.818181818181813</v>
      </c>
      <c r="L16">
        <v>524</v>
      </c>
      <c r="N16">
        <v>440</v>
      </c>
      <c r="P16">
        <f t="shared" si="2"/>
        <v>84</v>
      </c>
      <c r="R16">
        <f t="shared" si="3"/>
        <v>19.090909090909093</v>
      </c>
      <c r="T16">
        <v>566</v>
      </c>
      <c r="V16">
        <v>550</v>
      </c>
      <c r="X16">
        <f t="shared" si="4"/>
        <v>16</v>
      </c>
      <c r="Z16">
        <f t="shared" si="5"/>
        <v>2.9090909090909092</v>
      </c>
    </row>
    <row r="17" spans="1:26" x14ac:dyDescent="0.25">
      <c r="B17" t="s">
        <v>433</v>
      </c>
      <c r="D17">
        <v>4074</v>
      </c>
      <c r="F17">
        <v>3739</v>
      </c>
      <c r="H17">
        <f t="shared" si="0"/>
        <v>335</v>
      </c>
      <c r="J17">
        <f t="shared" si="1"/>
        <v>8.9596148702861722</v>
      </c>
      <c r="L17">
        <v>29208</v>
      </c>
      <c r="N17">
        <v>36423</v>
      </c>
      <c r="P17">
        <f t="shared" si="2"/>
        <v>-7215</v>
      </c>
      <c r="R17">
        <f t="shared" si="3"/>
        <v>-19.808911951239601</v>
      </c>
      <c r="T17">
        <f>4200+7816+24832</f>
        <v>36848</v>
      </c>
      <c r="V17">
        <f>39676+4024</f>
        <v>43700</v>
      </c>
      <c r="X17">
        <f t="shared" si="4"/>
        <v>-6852</v>
      </c>
      <c r="Z17">
        <f t="shared" si="5"/>
        <v>-15.679633867276888</v>
      </c>
    </row>
    <row r="18" spans="1:26" x14ac:dyDescent="0.25">
      <c r="B18" t="s">
        <v>434</v>
      </c>
      <c r="D18">
        <v>1100</v>
      </c>
      <c r="F18">
        <v>598</v>
      </c>
      <c r="H18">
        <f t="shared" si="0"/>
        <v>502</v>
      </c>
      <c r="J18">
        <f t="shared" si="1"/>
        <v>83.946488294314378</v>
      </c>
      <c r="L18">
        <v>6239</v>
      </c>
      <c r="N18">
        <v>5834</v>
      </c>
      <c r="P18">
        <f t="shared" si="2"/>
        <v>405</v>
      </c>
      <c r="R18">
        <f t="shared" si="3"/>
        <v>6.9420637641412419</v>
      </c>
      <c r="T18">
        <v>8486</v>
      </c>
      <c r="V18">
        <f>11253-4024</f>
        <v>7229</v>
      </c>
      <c r="X18">
        <f t="shared" si="4"/>
        <v>1257</v>
      </c>
      <c r="Z18">
        <f t="shared" si="5"/>
        <v>17.388297136533406</v>
      </c>
    </row>
    <row r="19" spans="1:26" x14ac:dyDescent="0.25">
      <c r="B19" t="s">
        <v>435</v>
      </c>
      <c r="D19">
        <v>208</v>
      </c>
      <c r="F19">
        <v>597</v>
      </c>
      <c r="H19">
        <f t="shared" si="0"/>
        <v>-389</v>
      </c>
      <c r="J19">
        <f t="shared" si="1"/>
        <v>-65.159128978224459</v>
      </c>
      <c r="L19">
        <v>6302</v>
      </c>
      <c r="N19">
        <v>5507</v>
      </c>
      <c r="P19">
        <f t="shared" si="2"/>
        <v>795</v>
      </c>
      <c r="R19">
        <f t="shared" si="3"/>
        <v>14.436172144543308</v>
      </c>
      <c r="T19">
        <v>8561</v>
      </c>
      <c r="V19">
        <v>6700</v>
      </c>
      <c r="X19">
        <f t="shared" si="4"/>
        <v>1861</v>
      </c>
      <c r="Z19">
        <f t="shared" si="5"/>
        <v>27.776119402985071</v>
      </c>
    </row>
    <row r="20" spans="1:26" x14ac:dyDescent="0.25">
      <c r="B20" t="s">
        <v>436</v>
      </c>
      <c r="D20">
        <v>558</v>
      </c>
      <c r="F20">
        <v>386</v>
      </c>
      <c r="H20">
        <f t="shared" si="0"/>
        <v>172</v>
      </c>
      <c r="J20">
        <f t="shared" si="1"/>
        <v>44.559585492227974</v>
      </c>
      <c r="L20">
        <v>1618</v>
      </c>
      <c r="N20">
        <v>3476</v>
      </c>
      <c r="P20">
        <f t="shared" si="2"/>
        <v>-1858</v>
      </c>
      <c r="R20">
        <f t="shared" si="3"/>
        <v>-53.452243958573078</v>
      </c>
      <c r="T20">
        <f>1491+452</f>
        <v>1943</v>
      </c>
      <c r="V20">
        <v>4250</v>
      </c>
      <c r="X20">
        <f t="shared" si="4"/>
        <v>-2307</v>
      </c>
      <c r="Z20">
        <f t="shared" si="5"/>
        <v>-54.28235294117647</v>
      </c>
    </row>
    <row r="21" spans="1:26" x14ac:dyDescent="0.25">
      <c r="B21" t="s">
        <v>350</v>
      </c>
      <c r="D21">
        <v>188</v>
      </c>
      <c r="F21">
        <v>324</v>
      </c>
      <c r="H21">
        <f t="shared" si="0"/>
        <v>-136</v>
      </c>
      <c r="J21">
        <f t="shared" si="1"/>
        <v>-41.975308641975303</v>
      </c>
      <c r="L21">
        <f>2766-1500+1</f>
        <v>1267</v>
      </c>
      <c r="N21">
        <v>2823</v>
      </c>
      <c r="P21">
        <f t="shared" si="2"/>
        <v>-1556</v>
      </c>
      <c r="R21">
        <f t="shared" si="3"/>
        <v>-55.118668083599012</v>
      </c>
      <c r="T21">
        <f>950+329+194+12</f>
        <v>1485</v>
      </c>
      <c r="V21">
        <v>3471</v>
      </c>
      <c r="X21">
        <f t="shared" si="4"/>
        <v>-1986</v>
      </c>
      <c r="Z21">
        <f t="shared" si="5"/>
        <v>-57.216940363007772</v>
      </c>
    </row>
    <row r="22" spans="1:26" x14ac:dyDescent="0.25">
      <c r="B22" t="s">
        <v>437</v>
      </c>
      <c r="D22">
        <v>0</v>
      </c>
      <c r="F22">
        <v>0</v>
      </c>
      <c r="H22">
        <f t="shared" si="0"/>
        <v>0</v>
      </c>
      <c r="J22">
        <v>0</v>
      </c>
      <c r="L22">
        <v>1500</v>
      </c>
      <c r="N22">
        <v>0</v>
      </c>
      <c r="P22">
        <f t="shared" si="2"/>
        <v>1500</v>
      </c>
      <c r="R22">
        <v>0</v>
      </c>
      <c r="T22">
        <v>1500</v>
      </c>
      <c r="V22">
        <v>0</v>
      </c>
      <c r="X22">
        <f t="shared" si="4"/>
        <v>1500</v>
      </c>
    </row>
    <row r="23" spans="1:26" x14ac:dyDescent="0.25">
      <c r="B23" t="s">
        <v>438</v>
      </c>
      <c r="D23">
        <v>0</v>
      </c>
      <c r="F23">
        <v>348</v>
      </c>
      <c r="H23">
        <f t="shared" si="0"/>
        <v>-348</v>
      </c>
      <c r="J23">
        <f>(+H23/F23)*100</f>
        <v>-100</v>
      </c>
      <c r="L23">
        <v>0</v>
      </c>
      <c r="N23">
        <v>2785</v>
      </c>
      <c r="P23">
        <f t="shared" si="2"/>
        <v>-2785</v>
      </c>
      <c r="R23">
        <f>(+P23/N23)*100</f>
        <v>-100</v>
      </c>
      <c r="T23">
        <v>0</v>
      </c>
      <c r="V23">
        <f>3481</f>
        <v>3481</v>
      </c>
      <c r="X23">
        <f t="shared" si="4"/>
        <v>-3481</v>
      </c>
      <c r="Z23">
        <f>(+X23/V23)*100</f>
        <v>-100</v>
      </c>
    </row>
    <row r="24" spans="1:26" x14ac:dyDescent="0.25">
      <c r="B24" t="s">
        <v>439</v>
      </c>
      <c r="D24">
        <f>SUM(D14:D23)</f>
        <v>9007</v>
      </c>
      <c r="F24">
        <f>SUM(F14:F23)</f>
        <v>9521</v>
      </c>
      <c r="H24">
        <f>SUM(H14:H23)</f>
        <v>-514</v>
      </c>
      <c r="J24">
        <f>(+H24/F24)*100</f>
        <v>-5.39859258481252</v>
      </c>
      <c r="L24">
        <f>SUM(L14:L23)</f>
        <v>74779</v>
      </c>
      <c r="N24">
        <f>SUM(N14:N23)</f>
        <v>90245</v>
      </c>
      <c r="P24">
        <f>SUM(P14:P23)</f>
        <v>-15466</v>
      </c>
      <c r="R24">
        <f>(+P24/N24)*100</f>
        <v>-17.137791567399859</v>
      </c>
      <c r="T24">
        <f>SUM(T14:T23)</f>
        <v>98146</v>
      </c>
      <c r="V24">
        <f>SUM(V14:V23)</f>
        <v>109286</v>
      </c>
      <c r="X24">
        <f>SUM(X14:X23)</f>
        <v>-11140</v>
      </c>
      <c r="Z24">
        <f>(+X24/V24)*100</f>
        <v>-10.193437402778031</v>
      </c>
    </row>
    <row r="26" spans="1:26" x14ac:dyDescent="0.25">
      <c r="A26" t="s">
        <v>440</v>
      </c>
      <c r="D26">
        <f>+D11-D24</f>
        <v>4386</v>
      </c>
      <c r="F26">
        <f>+F11-F24</f>
        <v>3197</v>
      </c>
      <c r="H26">
        <f>+D26-F26</f>
        <v>1189</v>
      </c>
      <c r="J26">
        <f>(+H26/F26)*100</f>
        <v>37.19111667187989</v>
      </c>
      <c r="L26">
        <f>+L11-L24</f>
        <v>27173</v>
      </c>
      <c r="N26">
        <f>+N11-N24</f>
        <v>38843</v>
      </c>
      <c r="P26">
        <f>+L26-N26</f>
        <v>-11670</v>
      </c>
      <c r="R26">
        <f>(+P26/N26)*100</f>
        <v>-30.044023376155295</v>
      </c>
      <c r="T26">
        <f>+T11-T24</f>
        <v>26049</v>
      </c>
      <c r="V26">
        <f>+V11-V24</f>
        <v>44501</v>
      </c>
      <c r="X26">
        <f>+T26-V26</f>
        <v>-18452</v>
      </c>
      <c r="Z26">
        <f>(+X26/V26)*100</f>
        <v>-41.464236758724518</v>
      </c>
    </row>
    <row r="28" spans="1:26" x14ac:dyDescent="0.25">
      <c r="A28" t="s">
        <v>441</v>
      </c>
      <c r="D28">
        <f>2178</f>
        <v>2178</v>
      </c>
      <c r="E28" t="s">
        <v>84</v>
      </c>
      <c r="F28">
        <f>ROUND(+V28/12,0)</f>
        <v>1447</v>
      </c>
      <c r="H28">
        <f>-F28+D28</f>
        <v>731</v>
      </c>
      <c r="J28">
        <f>(+H28/F28)*100</f>
        <v>50.518313752591567</v>
      </c>
      <c r="L28">
        <f>12684</f>
        <v>12684</v>
      </c>
      <c r="M28">
        <v>0</v>
      </c>
      <c r="N28">
        <f>+F28*10</f>
        <v>14470</v>
      </c>
      <c r="P28">
        <f>-N28+L28</f>
        <v>-1786</v>
      </c>
      <c r="R28">
        <f>(+P28/N28)*100</f>
        <v>-12.342778161713891</v>
      </c>
      <c r="T28">
        <f>8753+6711</f>
        <v>15464</v>
      </c>
      <c r="V28">
        <f>17366</f>
        <v>17366</v>
      </c>
      <c r="X28">
        <f>-V28+T28</f>
        <v>-1902</v>
      </c>
      <c r="Z28">
        <f>(+X28/V28)*100</f>
        <v>-10.952435794080387</v>
      </c>
    </row>
    <row r="30" spans="1:26" x14ac:dyDescent="0.25">
      <c r="A30" t="s">
        <v>442</v>
      </c>
      <c r="D30">
        <f>+D26-D28</f>
        <v>2208</v>
      </c>
      <c r="F30">
        <f>+F26-F28</f>
        <v>1750</v>
      </c>
      <c r="H30">
        <f>+H26-H28</f>
        <v>458</v>
      </c>
      <c r="J30">
        <f>(+H30/F30)*100</f>
        <v>26.171428571428574</v>
      </c>
      <c r="L30">
        <f>+L26-L28</f>
        <v>14489</v>
      </c>
      <c r="N30">
        <f>+N26-N28</f>
        <v>24373</v>
      </c>
      <c r="P30">
        <f>+P26-P28</f>
        <v>-9884</v>
      </c>
      <c r="R30">
        <f>(+P30/N30)*100</f>
        <v>-40.553071021211991</v>
      </c>
      <c r="T30">
        <f>+T26-T28</f>
        <v>10585</v>
      </c>
      <c r="V30">
        <f>+V26-V28</f>
        <v>27135</v>
      </c>
      <c r="X30">
        <f>+X26-X28</f>
        <v>-16550</v>
      </c>
      <c r="Z30">
        <f>(+X30/V30)*100</f>
        <v>-60.991339598304769</v>
      </c>
    </row>
    <row r="32" spans="1:26" x14ac:dyDescent="0.25">
      <c r="A32" t="s">
        <v>443</v>
      </c>
    </row>
    <row r="33" spans="1:26" x14ac:dyDescent="0.25">
      <c r="B33" t="s">
        <v>444</v>
      </c>
      <c r="D33">
        <v>2985</v>
      </c>
      <c r="F33">
        <f>ROUND(+V33/12,0)</f>
        <v>3495</v>
      </c>
      <c r="H33">
        <f>-F33+D33</f>
        <v>-510</v>
      </c>
      <c r="J33">
        <f>(+H33/F33)*100</f>
        <v>-14.592274678111588</v>
      </c>
      <c r="L33">
        <f>2402+2704+2860+2975+2984+3041+2985</f>
        <v>19951</v>
      </c>
      <c r="N33">
        <f>+F33*10</f>
        <v>34950</v>
      </c>
      <c r="P33">
        <f>-N33+L33</f>
        <v>-14999</v>
      </c>
      <c r="R33">
        <f>(+P33/N33)*100</f>
        <v>-42.915593705293276</v>
      </c>
      <c r="T33">
        <v>31220</v>
      </c>
      <c r="V33">
        <f>34179+7765</f>
        <v>41944</v>
      </c>
      <c r="X33">
        <f>-V33+T33</f>
        <v>-10724</v>
      </c>
      <c r="Z33">
        <f>(+X33/V33)*100</f>
        <v>-25.567423230974633</v>
      </c>
    </row>
    <row r="34" spans="1:26" x14ac:dyDescent="0.25">
      <c r="B34" t="s">
        <v>445</v>
      </c>
      <c r="T34">
        <v>224</v>
      </c>
    </row>
    <row r="35" spans="1:26" x14ac:dyDescent="0.25">
      <c r="B35" t="s">
        <v>446</v>
      </c>
      <c r="T35">
        <v>0</v>
      </c>
    </row>
    <row r="36" spans="1:26" x14ac:dyDescent="0.25">
      <c r="B36" t="s">
        <v>447</v>
      </c>
      <c r="D36">
        <v>0</v>
      </c>
      <c r="F36">
        <v>0</v>
      </c>
      <c r="H36">
        <f>+F36-D36</f>
        <v>0</v>
      </c>
      <c r="J36">
        <v>0</v>
      </c>
      <c r="L36">
        <v>-19773</v>
      </c>
      <c r="N36">
        <v>0</v>
      </c>
      <c r="P36">
        <f>-N36+L36</f>
        <v>-19773</v>
      </c>
      <c r="R36">
        <v>0</v>
      </c>
      <c r="T36">
        <v>-20817</v>
      </c>
      <c r="V36">
        <v>0</v>
      </c>
      <c r="X36">
        <f>-V36+T36</f>
        <v>-20817</v>
      </c>
      <c r="Z36">
        <v>0</v>
      </c>
    </row>
    <row r="37" spans="1:26" x14ac:dyDescent="0.25">
      <c r="B37" t="s">
        <v>448</v>
      </c>
      <c r="D37">
        <f>+D33+D36</f>
        <v>2985</v>
      </c>
      <c r="F37">
        <f>+F33+F36</f>
        <v>3495</v>
      </c>
      <c r="H37">
        <f>+H33+H36</f>
        <v>-510</v>
      </c>
      <c r="J37">
        <f>(+H37/F37)*100</f>
        <v>-14.592274678111588</v>
      </c>
      <c r="L37">
        <f>+L33+L36</f>
        <v>178</v>
      </c>
      <c r="N37">
        <f>+N33+N36</f>
        <v>34950</v>
      </c>
      <c r="P37">
        <f>+P33+P36</f>
        <v>-34772</v>
      </c>
      <c r="R37">
        <f>(+P37/N37)*100</f>
        <v>-99.490701001430608</v>
      </c>
      <c r="T37">
        <f>SUM(T33:T36)</f>
        <v>10627</v>
      </c>
      <c r="V37">
        <f>+V33+V36</f>
        <v>41944</v>
      </c>
      <c r="X37">
        <f>+X33+X36</f>
        <v>-31541</v>
      </c>
      <c r="Z37">
        <f>(+X37/V37)*100</f>
        <v>-75.19788289147435</v>
      </c>
    </row>
    <row r="39" spans="1:26" x14ac:dyDescent="0.25">
      <c r="A39" t="s">
        <v>449</v>
      </c>
      <c r="C39" t="s">
        <v>355</v>
      </c>
      <c r="D39">
        <f>+D30-D37</f>
        <v>-777</v>
      </c>
      <c r="E39" t="s">
        <v>355</v>
      </c>
      <c r="F39">
        <f>+F30-F37</f>
        <v>-1745</v>
      </c>
      <c r="G39" t="s">
        <v>355</v>
      </c>
      <c r="H39">
        <f>+H30-H37</f>
        <v>968</v>
      </c>
      <c r="J39">
        <f>(+H39/F39)*-100</f>
        <v>55.47277936962751</v>
      </c>
      <c r="K39" t="s">
        <v>355</v>
      </c>
      <c r="L39">
        <f>+L30-L37</f>
        <v>14311</v>
      </c>
      <c r="M39" t="s">
        <v>355</v>
      </c>
      <c r="N39">
        <f>+N30-N37</f>
        <v>-10577</v>
      </c>
      <c r="O39" t="s">
        <v>355</v>
      </c>
      <c r="P39">
        <f>+L39-N39</f>
        <v>24888</v>
      </c>
      <c r="R39">
        <f>(+P39/N39)*100</f>
        <v>-235.30301597806562</v>
      </c>
      <c r="S39" t="s">
        <v>355</v>
      </c>
      <c r="T39">
        <f>+T30-T37</f>
        <v>-42</v>
      </c>
      <c r="U39" t="s">
        <v>355</v>
      </c>
      <c r="V39">
        <f>+V30-V37</f>
        <v>-14809</v>
      </c>
      <c r="W39" t="s">
        <v>355</v>
      </c>
      <c r="X39">
        <f>+T39-V39</f>
        <v>14767</v>
      </c>
      <c r="Z39">
        <f>(+X39/V39)*100</f>
        <v>-99.716388682557906</v>
      </c>
    </row>
    <row r="41" spans="1:26" x14ac:dyDescent="0.25">
      <c r="A41" t="s">
        <v>450</v>
      </c>
    </row>
    <row r="42" spans="1:26" x14ac:dyDescent="0.25">
      <c r="B42" t="s">
        <v>451</v>
      </c>
      <c r="C42" t="s">
        <v>355</v>
      </c>
      <c r="D42">
        <v>571</v>
      </c>
      <c r="E42" t="s">
        <v>355</v>
      </c>
      <c r="F42">
        <v>777</v>
      </c>
      <c r="G42" t="s">
        <v>355</v>
      </c>
      <c r="H42">
        <f t="shared" ref="H42:H47" si="6">-F42+D42</f>
        <v>-206</v>
      </c>
      <c r="J42">
        <f t="shared" ref="J42:J47" si="7">+(H42/F42)*100</f>
        <v>-26.512226512226512</v>
      </c>
      <c r="K42" t="s">
        <v>355</v>
      </c>
      <c r="L42">
        <f>6017</f>
        <v>6017</v>
      </c>
      <c r="M42" t="s">
        <v>355</v>
      </c>
      <c r="N42">
        <v>7316</v>
      </c>
      <c r="O42" t="s">
        <v>355</v>
      </c>
      <c r="P42">
        <f t="shared" ref="P42:P47" si="8">-N42+L42</f>
        <v>-1299</v>
      </c>
      <c r="R42">
        <f t="shared" ref="R42:R47" si="9">+(P42/N42)*100</f>
        <v>-17.75560415527611</v>
      </c>
      <c r="S42" t="s">
        <v>355</v>
      </c>
      <c r="T42">
        <v>7642</v>
      </c>
      <c r="U42" t="s">
        <v>355</v>
      </c>
      <c r="V42">
        <v>8871</v>
      </c>
      <c r="W42" t="s">
        <v>355</v>
      </c>
      <c r="X42">
        <f t="shared" ref="X42:X47" si="10">-V42+T42</f>
        <v>-1229</v>
      </c>
      <c r="Z42">
        <f t="shared" ref="Z42:Z47" si="11">+(X42/V42)*100</f>
        <v>-13.854131439522039</v>
      </c>
    </row>
    <row r="43" spans="1:26" x14ac:dyDescent="0.25">
      <c r="B43" t="s">
        <v>452</v>
      </c>
      <c r="D43">
        <v>1884</v>
      </c>
      <c r="F43">
        <v>2072</v>
      </c>
      <c r="H43">
        <f t="shared" si="6"/>
        <v>-188</v>
      </c>
      <c r="J43">
        <f t="shared" si="7"/>
        <v>-9.0733590733590734</v>
      </c>
      <c r="L43">
        <v>15667</v>
      </c>
      <c r="N43">
        <v>19458</v>
      </c>
      <c r="P43">
        <f t="shared" si="8"/>
        <v>-3791</v>
      </c>
      <c r="R43">
        <f t="shared" si="9"/>
        <v>-19.482989001952923</v>
      </c>
      <c r="T43">
        <v>21152</v>
      </c>
      <c r="V43">
        <v>23600</v>
      </c>
      <c r="X43">
        <f t="shared" si="10"/>
        <v>-2448</v>
      </c>
      <c r="Z43">
        <f t="shared" si="11"/>
        <v>-10.372881355932204</v>
      </c>
    </row>
    <row r="44" spans="1:26" x14ac:dyDescent="0.25">
      <c r="B44" t="s">
        <v>453</v>
      </c>
      <c r="D44">
        <v>681</v>
      </c>
      <c r="F44">
        <v>864</v>
      </c>
      <c r="H44">
        <f t="shared" si="6"/>
        <v>-183</v>
      </c>
      <c r="J44">
        <f t="shared" si="7"/>
        <v>-21.180555555555554</v>
      </c>
      <c r="L44">
        <v>6128</v>
      </c>
      <c r="N44">
        <v>8152</v>
      </c>
      <c r="P44">
        <f t="shared" si="8"/>
        <v>-2024</v>
      </c>
      <c r="R44">
        <f t="shared" si="9"/>
        <v>-24.828263002944063</v>
      </c>
      <c r="T44">
        <v>8216</v>
      </c>
      <c r="V44">
        <v>9882</v>
      </c>
      <c r="X44">
        <f t="shared" si="10"/>
        <v>-1666</v>
      </c>
      <c r="Z44">
        <f t="shared" si="11"/>
        <v>-16.858935438170413</v>
      </c>
    </row>
    <row r="45" spans="1:26" x14ac:dyDescent="0.25">
      <c r="B45" t="s">
        <v>454</v>
      </c>
      <c r="D45">
        <v>5121</v>
      </c>
      <c r="F45">
        <v>4361</v>
      </c>
      <c r="H45">
        <f t="shared" si="6"/>
        <v>760</v>
      </c>
      <c r="J45">
        <f t="shared" si="7"/>
        <v>17.427195597340059</v>
      </c>
      <c r="L45">
        <v>34202</v>
      </c>
      <c r="N45">
        <v>42179</v>
      </c>
      <c r="P45">
        <f t="shared" si="8"/>
        <v>-7977</v>
      </c>
      <c r="R45">
        <f t="shared" si="9"/>
        <v>-18.912254913582586</v>
      </c>
      <c r="T45">
        <v>44688</v>
      </c>
      <c r="V45">
        <v>50901</v>
      </c>
      <c r="X45">
        <f t="shared" si="10"/>
        <v>-6213</v>
      </c>
      <c r="Z45">
        <f t="shared" si="11"/>
        <v>-12.206047032474803</v>
      </c>
    </row>
    <row r="46" spans="1:26" x14ac:dyDescent="0.25">
      <c r="B46" t="s">
        <v>455</v>
      </c>
      <c r="D46">
        <v>473</v>
      </c>
      <c r="F46">
        <v>992</v>
      </c>
      <c r="H46">
        <f t="shared" si="6"/>
        <v>-519</v>
      </c>
      <c r="J46">
        <f t="shared" si="7"/>
        <v>-52.318548387096776</v>
      </c>
      <c r="L46">
        <v>10072</v>
      </c>
      <c r="N46">
        <v>9252</v>
      </c>
      <c r="P46">
        <f t="shared" si="8"/>
        <v>820</v>
      </c>
      <c r="R46">
        <f t="shared" si="9"/>
        <v>8.8629485516645055</v>
      </c>
      <c r="T46">
        <v>11105</v>
      </c>
      <c r="V46">
        <v>11235</v>
      </c>
      <c r="X46">
        <f t="shared" si="10"/>
        <v>-130</v>
      </c>
      <c r="Z46">
        <f t="shared" si="11"/>
        <v>-1.1570983533600356</v>
      </c>
    </row>
    <row r="47" spans="1:26" x14ac:dyDescent="0.25">
      <c r="B47" t="s">
        <v>456</v>
      </c>
      <c r="D47">
        <v>277</v>
      </c>
      <c r="F47">
        <v>455</v>
      </c>
      <c r="H47">
        <f t="shared" si="6"/>
        <v>-178</v>
      </c>
      <c r="J47">
        <f t="shared" si="7"/>
        <v>-39.120879120879124</v>
      </c>
      <c r="L47">
        <v>2693</v>
      </c>
      <c r="N47">
        <v>3888</v>
      </c>
      <c r="P47">
        <f t="shared" si="8"/>
        <v>-1195</v>
      </c>
      <c r="R47">
        <f t="shared" si="9"/>
        <v>-30.735596707818928</v>
      </c>
      <c r="T47">
        <v>5343</v>
      </c>
      <c r="V47">
        <v>4797</v>
      </c>
      <c r="X47">
        <f t="shared" si="10"/>
        <v>546</v>
      </c>
      <c r="Z47">
        <f t="shared" si="11"/>
        <v>11.38211382113821</v>
      </c>
    </row>
    <row r="48" spans="1:26" x14ac:dyDescent="0.25">
      <c r="H48" t="s">
        <v>84</v>
      </c>
      <c r="J48" t="s">
        <v>84</v>
      </c>
      <c r="P48" t="s">
        <v>84</v>
      </c>
      <c r="R48" t="s">
        <v>84</v>
      </c>
      <c r="X48" t="s">
        <v>84</v>
      </c>
      <c r="Z48" t="s">
        <v>84</v>
      </c>
    </row>
    <row r="49" spans="2:26" x14ac:dyDescent="0.25">
      <c r="B49" t="s">
        <v>439</v>
      </c>
      <c r="C49" t="s">
        <v>355</v>
      </c>
      <c r="D49">
        <f>SUM(D42:D48)</f>
        <v>9007</v>
      </c>
      <c r="E49" t="s">
        <v>355</v>
      </c>
      <c r="F49">
        <f>SUM(F42:F48)</f>
        <v>9521</v>
      </c>
      <c r="G49" t="s">
        <v>355</v>
      </c>
      <c r="H49">
        <f>SUM(H42:H48)</f>
        <v>-514</v>
      </c>
      <c r="J49">
        <f>+(H49/F49)*100</f>
        <v>-5.39859258481252</v>
      </c>
      <c r="K49" t="s">
        <v>355</v>
      </c>
      <c r="L49">
        <f>SUM(L42:L48)</f>
        <v>74779</v>
      </c>
      <c r="M49" t="s">
        <v>355</v>
      </c>
      <c r="N49">
        <f>SUM(N42:N48)</f>
        <v>90245</v>
      </c>
      <c r="O49" t="s">
        <v>355</v>
      </c>
      <c r="P49">
        <f>SUM(P42:P48)</f>
        <v>-15466</v>
      </c>
      <c r="R49">
        <f>+(P49/N49)*100</f>
        <v>-17.137791567399859</v>
      </c>
      <c r="S49" t="s">
        <v>355</v>
      </c>
      <c r="T49">
        <f>SUM(T42:T48)</f>
        <v>98146</v>
      </c>
      <c r="U49" t="s">
        <v>355</v>
      </c>
      <c r="V49">
        <f>SUM(V42:V48)</f>
        <v>109286</v>
      </c>
      <c r="W49" t="s">
        <v>355</v>
      </c>
      <c r="X49">
        <f>SUM(X42:X48)</f>
        <v>-11140</v>
      </c>
      <c r="Z49">
        <f>+(X49/V49)*100</f>
        <v>-10.193437402778031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A34F3-96E3-4917-997B-23CE3A25FBA4}">
  <dimension ref="A1:W40"/>
  <sheetViews>
    <sheetView workbookViewId="0"/>
  </sheetViews>
  <sheetFormatPr defaultRowHeight="15" x14ac:dyDescent="0.25"/>
  <sheetData>
    <row r="1" spans="1:23" x14ac:dyDescent="0.25">
      <c r="A1" t="s">
        <v>410</v>
      </c>
    </row>
    <row r="2" spans="1:23" x14ac:dyDescent="0.25">
      <c r="A2" t="s">
        <v>457</v>
      </c>
    </row>
    <row r="3" spans="1:23" x14ac:dyDescent="0.25">
      <c r="A3" t="s">
        <v>458</v>
      </c>
    </row>
    <row r="4" spans="1:23" x14ac:dyDescent="0.25">
      <c r="A4" t="s">
        <v>459</v>
      </c>
    </row>
    <row r="5" spans="1:23" x14ac:dyDescent="0.25">
      <c r="U5" t="s">
        <v>13</v>
      </c>
    </row>
    <row r="6" spans="1:23" x14ac:dyDescent="0.25">
      <c r="C6" t="s">
        <v>351</v>
      </c>
      <c r="H6" t="s">
        <v>415</v>
      </c>
      <c r="U6">
        <v>1999</v>
      </c>
    </row>
    <row r="7" spans="1:23" x14ac:dyDescent="0.25">
      <c r="C7" t="s">
        <v>417</v>
      </c>
      <c r="D7" t="s">
        <v>418</v>
      </c>
      <c r="E7" t="s">
        <v>419</v>
      </c>
      <c r="F7" t="s">
        <v>420</v>
      </c>
      <c r="H7" t="s">
        <v>417</v>
      </c>
      <c r="I7" t="s">
        <v>418</v>
      </c>
      <c r="J7" t="s">
        <v>419</v>
      </c>
      <c r="K7" t="s">
        <v>420</v>
      </c>
      <c r="M7" t="s">
        <v>423</v>
      </c>
      <c r="O7" t="s">
        <v>422</v>
      </c>
      <c r="Q7" t="s">
        <v>419</v>
      </c>
      <c r="S7" t="s">
        <v>420</v>
      </c>
      <c r="U7" t="s">
        <v>417</v>
      </c>
    </row>
    <row r="8" spans="1:23" x14ac:dyDescent="0.25">
      <c r="A8" t="s">
        <v>424</v>
      </c>
    </row>
    <row r="9" spans="1:23" x14ac:dyDescent="0.25">
      <c r="A9" t="s">
        <v>425</v>
      </c>
      <c r="C9">
        <v>11368</v>
      </c>
      <c r="D9">
        <v>12247</v>
      </c>
      <c r="E9">
        <f>-D9+C9</f>
        <v>-879</v>
      </c>
      <c r="F9">
        <f>(+E9/D9)*100</f>
        <v>-7.1772679023434316</v>
      </c>
      <c r="H9">
        <v>148671</v>
      </c>
      <c r="I9">
        <v>145579</v>
      </c>
      <c r="J9">
        <f>-I9+H9</f>
        <v>3092</v>
      </c>
      <c r="K9">
        <f>(+J9/I9)*100</f>
        <v>2.1239327100749423</v>
      </c>
      <c r="L9" t="s">
        <v>355</v>
      </c>
      <c r="M9">
        <v>152710</v>
      </c>
      <c r="N9" t="s">
        <v>355</v>
      </c>
      <c r="O9">
        <v>114532</v>
      </c>
      <c r="P9" t="s">
        <v>355</v>
      </c>
      <c r="Q9">
        <f>-O9-M9</f>
        <v>-267242</v>
      </c>
      <c r="S9">
        <f>(+Q9/M9)*100</f>
        <v>-174.99967258201821</v>
      </c>
      <c r="U9" t="s">
        <v>84</v>
      </c>
    </row>
    <row r="10" spans="1:23" x14ac:dyDescent="0.25">
      <c r="A10" t="s">
        <v>460</v>
      </c>
      <c r="C10">
        <v>0</v>
      </c>
      <c r="D10">
        <v>0</v>
      </c>
      <c r="E10">
        <f>-D10+C10</f>
        <v>0</v>
      </c>
      <c r="F10">
        <v>0</v>
      </c>
      <c r="H10">
        <v>440</v>
      </c>
      <c r="I10">
        <v>0</v>
      </c>
      <c r="J10">
        <f>-I10+H10</f>
        <v>440</v>
      </c>
      <c r="K10">
        <v>0</v>
      </c>
      <c r="U10" t="s">
        <v>84</v>
      </c>
    </row>
    <row r="11" spans="1:23" x14ac:dyDescent="0.25">
      <c r="A11" t="s">
        <v>461</v>
      </c>
      <c r="C11">
        <v>2</v>
      </c>
      <c r="D11">
        <v>8</v>
      </c>
      <c r="E11">
        <f>-D11+C11</f>
        <v>-6</v>
      </c>
      <c r="F11">
        <f>(+E11/D11)*100</f>
        <v>-75</v>
      </c>
      <c r="H11">
        <v>11</v>
      </c>
      <c r="I11">
        <f>8*11</f>
        <v>88</v>
      </c>
      <c r="J11">
        <f>-I11+H11</f>
        <v>-77</v>
      </c>
      <c r="K11">
        <f>(+J11/I11)*100</f>
        <v>-87.5</v>
      </c>
      <c r="M11">
        <v>7</v>
      </c>
      <c r="O11">
        <v>21</v>
      </c>
      <c r="Q11">
        <f>-O11-M11</f>
        <v>-28</v>
      </c>
      <c r="S11">
        <f>(+Q11/M11)*100</f>
        <v>-400</v>
      </c>
      <c r="U11" t="s">
        <v>84</v>
      </c>
    </row>
    <row r="12" spans="1:23" x14ac:dyDescent="0.25">
      <c r="A12" t="s">
        <v>462</v>
      </c>
      <c r="C12">
        <v>0</v>
      </c>
      <c r="D12">
        <v>180</v>
      </c>
      <c r="E12">
        <f>-D12+C12</f>
        <v>-180</v>
      </c>
      <c r="F12">
        <f>(+E12/D12)*100</f>
        <v>-100</v>
      </c>
      <c r="H12">
        <v>312</v>
      </c>
      <c r="I12">
        <f>180*11</f>
        <v>1980</v>
      </c>
      <c r="J12">
        <f>-I12+H12</f>
        <v>-1668</v>
      </c>
      <c r="K12">
        <f>(+J12/I12)*100</f>
        <v>-84.242424242424235</v>
      </c>
      <c r="M12">
        <v>771</v>
      </c>
      <c r="O12">
        <v>578</v>
      </c>
      <c r="Q12">
        <f>-O12-M12</f>
        <v>-1349</v>
      </c>
      <c r="S12">
        <f>(+Q12/M12)*100</f>
        <v>-174.96757457846951</v>
      </c>
      <c r="U12" t="s">
        <v>84</v>
      </c>
    </row>
    <row r="13" spans="1:23" x14ac:dyDescent="0.25">
      <c r="A13" t="s">
        <v>463</v>
      </c>
      <c r="C13">
        <v>219</v>
      </c>
      <c r="D13">
        <v>58</v>
      </c>
      <c r="E13">
        <f>-D13+C13</f>
        <v>161</v>
      </c>
      <c r="F13">
        <f>(+E13/D13)*100</f>
        <v>277.58620689655174</v>
      </c>
      <c r="H13">
        <v>933</v>
      </c>
      <c r="I13">
        <f>58*11</f>
        <v>638</v>
      </c>
      <c r="J13">
        <f>-I13+H13</f>
        <v>295</v>
      </c>
      <c r="K13">
        <v>0</v>
      </c>
      <c r="U13" t="s">
        <v>84</v>
      </c>
    </row>
    <row r="14" spans="1:23" x14ac:dyDescent="0.25">
      <c r="A14" t="s">
        <v>428</v>
      </c>
      <c r="C14">
        <f>SUM(C9:C13)</f>
        <v>11589</v>
      </c>
      <c r="D14">
        <f>SUM(D9:D13)</f>
        <v>12493</v>
      </c>
      <c r="E14">
        <f>SUM(E9:E13)</f>
        <v>-904</v>
      </c>
      <c r="F14">
        <f>(+E14/D14)*100</f>
        <v>-7.2360521892259664</v>
      </c>
      <c r="H14">
        <f>SUM(H9:H13)</f>
        <v>150367</v>
      </c>
      <c r="I14">
        <f>SUM(I9:I13)</f>
        <v>148285</v>
      </c>
      <c r="J14">
        <f>SUM(J9:J13)</f>
        <v>2082</v>
      </c>
      <c r="K14">
        <f>(+J14/I14)*100</f>
        <v>1.4040530060356744</v>
      </c>
      <c r="L14" t="s">
        <v>84</v>
      </c>
      <c r="M14">
        <f>SUM(M9:M12)</f>
        <v>153488</v>
      </c>
      <c r="N14" t="s">
        <v>84</v>
      </c>
      <c r="O14">
        <f>SUM(O9:O12)</f>
        <v>115131</v>
      </c>
      <c r="P14" t="s">
        <v>84</v>
      </c>
      <c r="Q14">
        <f>-O14-M14</f>
        <v>-268619</v>
      </c>
      <c r="S14">
        <f>(+Q14/M14)*100</f>
        <v>-175.00977275096426</v>
      </c>
      <c r="U14">
        <v>162927</v>
      </c>
    </row>
    <row r="16" spans="1:23" x14ac:dyDescent="0.25">
      <c r="A16" t="s">
        <v>429</v>
      </c>
      <c r="W16">
        <v>92388</v>
      </c>
    </row>
    <row r="17" spans="1:23" x14ac:dyDescent="0.25">
      <c r="A17" t="s">
        <v>464</v>
      </c>
      <c r="C17">
        <v>8941</v>
      </c>
      <c r="D17">
        <v>8731</v>
      </c>
      <c r="E17">
        <f>-D17+C17</f>
        <v>210</v>
      </c>
      <c r="F17">
        <f>(+E17/D17)*100</f>
        <v>2.4052227694422177</v>
      </c>
      <c r="H17">
        <v>92388</v>
      </c>
      <c r="I17">
        <f>92763-1</f>
        <v>92762</v>
      </c>
      <c r="J17">
        <f>-I17+H17</f>
        <v>-374</v>
      </c>
      <c r="K17">
        <f>(+J17/I17)*100</f>
        <v>-0.403182337595136</v>
      </c>
      <c r="M17">
        <f>4353+43472+278+2275+3141+1120+2564+9936+4325+11024+550+4550+200+3275+1136+778+378</f>
        <v>93355</v>
      </c>
      <c r="O17">
        <f>+M17-7377</f>
        <v>85978</v>
      </c>
      <c r="Q17">
        <f>+M17-O17</f>
        <v>7377</v>
      </c>
      <c r="S17">
        <f>(+Q17/M17)*100</f>
        <v>7.9020941567136198</v>
      </c>
      <c r="U17">
        <v>102996.76071727966</v>
      </c>
      <c r="W17">
        <v>11393</v>
      </c>
    </row>
    <row r="18" spans="1:23" x14ac:dyDescent="0.25">
      <c r="A18" t="s">
        <v>465</v>
      </c>
      <c r="C18">
        <v>979</v>
      </c>
      <c r="D18">
        <v>1649</v>
      </c>
      <c r="E18">
        <f>-D18+C18</f>
        <v>-670</v>
      </c>
      <c r="F18">
        <f>(+E18/D18)*100</f>
        <v>-40.630685263796238</v>
      </c>
      <c r="H18">
        <v>11393</v>
      </c>
      <c r="I18">
        <v>10854</v>
      </c>
      <c r="J18">
        <f>-I18+H18</f>
        <v>539</v>
      </c>
      <c r="K18">
        <f>(+J18/I18)*100</f>
        <v>4.9659111848166582</v>
      </c>
      <c r="M18">
        <f>4022+11582+327</f>
        <v>15931</v>
      </c>
      <c r="O18">
        <v>15931</v>
      </c>
      <c r="Q18">
        <f>+M18-O18</f>
        <v>0</v>
      </c>
      <c r="S18">
        <f>(+Q18/M18)*100</f>
        <v>0</v>
      </c>
      <c r="U18">
        <v>12701.239282720344</v>
      </c>
      <c r="W18">
        <f>+W16+W17</f>
        <v>103781</v>
      </c>
    </row>
    <row r="19" spans="1:23" x14ac:dyDescent="0.25">
      <c r="A19" t="s">
        <v>466</v>
      </c>
      <c r="C19">
        <v>1520</v>
      </c>
      <c r="D19">
        <v>1520</v>
      </c>
      <c r="E19">
        <f>-D19+C19</f>
        <v>0</v>
      </c>
      <c r="F19">
        <f>(+E19/D19)*100</f>
        <v>0</v>
      </c>
      <c r="H19">
        <v>16721</v>
      </c>
      <c r="I19">
        <v>16721</v>
      </c>
      <c r="J19">
        <f>-I19+H19</f>
        <v>0</v>
      </c>
      <c r="K19">
        <f>(+J19/I19)*100</f>
        <v>0</v>
      </c>
      <c r="M19">
        <f>34179+7765</f>
        <v>41944</v>
      </c>
      <c r="O19">
        <f>0.75*M19</f>
        <v>31458</v>
      </c>
      <c r="Q19">
        <f>+M19-O19</f>
        <v>10486</v>
      </c>
      <c r="S19">
        <f>(+Q19/M19)*100</f>
        <v>25</v>
      </c>
      <c r="U19">
        <v>21602.85</v>
      </c>
    </row>
    <row r="20" spans="1:23" x14ac:dyDescent="0.25">
      <c r="A20" t="s">
        <v>439</v>
      </c>
      <c r="C20">
        <f>SUM(C17:C19)</f>
        <v>11440</v>
      </c>
      <c r="D20">
        <f>SUM(D17:D19)</f>
        <v>11900</v>
      </c>
      <c r="E20">
        <f>SUM(E17:E19)</f>
        <v>-460</v>
      </c>
      <c r="F20">
        <f>(+E20/D20)*100</f>
        <v>-3.865546218487395</v>
      </c>
      <c r="H20">
        <f>SUM(H17:H19)</f>
        <v>120502</v>
      </c>
      <c r="I20">
        <f>SUM(I17:I19)</f>
        <v>120337</v>
      </c>
      <c r="J20">
        <f>SUM(J17:J19)</f>
        <v>165</v>
      </c>
      <c r="K20">
        <f>(+J20/I20)*100</f>
        <v>0.13711493555598028</v>
      </c>
      <c r="M20">
        <f>SUM(M17:M19)</f>
        <v>151230</v>
      </c>
      <c r="O20">
        <f>SUM(O17:O19)</f>
        <v>133367</v>
      </c>
      <c r="Q20">
        <f>+M20-O20</f>
        <v>17863</v>
      </c>
      <c r="S20">
        <f>(+Q20/M20)*100</f>
        <v>11.811809826092706</v>
      </c>
      <c r="U20">
        <f>SUM(U17:U19)</f>
        <v>137300.85</v>
      </c>
    </row>
    <row r="21" spans="1:23" x14ac:dyDescent="0.25">
      <c r="Q21" t="s">
        <v>84</v>
      </c>
      <c r="S21" t="s">
        <v>84</v>
      </c>
    </row>
    <row r="22" spans="1:23" x14ac:dyDescent="0.25">
      <c r="A22" t="s">
        <v>467</v>
      </c>
      <c r="C22">
        <f>+C14-C20</f>
        <v>149</v>
      </c>
      <c r="D22">
        <f>+D14-D20</f>
        <v>593</v>
      </c>
      <c r="E22">
        <f>+C22-D22</f>
        <v>-444</v>
      </c>
      <c r="F22">
        <f>(+E22/D22)*100</f>
        <v>-74.873524451939289</v>
      </c>
      <c r="H22">
        <f>+H14-H20</f>
        <v>29865</v>
      </c>
      <c r="I22">
        <f>+I14-I20</f>
        <v>27948</v>
      </c>
      <c r="J22">
        <f>+H22-I22</f>
        <v>1917</v>
      </c>
      <c r="K22">
        <v>0</v>
      </c>
      <c r="M22">
        <f>+M14-M20</f>
        <v>2258</v>
      </c>
      <c r="O22">
        <f>+O14-O20</f>
        <v>-18236</v>
      </c>
      <c r="Q22">
        <f>+M22-O22</f>
        <v>20494</v>
      </c>
      <c r="S22">
        <f>(+Q22/M22)*100</f>
        <v>907.61736049601416</v>
      </c>
      <c r="U22">
        <f>+U14-U20</f>
        <v>25626.149999999994</v>
      </c>
    </row>
    <row r="24" spans="1:23" x14ac:dyDescent="0.25">
      <c r="A24" t="s">
        <v>468</v>
      </c>
    </row>
    <row r="25" spans="1:23" x14ac:dyDescent="0.25">
      <c r="C25">
        <v>0</v>
      </c>
      <c r="D25">
        <v>0</v>
      </c>
      <c r="E25">
        <f>+C25-D25</f>
        <v>0</v>
      </c>
      <c r="F25">
        <v>0</v>
      </c>
      <c r="H25">
        <v>0</v>
      </c>
      <c r="I25">
        <v>0</v>
      </c>
      <c r="J25">
        <f>+H25-I25</f>
        <v>0</v>
      </c>
      <c r="K25">
        <v>0</v>
      </c>
      <c r="U25">
        <v>0</v>
      </c>
    </row>
    <row r="26" spans="1:23" x14ac:dyDescent="0.25">
      <c r="A26" t="s">
        <v>469</v>
      </c>
      <c r="C26">
        <v>891</v>
      </c>
      <c r="D26">
        <v>17</v>
      </c>
      <c r="E26">
        <f>-D26+C26</f>
        <v>874</v>
      </c>
      <c r="F26">
        <v>0</v>
      </c>
      <c r="H26">
        <v>6883</v>
      </c>
      <c r="I26">
        <f>17*11</f>
        <v>187</v>
      </c>
      <c r="J26">
        <f>-I26+H26</f>
        <v>6696</v>
      </c>
      <c r="K26">
        <v>0</v>
      </c>
      <c r="M26">
        <v>299</v>
      </c>
      <c r="O26">
        <v>880</v>
      </c>
      <c r="Q26">
        <f>+O26-M26</f>
        <v>581</v>
      </c>
      <c r="S26">
        <f>(+Q26/M26)*100</f>
        <v>194.31438127090303</v>
      </c>
      <c r="U26" t="s">
        <v>84</v>
      </c>
    </row>
    <row r="27" spans="1:23" x14ac:dyDescent="0.25">
      <c r="A27" t="s">
        <v>470</v>
      </c>
      <c r="C27">
        <v>-56</v>
      </c>
      <c r="D27">
        <v>0</v>
      </c>
      <c r="E27">
        <f>-D27+C27</f>
        <v>-56</v>
      </c>
      <c r="F27">
        <v>0</v>
      </c>
      <c r="H27">
        <v>-105</v>
      </c>
      <c r="I27">
        <v>0</v>
      </c>
      <c r="J27">
        <f>-I27+H27</f>
        <v>-105</v>
      </c>
      <c r="K27">
        <v>0</v>
      </c>
      <c r="M27">
        <v>0</v>
      </c>
      <c r="O27">
        <v>0</v>
      </c>
      <c r="Q27">
        <f>+O27-M27</f>
        <v>0</v>
      </c>
      <c r="S27">
        <v>0</v>
      </c>
      <c r="U27" t="s">
        <v>84</v>
      </c>
    </row>
    <row r="28" spans="1:23" x14ac:dyDescent="0.25">
      <c r="A28" t="s">
        <v>386</v>
      </c>
      <c r="C28">
        <v>0</v>
      </c>
      <c r="D28">
        <v>0</v>
      </c>
      <c r="E28">
        <f>+D28-C28</f>
        <v>0</v>
      </c>
      <c r="F28" t="e">
        <f>(+E28/D28)*100</f>
        <v>#DIV/0!</v>
      </c>
      <c r="H28">
        <v>0</v>
      </c>
      <c r="I28">
        <v>0</v>
      </c>
      <c r="J28">
        <f>+I28-H28</f>
        <v>0</v>
      </c>
      <c r="K28">
        <v>0</v>
      </c>
      <c r="Q28">
        <f>+O28-M28</f>
        <v>0</v>
      </c>
      <c r="U28">
        <v>0</v>
      </c>
    </row>
    <row r="29" spans="1:23" x14ac:dyDescent="0.25">
      <c r="A29" t="s">
        <v>471</v>
      </c>
      <c r="C29">
        <v>0</v>
      </c>
      <c r="D29">
        <v>0</v>
      </c>
      <c r="E29">
        <f>+D29-C29</f>
        <v>0</v>
      </c>
      <c r="F29" t="e">
        <f>(+E29/D29)*100</f>
        <v>#DIV/0!</v>
      </c>
      <c r="H29">
        <v>0</v>
      </c>
      <c r="I29">
        <v>0</v>
      </c>
      <c r="J29">
        <f>+I29-H29</f>
        <v>0</v>
      </c>
      <c r="K29">
        <v>0</v>
      </c>
      <c r="Q29">
        <f>+O29-M29</f>
        <v>0</v>
      </c>
      <c r="U29">
        <v>0</v>
      </c>
    </row>
    <row r="30" spans="1:23" x14ac:dyDescent="0.25">
      <c r="A30" t="s">
        <v>472</v>
      </c>
      <c r="C30">
        <f>SUM(C25:C29)</f>
        <v>835</v>
      </c>
      <c r="D30">
        <f>SUM(D25:D29)</f>
        <v>17</v>
      </c>
      <c r="E30">
        <f>SUM(E25:E29)</f>
        <v>818</v>
      </c>
      <c r="F30">
        <v>0</v>
      </c>
      <c r="H30">
        <f>SUM(H25:H29)</f>
        <v>6778</v>
      </c>
      <c r="I30">
        <f>SUM(I25:I29)</f>
        <v>187</v>
      </c>
      <c r="J30">
        <f>SUM(J25:J29)</f>
        <v>6591</v>
      </c>
      <c r="K30">
        <v>0</v>
      </c>
      <c r="M30">
        <f>SUM(M25:M29)</f>
        <v>299</v>
      </c>
      <c r="O30">
        <f>SUM(O25:O29)</f>
        <v>880</v>
      </c>
      <c r="Q30">
        <f>+O30-M30</f>
        <v>581</v>
      </c>
      <c r="S30">
        <f>(+Q30/M30)*100</f>
        <v>194.31438127090303</v>
      </c>
      <c r="U30">
        <v>7286</v>
      </c>
    </row>
    <row r="31" spans="1:23" x14ac:dyDescent="0.25">
      <c r="F31" t="s">
        <v>84</v>
      </c>
      <c r="K31" t="s">
        <v>84</v>
      </c>
      <c r="Q31" t="s">
        <v>84</v>
      </c>
    </row>
    <row r="32" spans="1:23" x14ac:dyDescent="0.25">
      <c r="A32" t="s">
        <v>473</v>
      </c>
      <c r="C32">
        <f>+C22+C30</f>
        <v>984</v>
      </c>
      <c r="D32">
        <f>+D22+D30</f>
        <v>610</v>
      </c>
      <c r="E32">
        <f>+E22+E30</f>
        <v>374</v>
      </c>
      <c r="F32">
        <f>(+E32/D32)*100</f>
        <v>61.311475409836071</v>
      </c>
      <c r="H32">
        <f>+H22+H30</f>
        <v>36643</v>
      </c>
      <c r="I32">
        <f>+I22+I30</f>
        <v>28135</v>
      </c>
      <c r="J32">
        <f>+J22+J30</f>
        <v>8508</v>
      </c>
      <c r="K32">
        <v>0</v>
      </c>
      <c r="L32" t="s">
        <v>84</v>
      </c>
      <c r="M32">
        <f>+M22+M30</f>
        <v>2557</v>
      </c>
      <c r="N32" t="s">
        <v>84</v>
      </c>
      <c r="O32">
        <f>+O22+O30</f>
        <v>-17356</v>
      </c>
      <c r="P32" t="s">
        <v>84</v>
      </c>
      <c r="Q32">
        <f>+M32-O32</f>
        <v>19913</v>
      </c>
      <c r="S32">
        <f>(+Q32/O32)*-100</f>
        <v>114.73265729430744</v>
      </c>
      <c r="U32">
        <f>+U22+U30</f>
        <v>32912.149999999994</v>
      </c>
    </row>
    <row r="34" spans="1:21" x14ac:dyDescent="0.25">
      <c r="A34" t="s">
        <v>474</v>
      </c>
    </row>
    <row r="35" spans="1:21" x14ac:dyDescent="0.25">
      <c r="A35" t="s">
        <v>475</v>
      </c>
      <c r="C35">
        <v>320</v>
      </c>
      <c r="D35">
        <v>1993</v>
      </c>
      <c r="E35">
        <f>-D35+C35</f>
        <v>-1673</v>
      </c>
      <c r="F35">
        <f>(+E35/D35)*100</f>
        <v>-83.943803311590571</v>
      </c>
      <c r="H35">
        <v>16326</v>
      </c>
      <c r="I35">
        <f>1993*11</f>
        <v>21923</v>
      </c>
      <c r="J35">
        <f>-I35+H35</f>
        <v>-5597</v>
      </c>
      <c r="K35">
        <f>(+J35/I35)*100</f>
        <v>-25.530265018473745</v>
      </c>
      <c r="M35">
        <f>17366</f>
        <v>17366</v>
      </c>
      <c r="O35">
        <f>14434</f>
        <v>14434</v>
      </c>
      <c r="Q35">
        <f>+M35-O35</f>
        <v>2932</v>
      </c>
      <c r="S35">
        <f>(+Q35/M35)*100</f>
        <v>16.883565587930438</v>
      </c>
      <c r="U35">
        <v>17403</v>
      </c>
    </row>
    <row r="36" spans="1:21" x14ac:dyDescent="0.25">
      <c r="A36" t="s">
        <v>476</v>
      </c>
      <c r="C36">
        <v>24</v>
      </c>
      <c r="D36">
        <v>0</v>
      </c>
      <c r="E36">
        <f>-D36+C36</f>
        <v>24</v>
      </c>
      <c r="F36">
        <v>0</v>
      </c>
      <c r="H36">
        <v>276</v>
      </c>
      <c r="I36">
        <v>0</v>
      </c>
      <c r="J36">
        <f>-I36+H36</f>
        <v>276</v>
      </c>
      <c r="K36">
        <v>0</v>
      </c>
      <c r="M36">
        <v>0</v>
      </c>
      <c r="O36">
        <v>0</v>
      </c>
      <c r="Q36">
        <f>+M36-O36</f>
        <v>0</v>
      </c>
      <c r="S36">
        <v>0</v>
      </c>
      <c r="U36">
        <v>300</v>
      </c>
    </row>
    <row r="37" spans="1:21" x14ac:dyDescent="0.25">
      <c r="A37" t="s">
        <v>477</v>
      </c>
      <c r="C37">
        <v>0</v>
      </c>
      <c r="D37">
        <v>0</v>
      </c>
      <c r="E37">
        <f>-D37+C37</f>
        <v>0</v>
      </c>
      <c r="F37">
        <v>0</v>
      </c>
      <c r="H37">
        <v>-471</v>
      </c>
      <c r="I37">
        <v>0</v>
      </c>
      <c r="J37">
        <f>-I37+H37</f>
        <v>-471</v>
      </c>
      <c r="K37">
        <v>0</v>
      </c>
      <c r="M37">
        <v>0</v>
      </c>
      <c r="O37">
        <v>0</v>
      </c>
      <c r="Q37">
        <f>+M37-O37</f>
        <v>0</v>
      </c>
      <c r="S37">
        <v>0</v>
      </c>
      <c r="U37" t="s">
        <v>84</v>
      </c>
    </row>
    <row r="38" spans="1:21" x14ac:dyDescent="0.25">
      <c r="A38" t="s">
        <v>478</v>
      </c>
      <c r="C38">
        <f>SUM(C35:C37)</f>
        <v>344</v>
      </c>
      <c r="D38">
        <f>SUM(D35:D37)</f>
        <v>1993</v>
      </c>
      <c r="E38">
        <f>SUM(E35:E37)</f>
        <v>-1649</v>
      </c>
      <c r="F38">
        <f>(+E38/D38)*100</f>
        <v>-82.73958855995987</v>
      </c>
      <c r="H38">
        <f>SUM(H35:H37)</f>
        <v>16131</v>
      </c>
      <c r="I38">
        <f>SUM(I35:I37)</f>
        <v>21923</v>
      </c>
      <c r="J38">
        <f>SUM(J35:J37)</f>
        <v>-5792</v>
      </c>
      <c r="K38">
        <f>(+J38/I38)*100</f>
        <v>-26.419741823655524</v>
      </c>
      <c r="M38">
        <f>SUM(M35:M37)</f>
        <v>17366</v>
      </c>
      <c r="O38">
        <f>SUM(O35:O37)</f>
        <v>14434</v>
      </c>
      <c r="Q38">
        <f>SUM(Q35:Q37)</f>
        <v>2932</v>
      </c>
      <c r="S38">
        <f>(+Q38/M38)*100</f>
        <v>16.883565587930438</v>
      </c>
    </row>
    <row r="39" spans="1:21" x14ac:dyDescent="0.25">
      <c r="S39" t="s">
        <v>84</v>
      </c>
    </row>
    <row r="40" spans="1:21" x14ac:dyDescent="0.25">
      <c r="A40" t="s">
        <v>479</v>
      </c>
      <c r="C40">
        <f>+C32-C38</f>
        <v>640</v>
      </c>
      <c r="D40">
        <f>+D32-D38</f>
        <v>-1383</v>
      </c>
      <c r="E40">
        <f>+C40-D40</f>
        <v>2023</v>
      </c>
      <c r="F40">
        <f>(+E40/D40)*-100</f>
        <v>146.27621113521329</v>
      </c>
      <c r="H40">
        <f>+H32-H38</f>
        <v>20512</v>
      </c>
      <c r="I40">
        <f>+I32-I38</f>
        <v>6212</v>
      </c>
      <c r="J40">
        <f>+H40-I40</f>
        <v>14300</v>
      </c>
      <c r="K40">
        <v>0</v>
      </c>
      <c r="M40">
        <f>+M32-M38</f>
        <v>-14809</v>
      </c>
      <c r="O40">
        <f>+O32-O38</f>
        <v>-31790</v>
      </c>
      <c r="Q40">
        <f>+M40-O40</f>
        <v>16981</v>
      </c>
      <c r="S40">
        <f>(+Q40/M40)*-100</f>
        <v>114.66675670200554</v>
      </c>
      <c r="U40">
        <f>+U32-U38</f>
        <v>32912.149999999994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4C96B-491D-498D-ACAA-5143AF4C4B30}">
  <dimension ref="A1:N40"/>
  <sheetViews>
    <sheetView workbookViewId="0"/>
  </sheetViews>
  <sheetFormatPr defaultRowHeight="15" x14ac:dyDescent="0.25"/>
  <sheetData>
    <row r="1" spans="1:14" x14ac:dyDescent="0.25">
      <c r="A1" t="s">
        <v>410</v>
      </c>
    </row>
    <row r="2" spans="1:14" x14ac:dyDescent="0.25">
      <c r="A2" t="s">
        <v>457</v>
      </c>
    </row>
    <row r="3" spans="1:14" x14ac:dyDescent="0.25">
      <c r="A3" t="s">
        <v>458</v>
      </c>
    </row>
    <row r="4" spans="1:14" x14ac:dyDescent="0.25">
      <c r="A4" t="s">
        <v>459</v>
      </c>
    </row>
    <row r="5" spans="1:14" x14ac:dyDescent="0.25">
      <c r="L5" t="s">
        <v>13</v>
      </c>
    </row>
    <row r="6" spans="1:14" x14ac:dyDescent="0.25">
      <c r="L6" t="s">
        <v>480</v>
      </c>
    </row>
    <row r="7" spans="1:14" x14ac:dyDescent="0.25">
      <c r="D7" t="s">
        <v>423</v>
      </c>
      <c r="F7" t="s">
        <v>422</v>
      </c>
      <c r="H7" t="s">
        <v>419</v>
      </c>
      <c r="J7" t="s">
        <v>420</v>
      </c>
      <c r="L7" t="s">
        <v>84</v>
      </c>
    </row>
    <row r="8" spans="1:14" x14ac:dyDescent="0.25">
      <c r="A8" t="s">
        <v>424</v>
      </c>
    </row>
    <row r="9" spans="1:14" x14ac:dyDescent="0.25">
      <c r="A9" t="s">
        <v>425</v>
      </c>
      <c r="C9" t="s">
        <v>355</v>
      </c>
      <c r="D9">
        <v>152710</v>
      </c>
      <c r="E9" t="s">
        <v>355</v>
      </c>
      <c r="F9">
        <v>114532</v>
      </c>
      <c r="G9" t="s">
        <v>355</v>
      </c>
      <c r="H9">
        <f>-F9-D9</f>
        <v>-267242</v>
      </c>
      <c r="J9">
        <f>(+H9/D9)*100</f>
        <v>-174.99967258201821</v>
      </c>
    </row>
    <row r="10" spans="1:14" x14ac:dyDescent="0.25">
      <c r="A10" t="s">
        <v>350</v>
      </c>
    </row>
    <row r="11" spans="1:14" x14ac:dyDescent="0.25">
      <c r="A11" t="s">
        <v>84</v>
      </c>
      <c r="D11">
        <v>7</v>
      </c>
      <c r="F11">
        <v>21</v>
      </c>
      <c r="H11">
        <f>-F11-D11</f>
        <v>-28</v>
      </c>
      <c r="J11">
        <f>(+H11/D11)*100</f>
        <v>-400</v>
      </c>
      <c r="L11" t="s">
        <v>84</v>
      </c>
    </row>
    <row r="12" spans="1:14" x14ac:dyDescent="0.25">
      <c r="A12" t="s">
        <v>84</v>
      </c>
      <c r="D12">
        <v>771</v>
      </c>
      <c r="F12">
        <v>578</v>
      </c>
      <c r="H12">
        <f>-F12-D12</f>
        <v>-1349</v>
      </c>
      <c r="J12">
        <f>(+H12/D12)*100</f>
        <v>-174.96757457846951</v>
      </c>
      <c r="L12" t="s">
        <v>84</v>
      </c>
    </row>
    <row r="13" spans="1:14" x14ac:dyDescent="0.25">
      <c r="A13" t="s">
        <v>84</v>
      </c>
      <c r="L13" t="s">
        <v>84</v>
      </c>
    </row>
    <row r="14" spans="1:14" x14ac:dyDescent="0.25">
      <c r="A14" t="s">
        <v>428</v>
      </c>
      <c r="C14" t="s">
        <v>84</v>
      </c>
      <c r="D14">
        <f>SUM(D9:D12)</f>
        <v>153488</v>
      </c>
      <c r="E14" t="s">
        <v>84</v>
      </c>
      <c r="F14">
        <f>SUM(F9:F12)</f>
        <v>115131</v>
      </c>
      <c r="G14" t="s">
        <v>84</v>
      </c>
      <c r="H14">
        <f>-F14-D14</f>
        <v>-268619</v>
      </c>
      <c r="J14">
        <f>(+H14/D14)*100</f>
        <v>-175.00977275096426</v>
      </c>
      <c r="L14">
        <f>+L9+L10</f>
        <v>0</v>
      </c>
    </row>
    <row r="16" spans="1:14" x14ac:dyDescent="0.25">
      <c r="A16" t="s">
        <v>429</v>
      </c>
      <c r="N16" t="s">
        <v>84</v>
      </c>
    </row>
    <row r="17" spans="1:14" x14ac:dyDescent="0.25">
      <c r="A17" t="s">
        <v>481</v>
      </c>
      <c r="D17">
        <f>4353+43472+278+2275+3141+1120+2564+9936+4325+11024+550+4550+200+3275+1136+778+378</f>
        <v>93355</v>
      </c>
      <c r="F17">
        <f>+D17-7377</f>
        <v>85978</v>
      </c>
      <c r="H17">
        <f>+D17-F17</f>
        <v>7377</v>
      </c>
      <c r="J17">
        <f>(+H17/D17)*100</f>
        <v>7.9020941567136198</v>
      </c>
      <c r="N17" t="s">
        <v>84</v>
      </c>
    </row>
    <row r="18" spans="1:14" x14ac:dyDescent="0.25">
      <c r="A18" t="s">
        <v>466</v>
      </c>
      <c r="D18">
        <f>34179+7765</f>
        <v>41944</v>
      </c>
      <c r="F18">
        <f>0.75*D18</f>
        <v>31458</v>
      </c>
      <c r="H18">
        <f>+D18-F18</f>
        <v>10486</v>
      </c>
      <c r="J18">
        <f>(+H18/D18)*100</f>
        <v>25</v>
      </c>
    </row>
    <row r="19" spans="1:14" x14ac:dyDescent="0.25">
      <c r="A19" t="s">
        <v>482</v>
      </c>
      <c r="L19">
        <v>1067</v>
      </c>
    </row>
    <row r="20" spans="1:14" x14ac:dyDescent="0.25">
      <c r="A20" t="s">
        <v>439</v>
      </c>
      <c r="D20">
        <f>SUM(D17:D18)</f>
        <v>135299</v>
      </c>
      <c r="F20">
        <f>SUM(F17:F18)</f>
        <v>117436</v>
      </c>
      <c r="H20">
        <f>+D20-F20</f>
        <v>17863</v>
      </c>
      <c r="J20">
        <f>(+H20/D20)*100</f>
        <v>13.202610514490129</v>
      </c>
      <c r="L20">
        <f>SUM(L17:L19)</f>
        <v>1067</v>
      </c>
    </row>
    <row r="21" spans="1:14" x14ac:dyDescent="0.25">
      <c r="H21" t="s">
        <v>84</v>
      </c>
      <c r="J21" t="s">
        <v>84</v>
      </c>
    </row>
    <row r="22" spans="1:14" x14ac:dyDescent="0.25">
      <c r="A22" t="s">
        <v>467</v>
      </c>
      <c r="D22">
        <f>+D14-D20</f>
        <v>18189</v>
      </c>
      <c r="F22">
        <f>+F14-F20</f>
        <v>-2305</v>
      </c>
      <c r="H22">
        <f>+D22-F22</f>
        <v>20494</v>
      </c>
      <c r="J22">
        <f>(+H22/D22)*100</f>
        <v>112.67249436472594</v>
      </c>
      <c r="L22">
        <f>+L14-L20</f>
        <v>-1067</v>
      </c>
    </row>
    <row r="24" spans="1:14" x14ac:dyDescent="0.25">
      <c r="A24" t="s">
        <v>468</v>
      </c>
    </row>
    <row r="25" spans="1:14" x14ac:dyDescent="0.25">
      <c r="L25">
        <v>0</v>
      </c>
    </row>
    <row r="26" spans="1:14" x14ac:dyDescent="0.25">
      <c r="A26" t="s">
        <v>469</v>
      </c>
      <c r="D26">
        <v>299</v>
      </c>
      <c r="F26">
        <v>880</v>
      </c>
      <c r="H26">
        <f>+F26-D26</f>
        <v>581</v>
      </c>
      <c r="J26">
        <f>(+H26/D26)*100</f>
        <v>194.31438127090303</v>
      </c>
    </row>
    <row r="27" spans="1:14" x14ac:dyDescent="0.25">
      <c r="A27" t="s">
        <v>470</v>
      </c>
      <c r="D27">
        <v>0</v>
      </c>
      <c r="F27">
        <v>0</v>
      </c>
      <c r="H27">
        <f>+F27-D27</f>
        <v>0</v>
      </c>
      <c r="J27">
        <v>0</v>
      </c>
      <c r="L27">
        <v>0</v>
      </c>
    </row>
    <row r="28" spans="1:14" x14ac:dyDescent="0.25">
      <c r="A28" t="s">
        <v>386</v>
      </c>
      <c r="H28">
        <f>+F28-D28</f>
        <v>0</v>
      </c>
      <c r="L28">
        <v>0</v>
      </c>
    </row>
    <row r="29" spans="1:14" x14ac:dyDescent="0.25">
      <c r="A29" t="s">
        <v>471</v>
      </c>
      <c r="H29">
        <f>+F29-D29</f>
        <v>0</v>
      </c>
      <c r="L29">
        <v>0</v>
      </c>
    </row>
    <row r="30" spans="1:14" x14ac:dyDescent="0.25">
      <c r="A30" t="s">
        <v>472</v>
      </c>
      <c r="D30">
        <f>SUM(D25:D29)</f>
        <v>299</v>
      </c>
      <c r="F30">
        <f>SUM(F25:F29)</f>
        <v>880</v>
      </c>
      <c r="H30">
        <f>+F30-D30</f>
        <v>581</v>
      </c>
      <c r="J30">
        <f>(+H30/D30)*100</f>
        <v>194.31438127090303</v>
      </c>
      <c r="L30">
        <f>+L26+L27</f>
        <v>0</v>
      </c>
    </row>
    <row r="31" spans="1:14" x14ac:dyDescent="0.25">
      <c r="H31" t="s">
        <v>84</v>
      </c>
    </row>
    <row r="32" spans="1:14" x14ac:dyDescent="0.25">
      <c r="A32" t="s">
        <v>473</v>
      </c>
      <c r="C32" t="s">
        <v>84</v>
      </c>
      <c r="D32">
        <f>+D22+D30</f>
        <v>18488</v>
      </c>
      <c r="E32" t="s">
        <v>84</v>
      </c>
      <c r="F32">
        <f>+F22+F30</f>
        <v>-1425</v>
      </c>
      <c r="G32" t="s">
        <v>84</v>
      </c>
      <c r="H32">
        <f>+D32-F32</f>
        <v>19913</v>
      </c>
      <c r="J32">
        <f>(+H32/F32)*-100</f>
        <v>1397.4035087719296</v>
      </c>
      <c r="L32">
        <f>+L22+L30</f>
        <v>-1067</v>
      </c>
    </row>
    <row r="34" spans="1:12" x14ac:dyDescent="0.25">
      <c r="A34" t="s">
        <v>474</v>
      </c>
    </row>
    <row r="35" spans="1:12" x14ac:dyDescent="0.25">
      <c r="A35" t="s">
        <v>475</v>
      </c>
      <c r="D35">
        <f>17366</f>
        <v>17366</v>
      </c>
      <c r="F35">
        <f>14434</f>
        <v>14434</v>
      </c>
      <c r="H35">
        <f>+D35-F35</f>
        <v>2932</v>
      </c>
      <c r="J35">
        <f>(+H35/D35)*100</f>
        <v>16.883565587930438</v>
      </c>
    </row>
    <row r="36" spans="1:12" x14ac:dyDescent="0.25">
      <c r="A36" t="s">
        <v>476</v>
      </c>
      <c r="D36">
        <v>0</v>
      </c>
      <c r="F36">
        <v>0</v>
      </c>
      <c r="H36">
        <f>+D36-F36</f>
        <v>0</v>
      </c>
      <c r="J36">
        <v>0</v>
      </c>
      <c r="L36">
        <v>260</v>
      </c>
    </row>
    <row r="37" spans="1:12" x14ac:dyDescent="0.25">
      <c r="A37" t="s">
        <v>477</v>
      </c>
      <c r="D37">
        <v>0</v>
      </c>
      <c r="F37">
        <v>0</v>
      </c>
      <c r="H37">
        <f>+D37-F37</f>
        <v>0</v>
      </c>
      <c r="J37">
        <v>0</v>
      </c>
      <c r="L37" t="s">
        <v>84</v>
      </c>
    </row>
    <row r="38" spans="1:12" x14ac:dyDescent="0.25">
      <c r="A38" t="s">
        <v>478</v>
      </c>
      <c r="D38">
        <f>SUM(D35:D37)</f>
        <v>17366</v>
      </c>
      <c r="F38">
        <f>SUM(F35:F37)</f>
        <v>14434</v>
      </c>
      <c r="H38">
        <f>SUM(H35:H37)</f>
        <v>2932</v>
      </c>
      <c r="J38">
        <f>(+H38/D38)*100</f>
        <v>16.883565587930438</v>
      </c>
      <c r="L38">
        <f>+L35+L36</f>
        <v>260</v>
      </c>
    </row>
    <row r="39" spans="1:12" x14ac:dyDescent="0.25">
      <c r="J39" t="s">
        <v>84</v>
      </c>
    </row>
    <row r="40" spans="1:12" x14ac:dyDescent="0.25">
      <c r="A40" t="s">
        <v>479</v>
      </c>
      <c r="D40">
        <f>+D32-D38</f>
        <v>1122</v>
      </c>
      <c r="F40">
        <f>+F32-F38</f>
        <v>-15859</v>
      </c>
      <c r="H40">
        <f>+D40-F40</f>
        <v>16981</v>
      </c>
      <c r="J40">
        <f>(+H40/D40)*-100</f>
        <v>-1513.4581105169341</v>
      </c>
      <c r="L40">
        <f>+L32-L38</f>
        <v>-1327</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6F5885-F83D-4F58-87BD-26F47BB80369}"/>
</file>

<file path=customXml/itemProps2.xml><?xml version="1.0" encoding="utf-8"?>
<ds:datastoreItem xmlns:ds="http://schemas.openxmlformats.org/officeDocument/2006/customXml" ds:itemID="{E67AC9F6-3753-47B3-97F1-1B2594EDD70A}"/>
</file>

<file path=customXml/itemProps3.xml><?xml version="1.0" encoding="utf-8"?>
<ds:datastoreItem xmlns:ds="http://schemas.openxmlformats.org/officeDocument/2006/customXml" ds:itemID="{25B3B0A5-28ED-46DD-A728-D96AF99344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General Ledger</vt:lpstr>
      <vt:lpstr>99 O&amp;M BudgetBy FERC_RES</vt:lpstr>
      <vt:lpstr>99 O&amp;M BudgetBy FERC_CC</vt:lpstr>
      <vt:lpstr>Projected 1998 BS</vt:lpstr>
      <vt:lpstr>Projected 1999 BS </vt:lpstr>
      <vt:lpstr>Projected 2000 BS</vt:lpstr>
      <vt:lpstr>1998 Income Statement </vt:lpstr>
      <vt:lpstr>1999 Income Statement</vt:lpstr>
      <vt:lpstr>2000 Income Statement </vt:lpstr>
      <vt:lpstr>GMC</vt:lpstr>
      <vt:lpstr>CODE</vt:lpstr>
      <vt:lpstr>Recovered_Sheet1</vt:lpstr>
      <vt:lpstr>Cash Flows</vt:lpstr>
      <vt:lpstr>Recovered_Sheet2</vt:lpstr>
      <vt:lpstr>Recovered_Sheet3</vt:lpstr>
      <vt:lpstr>Recovered_Sheet4</vt:lpstr>
      <vt:lpstr>Recovered_Sheet5</vt:lpstr>
      <vt:lpstr>Recovered_Sheet6</vt:lpstr>
      <vt:lpstr>St_ AF</vt:lpstr>
      <vt:lpstr>Recovered_Sheet7</vt:lpstr>
      <vt:lpstr>Recovered_Sheet8</vt:lpstr>
      <vt:lpstr>Recovered_Sheet9</vt:lpstr>
      <vt:lpstr>Recovered_Sheet10</vt:lpstr>
      <vt:lpstr>Recovered_Sheet11</vt:lpstr>
      <vt:lpstr>Recovered_Sheet12</vt:lpstr>
      <vt:lpstr>Recovered_Sheet13</vt:lpstr>
      <vt:lpstr>Recovered_Sheet14</vt:lpstr>
      <vt:lpstr>Recovered_Sheet15</vt:lpstr>
      <vt:lpstr>Recovered_Sheet16</vt:lpstr>
      <vt:lpstr>Recovered_Sheet17</vt:lpstr>
      <vt:lpstr>St_ AM</vt:lpstr>
      <vt:lpstr>Recovered_Sheet18</vt:lpstr>
      <vt:lpstr>St_ AO</vt:lpstr>
      <vt:lpstr>St_ AP</vt:lpstr>
      <vt:lpstr>St_ AQ</vt:lpstr>
      <vt:lpstr>St_ AR</vt:lpstr>
      <vt:lpstr>St_ AS</vt:lpstr>
      <vt:lpstr>St_ AW</vt:lpstr>
      <vt:lpstr>St_ AT</vt:lpstr>
      <vt:lpstr>St_ AX</vt:lpstr>
      <vt:lpstr>St_ AY</vt:lpstr>
      <vt:lpstr>Recovered_Sheet19</vt:lpstr>
      <vt:lpstr>Recovered_Sheet20</vt:lpstr>
      <vt:lpstr>Recovered_Sheet21</vt:lpstr>
      <vt:lpstr>St_ BB</vt:lpstr>
      <vt:lpstr>St_ BG</vt:lpstr>
      <vt:lpstr>St_ BH</vt:lpstr>
      <vt:lpstr>Recovered_Sheet22</vt:lpstr>
      <vt:lpstr>Recovered_Sheet23</vt:lpstr>
      <vt:lpstr>print macro</vt:lpstr>
      <vt:lpstr>Sheet1</vt:lpstr>
      <vt:lpstr>AD AE WP</vt:lpstr>
      <vt:lpstr>AD AE WP (2)</vt:lpstr>
      <vt:lpstr>AG WP</vt:lpstr>
      <vt:lpstr>AH WP</vt:lpstr>
      <vt:lpstr>AI WP</vt:lpstr>
      <vt:lpstr>CRITERIA1</vt:lpstr>
      <vt:lpstr>AI WP 2</vt:lpstr>
      <vt:lpstr>Attachment D</vt:lpstr>
      <vt:lpstr>Accounts</vt:lpstr>
      <vt:lpstr>Mapping</vt:lpstr>
      <vt:lpstr>St_ 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Meredith, Jacqueline</cp:lastModifiedBy>
  <cp:revision/>
  <dcterms:created xsi:type="dcterms:W3CDTF">2025-07-08T00:59:52Z</dcterms:created>
  <dcterms:modified xsi:type="dcterms:W3CDTF">2025-07-08T01:00:35Z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