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homefiles\home\jmeredith\profile\Desktop\Angela Task\"/>
    </mc:Choice>
  </mc:AlternateContent>
  <xr:revisionPtr revIDLastSave="0" documentId="8_{1DD147F0-F30F-41CF-8FCE-2AC8DBC18170}" xr6:coauthVersionLast="47" xr6:coauthVersionMax="47" xr10:uidLastSave="{00000000-0000-0000-0000-000000000000}"/>
  <bookViews>
    <workbookView xWindow="28680" yWindow="-120" windowWidth="29040" windowHeight="16440" xr2:uid="{4A352774-6DF7-4499-A0F9-999B6E609B91}"/>
  </bookViews>
  <sheets>
    <sheet name="Results" sheetId="5" r:id="rId1"/>
    <sheet name="CostMatrix" sheetId="1" r:id="rId2"/>
  </sheets>
  <externalReferences>
    <externalReference r:id="rId3"/>
  </externalReferences>
  <definedNames>
    <definedName name="_xlnm.Print_Area" localSheetId="1">CostMatrix!$A$1:$S$423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O13" i="1"/>
  <c r="P13" i="1"/>
  <c r="Q13" i="1"/>
  <c r="V13" i="1" s="1"/>
  <c r="R13" i="1"/>
  <c r="U13" i="1"/>
  <c r="F15" i="1"/>
  <c r="F16" i="1" s="1"/>
  <c r="P16" i="1"/>
  <c r="N18" i="1"/>
  <c r="O18" i="1"/>
  <c r="P18" i="1"/>
  <c r="Q18" i="1"/>
  <c r="R18" i="1"/>
  <c r="U18" i="1"/>
  <c r="F21" i="1"/>
  <c r="N21" i="1"/>
  <c r="O21" i="1"/>
  <c r="P21" i="1"/>
  <c r="Q21" i="1"/>
  <c r="R21" i="1"/>
  <c r="N23" i="1"/>
  <c r="O23" i="1"/>
  <c r="P23" i="1"/>
  <c r="Q23" i="1"/>
  <c r="R23" i="1"/>
  <c r="F26" i="1"/>
  <c r="N26" i="1"/>
  <c r="O26" i="1"/>
  <c r="P26" i="1"/>
  <c r="Q26" i="1"/>
  <c r="R26" i="1"/>
  <c r="U26" i="1"/>
  <c r="N28" i="1"/>
  <c r="O28" i="1"/>
  <c r="P28" i="1"/>
  <c r="Q28" i="1"/>
  <c r="R28" i="1"/>
  <c r="N30" i="1"/>
  <c r="O30" i="1"/>
  <c r="P30" i="1"/>
  <c r="Q30" i="1"/>
  <c r="R30" i="1"/>
  <c r="F31" i="1"/>
  <c r="Q31" i="1"/>
  <c r="U31" i="1"/>
  <c r="N34" i="1"/>
  <c r="O34" i="1"/>
  <c r="J44" i="1" s="1"/>
  <c r="P34" i="1"/>
  <c r="Q34" i="1"/>
  <c r="R34" i="1"/>
  <c r="V34" i="1"/>
  <c r="F37" i="1"/>
  <c r="N37" i="1" s="1"/>
  <c r="O37" i="1"/>
  <c r="P37" i="1"/>
  <c r="Q37" i="1"/>
  <c r="U37" i="1"/>
  <c r="N39" i="1"/>
  <c r="O39" i="1"/>
  <c r="P39" i="1"/>
  <c r="Q39" i="1"/>
  <c r="R39" i="1"/>
  <c r="F42" i="1"/>
  <c r="N42" i="1"/>
  <c r="O42" i="1"/>
  <c r="P42" i="1"/>
  <c r="Q42" i="1"/>
  <c r="R42" i="1"/>
  <c r="U42" i="1"/>
  <c r="F46" i="1"/>
  <c r="F47" i="1" s="1"/>
  <c r="N49" i="1"/>
  <c r="V49" i="1" s="1"/>
  <c r="O49" i="1"/>
  <c r="P49" i="1"/>
  <c r="Q49" i="1"/>
  <c r="R49" i="1"/>
  <c r="F52" i="1"/>
  <c r="O52" i="1" s="1"/>
  <c r="N52" i="1"/>
  <c r="Q52" i="1"/>
  <c r="R52" i="1"/>
  <c r="U52" i="1"/>
  <c r="N54" i="1"/>
  <c r="O54" i="1"/>
  <c r="P54" i="1"/>
  <c r="Q54" i="1"/>
  <c r="R54" i="1"/>
  <c r="F57" i="1"/>
  <c r="Q57" i="1"/>
  <c r="U57" i="1"/>
  <c r="E65" i="1"/>
  <c r="U68" i="1"/>
  <c r="F83" i="1"/>
  <c r="F89" i="1"/>
  <c r="F95" i="1"/>
  <c r="E103" i="1"/>
  <c r="F110" i="1"/>
  <c r="E114" i="1"/>
  <c r="F116" i="1"/>
  <c r="F133" i="1"/>
  <c r="F134" i="1"/>
  <c r="H136" i="1"/>
  <c r="I136" i="1"/>
  <c r="N136" i="1"/>
  <c r="O136" i="1"/>
  <c r="P136" i="1"/>
  <c r="Q136" i="1"/>
  <c r="R136" i="1"/>
  <c r="U136" i="1"/>
  <c r="F138" i="1"/>
  <c r="F139" i="1" s="1"/>
  <c r="O139" i="1"/>
  <c r="P139" i="1"/>
  <c r="U139" i="1"/>
  <c r="G141" i="1"/>
  <c r="H141" i="1"/>
  <c r="I141" i="1"/>
  <c r="J141" i="1"/>
  <c r="K141" i="1"/>
  <c r="R141" i="1" s="1"/>
  <c r="O141" i="1"/>
  <c r="P141" i="1"/>
  <c r="Q141" i="1"/>
  <c r="F143" i="1"/>
  <c r="F144" i="1"/>
  <c r="P144" i="1"/>
  <c r="G146" i="1"/>
  <c r="H146" i="1"/>
  <c r="I146" i="1"/>
  <c r="U146" i="1" s="1"/>
  <c r="J146" i="1"/>
  <c r="N146" i="1"/>
  <c r="O146" i="1"/>
  <c r="P146" i="1"/>
  <c r="Q146" i="1"/>
  <c r="R146" i="1"/>
  <c r="F148" i="1"/>
  <c r="F149" i="1" s="1"/>
  <c r="G151" i="1"/>
  <c r="H151" i="1"/>
  <c r="I151" i="1"/>
  <c r="J151" i="1"/>
  <c r="N151" i="1"/>
  <c r="O151" i="1"/>
  <c r="P151" i="1"/>
  <c r="Q151" i="1"/>
  <c r="R151" i="1"/>
  <c r="U151" i="1"/>
  <c r="F153" i="1"/>
  <c r="F154" i="1"/>
  <c r="P154" i="1" s="1"/>
  <c r="N154" i="1"/>
  <c r="O154" i="1"/>
  <c r="Q154" i="1"/>
  <c r="R154" i="1"/>
  <c r="N156" i="1"/>
  <c r="O156" i="1"/>
  <c r="P156" i="1"/>
  <c r="Q156" i="1"/>
  <c r="R156" i="1"/>
  <c r="U156" i="1"/>
  <c r="F158" i="1"/>
  <c r="F159" i="1"/>
  <c r="N159" i="1"/>
  <c r="Q159" i="1"/>
  <c r="N161" i="1"/>
  <c r="O161" i="1"/>
  <c r="P161" i="1"/>
  <c r="Q161" i="1"/>
  <c r="R161" i="1"/>
  <c r="F163" i="1"/>
  <c r="F164" i="1"/>
  <c r="E166" i="1"/>
  <c r="F171" i="1"/>
  <c r="F172" i="1" s="1"/>
  <c r="E176" i="1"/>
  <c r="F178" i="1"/>
  <c r="N196" i="1"/>
  <c r="O196" i="1"/>
  <c r="P196" i="1"/>
  <c r="Q196" i="1"/>
  <c r="R196" i="1"/>
  <c r="F198" i="1"/>
  <c r="F199" i="1" s="1"/>
  <c r="Q199" i="1"/>
  <c r="N201" i="1"/>
  <c r="O201" i="1"/>
  <c r="P201" i="1"/>
  <c r="Q201" i="1"/>
  <c r="R201" i="1"/>
  <c r="F202" i="1"/>
  <c r="F204" i="1"/>
  <c r="F205" i="1" s="1"/>
  <c r="G205" i="1"/>
  <c r="H205" i="1"/>
  <c r="I205" i="1"/>
  <c r="U205" i="1" s="1"/>
  <c r="J205" i="1"/>
  <c r="K205" i="1"/>
  <c r="G207" i="1"/>
  <c r="N207" i="1" s="1"/>
  <c r="H207" i="1"/>
  <c r="I207" i="1"/>
  <c r="J207" i="1"/>
  <c r="K207" i="1"/>
  <c r="R207" i="1" s="1"/>
  <c r="O207" i="1"/>
  <c r="P207" i="1"/>
  <c r="Q207" i="1"/>
  <c r="U207" i="1"/>
  <c r="F209" i="1"/>
  <c r="F210" i="1"/>
  <c r="F211" i="1" s="1"/>
  <c r="Q211" i="1" s="1"/>
  <c r="O211" i="1"/>
  <c r="R211" i="1"/>
  <c r="U211" i="1"/>
  <c r="N213" i="1"/>
  <c r="O213" i="1"/>
  <c r="P213" i="1"/>
  <c r="Q213" i="1"/>
  <c r="R213" i="1"/>
  <c r="U213" i="1"/>
  <c r="F216" i="1"/>
  <c r="P216" i="1" s="1"/>
  <c r="O216" i="1"/>
  <c r="R216" i="1"/>
  <c r="F226" i="1"/>
  <c r="F227" i="1" s="1"/>
  <c r="F231" i="1"/>
  <c r="F232" i="1"/>
  <c r="E236" i="1"/>
  <c r="E294" i="1" s="1"/>
  <c r="F238" i="1"/>
  <c r="G257" i="1"/>
  <c r="N257" i="1" s="1"/>
  <c r="H257" i="1"/>
  <c r="I257" i="1"/>
  <c r="P257" i="1" s="1"/>
  <c r="J257" i="1"/>
  <c r="K257" i="1"/>
  <c r="R257" i="1" s="1"/>
  <c r="O257" i="1"/>
  <c r="Q257" i="1"/>
  <c r="F260" i="1"/>
  <c r="F261" i="1" s="1"/>
  <c r="F266" i="1"/>
  <c r="F267" i="1" s="1"/>
  <c r="F272" i="1"/>
  <c r="F273" i="1"/>
  <c r="F279" i="1"/>
  <c r="F280" i="1"/>
  <c r="E284" i="1"/>
  <c r="F288" i="1"/>
  <c r="F289" i="1"/>
  <c r="F307" i="1"/>
  <c r="F309" i="1"/>
  <c r="F310" i="1"/>
  <c r="F316" i="1"/>
  <c r="F321" i="1"/>
  <c r="F322" i="1" s="1"/>
  <c r="F331" i="1"/>
  <c r="E333" i="1"/>
  <c r="F346" i="1"/>
  <c r="O346" i="1" s="1"/>
  <c r="N346" i="1"/>
  <c r="Q346" i="1"/>
  <c r="R346" i="1"/>
  <c r="N348" i="1"/>
  <c r="O348" i="1"/>
  <c r="P348" i="1"/>
  <c r="Q348" i="1"/>
  <c r="R348" i="1"/>
  <c r="G352" i="1"/>
  <c r="N352" i="1" s="1"/>
  <c r="H352" i="1"/>
  <c r="I352" i="1"/>
  <c r="J352" i="1"/>
  <c r="K352" i="1"/>
  <c r="R352" i="1" s="1"/>
  <c r="O352" i="1"/>
  <c r="P352" i="1"/>
  <c r="Q352" i="1"/>
  <c r="G354" i="1"/>
  <c r="H354" i="1"/>
  <c r="I354" i="1"/>
  <c r="P354" i="1" s="1"/>
  <c r="J354" i="1"/>
  <c r="K354" i="1"/>
  <c r="N354" i="1"/>
  <c r="O354" i="1"/>
  <c r="Q354" i="1"/>
  <c r="R354" i="1"/>
  <c r="G356" i="1"/>
  <c r="N356" i="1" s="1"/>
  <c r="H356" i="1"/>
  <c r="I356" i="1"/>
  <c r="J356" i="1"/>
  <c r="K356" i="1"/>
  <c r="R356" i="1" s="1"/>
  <c r="O356" i="1"/>
  <c r="P356" i="1"/>
  <c r="Q356" i="1"/>
  <c r="F358" i="1"/>
  <c r="F364" i="1"/>
  <c r="O364" i="1" s="1"/>
  <c r="N364" i="1"/>
  <c r="Q364" i="1"/>
  <c r="R364" i="1"/>
  <c r="F370" i="1"/>
  <c r="U387" i="1"/>
  <c r="F388" i="1"/>
  <c r="J388" i="1"/>
  <c r="N388" i="1"/>
  <c r="G388" i="1" s="1"/>
  <c r="O388" i="1"/>
  <c r="P388" i="1"/>
  <c r="Q388" i="1"/>
  <c r="R388" i="1"/>
  <c r="K388" i="1" s="1"/>
  <c r="F390" i="1"/>
  <c r="F392" i="1"/>
  <c r="F396" i="1"/>
  <c r="F399" i="1"/>
  <c r="F400" i="1"/>
  <c r="F402" i="1"/>
  <c r="F415" i="1"/>
  <c r="E6" i="5"/>
  <c r="F6" i="5"/>
  <c r="D8" i="5"/>
  <c r="F8" i="5"/>
  <c r="F22" i="5" s="1"/>
  <c r="D11" i="5"/>
  <c r="E11" i="5"/>
  <c r="E15" i="5"/>
  <c r="D22" i="5"/>
  <c r="E22" i="5"/>
  <c r="B28" i="5"/>
  <c r="F28" i="5" s="1"/>
  <c r="C28" i="5"/>
  <c r="B29" i="5"/>
  <c r="C29" i="5"/>
  <c r="B41" i="5"/>
  <c r="C41" i="5"/>
  <c r="F41" i="5"/>
  <c r="F11" i="5" l="1"/>
  <c r="B22" i="5" s="1"/>
  <c r="C22" i="5"/>
  <c r="I388" i="1"/>
  <c r="O261" i="1"/>
  <c r="P261" i="1"/>
  <c r="Q261" i="1"/>
  <c r="N261" i="1"/>
  <c r="R261" i="1"/>
  <c r="F274" i="1"/>
  <c r="F282" i="1" s="1"/>
  <c r="H388" i="1"/>
  <c r="Q149" i="1"/>
  <c r="N149" i="1"/>
  <c r="R149" i="1"/>
  <c r="O149" i="1"/>
  <c r="P149" i="1"/>
  <c r="I134" i="1" s="1"/>
  <c r="Q205" i="1"/>
  <c r="Q219" i="1" s="1"/>
  <c r="P205" i="1"/>
  <c r="R205" i="1"/>
  <c r="N205" i="1"/>
  <c r="O199" i="1"/>
  <c r="R199" i="1"/>
  <c r="R219" i="1" s="1"/>
  <c r="N199" i="1"/>
  <c r="P199" i="1"/>
  <c r="P219" i="1" s="1"/>
  <c r="F219" i="1"/>
  <c r="F234" i="1" s="1"/>
  <c r="Q44" i="1"/>
  <c r="J47" i="1"/>
  <c r="Q47" i="1" s="1"/>
  <c r="P364" i="1"/>
  <c r="P346" i="1"/>
  <c r="F366" i="1"/>
  <c r="F372" i="1" s="1"/>
  <c r="F385" i="1" s="1"/>
  <c r="F405" i="1" s="1"/>
  <c r="O205" i="1"/>
  <c r="O164" i="1"/>
  <c r="P164" i="1"/>
  <c r="N164" i="1"/>
  <c r="Q164" i="1"/>
  <c r="R164" i="1"/>
  <c r="N216" i="1"/>
  <c r="N211" i="1"/>
  <c r="N144" i="1"/>
  <c r="R144" i="1"/>
  <c r="O144" i="1"/>
  <c r="F166" i="1"/>
  <c r="F174" i="1" s="1"/>
  <c r="F179" i="1" s="1"/>
  <c r="F103" i="1"/>
  <c r="F112" i="1" s="1"/>
  <c r="F181" i="1" s="1"/>
  <c r="V54" i="1"/>
  <c r="N31" i="1"/>
  <c r="R31" i="1"/>
  <c r="O31" i="1"/>
  <c r="P31" i="1"/>
  <c r="Q16" i="1"/>
  <c r="Q64" i="1" s="1"/>
  <c r="N16" i="1"/>
  <c r="R16" i="1"/>
  <c r="O16" i="1"/>
  <c r="F64" i="1"/>
  <c r="O159" i="1"/>
  <c r="P159" i="1"/>
  <c r="N141" i="1"/>
  <c r="U141" i="1"/>
  <c r="Q139" i="1"/>
  <c r="N139" i="1"/>
  <c r="G134" i="1" s="1"/>
  <c r="R139" i="1"/>
  <c r="N57" i="1"/>
  <c r="R57" i="1"/>
  <c r="O57" i="1"/>
  <c r="P57" i="1"/>
  <c r="Q65" i="1"/>
  <c r="Q68" i="1" s="1"/>
  <c r="H44" i="1"/>
  <c r="Q216" i="1"/>
  <c r="P211" i="1"/>
  <c r="R159" i="1"/>
  <c r="Q144" i="1"/>
  <c r="K44" i="1"/>
  <c r="V39" i="1"/>
  <c r="G44" i="1"/>
  <c r="I44" i="1"/>
  <c r="V28" i="1"/>
  <c r="V23" i="1"/>
  <c r="V18" i="1"/>
  <c r="P52" i="1"/>
  <c r="R37" i="1"/>
  <c r="Q220" i="1" l="1"/>
  <c r="I131" i="1"/>
  <c r="P131" i="1" s="1"/>
  <c r="P134" i="1"/>
  <c r="P166" i="1" s="1"/>
  <c r="G131" i="1"/>
  <c r="P220" i="1"/>
  <c r="U261" i="1"/>
  <c r="R44" i="1"/>
  <c r="R65" i="1" s="1"/>
  <c r="R68" i="1" s="1"/>
  <c r="K47" i="1"/>
  <c r="R47" i="1" s="1"/>
  <c r="O44" i="1"/>
  <c r="O65" i="1" s="1"/>
  <c r="O68" i="1" s="1"/>
  <c r="H47" i="1"/>
  <c r="O47" i="1" s="1"/>
  <c r="J134" i="1"/>
  <c r="N219" i="1"/>
  <c r="R64" i="1"/>
  <c r="R67" i="1" s="1"/>
  <c r="K83" i="1" s="1"/>
  <c r="R83" i="1" s="1"/>
  <c r="N134" i="1"/>
  <c r="N166" i="1" s="1"/>
  <c r="R220" i="1"/>
  <c r="P44" i="1"/>
  <c r="P65" i="1" s="1"/>
  <c r="P68" i="1" s="1"/>
  <c r="I47" i="1"/>
  <c r="P47" i="1" s="1"/>
  <c r="P64" i="1" s="1"/>
  <c r="P67" i="1" s="1"/>
  <c r="I83" i="1" s="1"/>
  <c r="P83" i="1" s="1"/>
  <c r="N44" i="1"/>
  <c r="G47" i="1"/>
  <c r="Q79" i="1"/>
  <c r="J95" i="1"/>
  <c r="Q95" i="1" s="1"/>
  <c r="Q85" i="1"/>
  <c r="Q107" i="1"/>
  <c r="Q114" i="1" s="1"/>
  <c r="Q91" i="1"/>
  <c r="J89" i="1"/>
  <c r="Q89" i="1" s="1"/>
  <c r="Q103" i="1" s="1"/>
  <c r="Q67" i="1"/>
  <c r="J83" i="1" s="1"/>
  <c r="Q83" i="1" s="1"/>
  <c r="H134" i="1"/>
  <c r="F118" i="1"/>
  <c r="K134" i="1"/>
  <c r="O64" i="1"/>
  <c r="O67" i="1" s="1"/>
  <c r="H83" i="1" s="1"/>
  <c r="O83" i="1" s="1"/>
  <c r="F242" i="1"/>
  <c r="F291" i="1" s="1"/>
  <c r="F333" i="1" s="1"/>
  <c r="F414" i="1" s="1"/>
  <c r="F417" i="1" s="1"/>
  <c r="F419" i="1" s="1"/>
  <c r="F239" i="1"/>
  <c r="O219" i="1"/>
  <c r="H131" i="1" l="1"/>
  <c r="O131" i="1" s="1"/>
  <c r="O134" i="1"/>
  <c r="O166" i="1" s="1"/>
  <c r="U47" i="1"/>
  <c r="N47" i="1"/>
  <c r="N64" i="1" s="1"/>
  <c r="J131" i="1"/>
  <c r="Q131" i="1" s="1"/>
  <c r="Q134" i="1"/>
  <c r="Q166" i="1" s="1"/>
  <c r="K89" i="1"/>
  <c r="R89" i="1" s="1"/>
  <c r="R103" i="1" s="1"/>
  <c r="R79" i="1"/>
  <c r="K95" i="1"/>
  <c r="R95" i="1" s="1"/>
  <c r="R85" i="1"/>
  <c r="R107" i="1"/>
  <c r="R91" i="1"/>
  <c r="I232" i="1"/>
  <c r="I227" i="1"/>
  <c r="O220" i="1"/>
  <c r="V44" i="1"/>
  <c r="V65" i="1" s="1"/>
  <c r="N65" i="1"/>
  <c r="N131" i="1"/>
  <c r="U131" i="1"/>
  <c r="K131" i="1"/>
  <c r="R131" i="1" s="1"/>
  <c r="R134" i="1"/>
  <c r="R166" i="1" s="1"/>
  <c r="Q104" i="1"/>
  <c r="K232" i="1"/>
  <c r="K227" i="1"/>
  <c r="N220" i="1"/>
  <c r="O91" i="1"/>
  <c r="H89" i="1"/>
  <c r="O89" i="1" s="1"/>
  <c r="O79" i="1"/>
  <c r="H95" i="1"/>
  <c r="O95" i="1" s="1"/>
  <c r="O85" i="1"/>
  <c r="O107" i="1"/>
  <c r="U134" i="1"/>
  <c r="J232" i="1"/>
  <c r="J227" i="1"/>
  <c r="P85" i="1"/>
  <c r="P107" i="1"/>
  <c r="P91" i="1"/>
  <c r="I89" i="1"/>
  <c r="P89" i="1" s="1"/>
  <c r="P79" i="1"/>
  <c r="I95" i="1"/>
  <c r="P95" i="1" s="1"/>
  <c r="N167" i="1"/>
  <c r="G172" i="1" s="1"/>
  <c r="U166" i="1"/>
  <c r="P167" i="1"/>
  <c r="I172" i="1" s="1"/>
  <c r="R104" i="1" l="1"/>
  <c r="G169" i="1"/>
  <c r="N169" i="1" s="1"/>
  <c r="N176" i="1" s="1"/>
  <c r="N172" i="1"/>
  <c r="N174" i="1" s="1"/>
  <c r="G174" i="1" s="1"/>
  <c r="J230" i="1"/>
  <c r="Q230" i="1" s="1"/>
  <c r="Q232" i="1"/>
  <c r="G232" i="1"/>
  <c r="G227" i="1"/>
  <c r="H227" i="1"/>
  <c r="H232" i="1"/>
  <c r="P172" i="1"/>
  <c r="P174" i="1" s="1"/>
  <c r="I174" i="1" s="1"/>
  <c r="I169" i="1"/>
  <c r="P169" i="1" s="1"/>
  <c r="P176" i="1" s="1"/>
  <c r="O114" i="1"/>
  <c r="R167" i="1"/>
  <c r="K172" i="1" s="1"/>
  <c r="Q167" i="1"/>
  <c r="J172" i="1" s="1"/>
  <c r="O167" i="1"/>
  <c r="H172" i="1" s="1"/>
  <c r="J110" i="1"/>
  <c r="Q110" i="1"/>
  <c r="Q112" i="1" s="1"/>
  <c r="U64" i="1"/>
  <c r="N67" i="1"/>
  <c r="G83" i="1" s="1"/>
  <c r="P114" i="1"/>
  <c r="R114" i="1"/>
  <c r="O103" i="1"/>
  <c r="K224" i="1"/>
  <c r="R224" i="1" s="1"/>
  <c r="R227" i="1"/>
  <c r="R234" i="1" s="1"/>
  <c r="N68" i="1"/>
  <c r="U65" i="1"/>
  <c r="I224" i="1"/>
  <c r="P224" i="1" s="1"/>
  <c r="P227" i="1"/>
  <c r="P234" i="1" s="1"/>
  <c r="P103" i="1"/>
  <c r="J224" i="1"/>
  <c r="Q224" i="1" s="1"/>
  <c r="Q227" i="1"/>
  <c r="Q234" i="1" s="1"/>
  <c r="K230" i="1"/>
  <c r="R230" i="1" s="1"/>
  <c r="R236" i="1" s="1"/>
  <c r="R232" i="1"/>
  <c r="I230" i="1"/>
  <c r="P230" i="1" s="1"/>
  <c r="P232" i="1"/>
  <c r="G230" i="1" l="1"/>
  <c r="N230" i="1" s="1"/>
  <c r="N232" i="1"/>
  <c r="N83" i="1"/>
  <c r="U83" i="1"/>
  <c r="O104" i="1"/>
  <c r="O172" i="1"/>
  <c r="O174" i="1" s="1"/>
  <c r="H174" i="1" s="1"/>
  <c r="H169" i="1"/>
  <c r="O169" i="1" s="1"/>
  <c r="O176" i="1" s="1"/>
  <c r="K169" i="1"/>
  <c r="R169" i="1" s="1"/>
  <c r="R176" i="1" s="1"/>
  <c r="R172" i="1"/>
  <c r="R174" i="1" s="1"/>
  <c r="K174" i="1" s="1"/>
  <c r="H230" i="1"/>
  <c r="O230" i="1" s="1"/>
  <c r="O232" i="1"/>
  <c r="J169" i="1"/>
  <c r="Q169" i="1" s="1"/>
  <c r="Q176" i="1" s="1"/>
  <c r="Q172" i="1"/>
  <c r="Q174" i="1" s="1"/>
  <c r="J174" i="1" s="1"/>
  <c r="U227" i="1"/>
  <c r="G224" i="1"/>
  <c r="N227" i="1"/>
  <c r="N234" i="1" s="1"/>
  <c r="P236" i="1"/>
  <c r="P104" i="1"/>
  <c r="V68" i="1"/>
  <c r="G89" i="1"/>
  <c r="N79" i="1"/>
  <c r="G95" i="1"/>
  <c r="N85" i="1"/>
  <c r="N107" i="1"/>
  <c r="N91" i="1"/>
  <c r="J112" i="1"/>
  <c r="Q181" i="1"/>
  <c r="Q183" i="1" s="1"/>
  <c r="H224" i="1"/>
  <c r="O224" i="1" s="1"/>
  <c r="O227" i="1"/>
  <c r="O234" i="1" s="1"/>
  <c r="Q236" i="1"/>
  <c r="K110" i="1"/>
  <c r="R110" i="1"/>
  <c r="R112" i="1" s="1"/>
  <c r="N95" i="1" l="1"/>
  <c r="U95" i="1"/>
  <c r="N236" i="1"/>
  <c r="U236" i="1" s="1"/>
  <c r="U224" i="1"/>
  <c r="N224" i="1"/>
  <c r="H110" i="1"/>
  <c r="O110" i="1"/>
  <c r="O112" i="1" s="1"/>
  <c r="I110" i="1"/>
  <c r="P110" i="1"/>
  <c r="P112" i="1" s="1"/>
  <c r="Q242" i="1"/>
  <c r="U234" i="1"/>
  <c r="K112" i="1"/>
  <c r="R181" i="1"/>
  <c r="N114" i="1"/>
  <c r="V114" i="1" s="1"/>
  <c r="N89" i="1"/>
  <c r="N103" i="1" s="1"/>
  <c r="U89" i="1"/>
  <c r="O236" i="1"/>
  <c r="R183" i="1" l="1"/>
  <c r="R242" i="1"/>
  <c r="H112" i="1"/>
  <c r="O181" i="1"/>
  <c r="Q244" i="1"/>
  <c r="N104" i="1"/>
  <c r="U103" i="1"/>
  <c r="P181" i="1"/>
  <c r="I112" i="1"/>
  <c r="O183" i="1" l="1"/>
  <c r="O242" i="1"/>
  <c r="G110" i="1"/>
  <c r="U110" i="1" s="1"/>
  <c r="U104" i="1"/>
  <c r="N110" i="1"/>
  <c r="N112" i="1" s="1"/>
  <c r="P183" i="1"/>
  <c r="P242" i="1"/>
  <c r="R244" i="1"/>
  <c r="J267" i="1"/>
  <c r="J273" i="1"/>
  <c r="J289" i="1"/>
  <c r="J286" i="1" l="1"/>
  <c r="Q286" i="1" s="1"/>
  <c r="Q289" i="1"/>
  <c r="K273" i="1"/>
  <c r="K267" i="1"/>
  <c r="K289" i="1"/>
  <c r="J269" i="1"/>
  <c r="Q269" i="1" s="1"/>
  <c r="Q273" i="1"/>
  <c r="P244" i="1"/>
  <c r="J263" i="1"/>
  <c r="Q263" i="1" s="1"/>
  <c r="Q267" i="1"/>
  <c r="Q274" i="1" s="1"/>
  <c r="Q275" i="1" s="1"/>
  <c r="J280" i="1" s="1"/>
  <c r="O244" i="1"/>
  <c r="G112" i="1"/>
  <c r="N181" i="1"/>
  <c r="N183" i="1" l="1"/>
  <c r="N242" i="1"/>
  <c r="I289" i="1"/>
  <c r="I273" i="1"/>
  <c r="I267" i="1"/>
  <c r="K263" i="1"/>
  <c r="R263" i="1" s="1"/>
  <c r="R267" i="1"/>
  <c r="J277" i="1"/>
  <c r="Q277" i="1" s="1"/>
  <c r="Q284" i="1" s="1"/>
  <c r="Q280" i="1"/>
  <c r="Q282" i="1" s="1"/>
  <c r="Q291" i="1" s="1"/>
  <c r="K269" i="1"/>
  <c r="R269" i="1" s="1"/>
  <c r="R273" i="1"/>
  <c r="H289" i="1"/>
  <c r="H273" i="1"/>
  <c r="H267" i="1"/>
  <c r="R289" i="1"/>
  <c r="K286" i="1"/>
  <c r="R286" i="1" s="1"/>
  <c r="Q294" i="1"/>
  <c r="Q295" i="1" s="1"/>
  <c r="J310" i="1" s="1"/>
  <c r="R274" i="1" l="1"/>
  <c r="R275" i="1" s="1"/>
  <c r="K280" i="1" s="1"/>
  <c r="I286" i="1"/>
  <c r="P286" i="1" s="1"/>
  <c r="P289" i="1"/>
  <c r="H263" i="1"/>
  <c r="O263" i="1" s="1"/>
  <c r="O267" i="1"/>
  <c r="O274" i="1" s="1"/>
  <c r="O275" i="1" s="1"/>
  <c r="H280" i="1" s="1"/>
  <c r="N244" i="1"/>
  <c r="J316" i="1"/>
  <c r="Q310" i="1"/>
  <c r="H269" i="1"/>
  <c r="O269" i="1" s="1"/>
  <c r="O273" i="1"/>
  <c r="Q292" i="1"/>
  <c r="I263" i="1"/>
  <c r="P263" i="1" s="1"/>
  <c r="P267" i="1"/>
  <c r="H286" i="1"/>
  <c r="O286" i="1" s="1"/>
  <c r="O289" i="1"/>
  <c r="I269" i="1"/>
  <c r="P269" i="1" s="1"/>
  <c r="P273" i="1"/>
  <c r="H277" i="1" l="1"/>
  <c r="O277" i="1" s="1"/>
  <c r="O284" i="1" s="1"/>
  <c r="O294" i="1" s="1"/>
  <c r="O295" i="1" s="1"/>
  <c r="H310" i="1" s="1"/>
  <c r="O280" i="1"/>
  <c r="O282" i="1" s="1"/>
  <c r="O291" i="1" s="1"/>
  <c r="J397" i="1"/>
  <c r="Q397" i="1" s="1"/>
  <c r="J396" i="1"/>
  <c r="Q396" i="1" s="1"/>
  <c r="J326" i="1"/>
  <c r="Q326" i="1" s="1"/>
  <c r="J331" i="1"/>
  <c r="Q331" i="1" s="1"/>
  <c r="J324" i="1"/>
  <c r="Q324" i="1" s="1"/>
  <c r="J399" i="1"/>
  <c r="Q399" i="1" s="1"/>
  <c r="J322" i="1"/>
  <c r="Q322" i="1" s="1"/>
  <c r="Q316" i="1"/>
  <c r="P274" i="1"/>
  <c r="P275" i="1" s="1"/>
  <c r="I280" i="1" s="1"/>
  <c r="G273" i="1"/>
  <c r="G267" i="1"/>
  <c r="G289" i="1"/>
  <c r="K277" i="1"/>
  <c r="R277" i="1" s="1"/>
  <c r="R284" i="1" s="1"/>
  <c r="R294" i="1" s="1"/>
  <c r="R295" i="1" s="1"/>
  <c r="K310" i="1" s="1"/>
  <c r="R280" i="1"/>
  <c r="R282" i="1" s="1"/>
  <c r="R291" i="1" s="1"/>
  <c r="H316" i="1" l="1"/>
  <c r="O310" i="1"/>
  <c r="Q333" i="1"/>
  <c r="O292" i="1"/>
  <c r="R292" i="1"/>
  <c r="G263" i="1"/>
  <c r="N263" i="1" s="1"/>
  <c r="N267" i="1"/>
  <c r="I277" i="1"/>
  <c r="P277" i="1" s="1"/>
  <c r="P284" i="1" s="1"/>
  <c r="P294" i="1" s="1"/>
  <c r="P295" i="1" s="1"/>
  <c r="I310" i="1" s="1"/>
  <c r="P280" i="1"/>
  <c r="P282" i="1" s="1"/>
  <c r="P291" i="1" s="1"/>
  <c r="G286" i="1"/>
  <c r="N286" i="1" s="1"/>
  <c r="N289" i="1"/>
  <c r="U289" i="1" s="1"/>
  <c r="K316" i="1"/>
  <c r="R310" i="1"/>
  <c r="G269" i="1"/>
  <c r="N269" i="1" s="1"/>
  <c r="N273" i="1"/>
  <c r="U273" i="1" s="1"/>
  <c r="P292" i="1" l="1"/>
  <c r="Q335" i="1"/>
  <c r="Q414" i="1"/>
  <c r="K322" i="1"/>
  <c r="R322" i="1" s="1"/>
  <c r="R316" i="1"/>
  <c r="R333" i="1" s="1"/>
  <c r="I316" i="1"/>
  <c r="P310" i="1"/>
  <c r="K324" i="1"/>
  <c r="R324" i="1" s="1"/>
  <c r="K399" i="1"/>
  <c r="R399" i="1" s="1"/>
  <c r="K397" i="1"/>
  <c r="R397" i="1" s="1"/>
  <c r="K396" i="1"/>
  <c r="R396" i="1" s="1"/>
  <c r="K326" i="1"/>
  <c r="R326" i="1" s="1"/>
  <c r="K331" i="1"/>
  <c r="R331" i="1" s="1"/>
  <c r="U267" i="1"/>
  <c r="N274" i="1"/>
  <c r="N275" i="1" s="1"/>
  <c r="G280" i="1" s="1"/>
  <c r="H326" i="1"/>
  <c r="O326" i="1" s="1"/>
  <c r="H331" i="1"/>
  <c r="O331" i="1" s="1"/>
  <c r="H324" i="1"/>
  <c r="O324" i="1" s="1"/>
  <c r="H399" i="1"/>
  <c r="O399" i="1" s="1"/>
  <c r="H397" i="1"/>
  <c r="O397" i="1" s="1"/>
  <c r="H396" i="1"/>
  <c r="O396" i="1" s="1"/>
  <c r="H322" i="1"/>
  <c r="O322" i="1" s="1"/>
  <c r="O316" i="1"/>
  <c r="R335" i="1" l="1"/>
  <c r="R414" i="1"/>
  <c r="I396" i="1"/>
  <c r="P396" i="1" s="1"/>
  <c r="I326" i="1"/>
  <c r="P326" i="1" s="1"/>
  <c r="I331" i="1"/>
  <c r="P331" i="1" s="1"/>
  <c r="I324" i="1"/>
  <c r="P324" i="1" s="1"/>
  <c r="I399" i="1"/>
  <c r="P399" i="1" s="1"/>
  <c r="I397" i="1"/>
  <c r="P397" i="1" s="1"/>
  <c r="O333" i="1"/>
  <c r="G277" i="1"/>
  <c r="N277" i="1" s="1"/>
  <c r="N284" i="1" s="1"/>
  <c r="N280" i="1"/>
  <c r="I322" i="1"/>
  <c r="P322" i="1" s="1"/>
  <c r="P316" i="1"/>
  <c r="P333" i="1" s="1"/>
  <c r="J350" i="1"/>
  <c r="Q350" i="1" s="1"/>
  <c r="J390" i="1"/>
  <c r="Q390" i="1" s="1"/>
  <c r="J358" i="1"/>
  <c r="Q358" i="1" s="1"/>
  <c r="J389" i="1"/>
  <c r="Q389" i="1" s="1"/>
  <c r="Q392" i="1" s="1"/>
  <c r="J361" i="1"/>
  <c r="Q361" i="1" s="1"/>
  <c r="P335" i="1" l="1"/>
  <c r="P414" i="1"/>
  <c r="U280" i="1"/>
  <c r="N282" i="1"/>
  <c r="U284" i="1"/>
  <c r="N294" i="1"/>
  <c r="O335" i="1"/>
  <c r="O414" i="1"/>
  <c r="Q366" i="1"/>
  <c r="K361" i="1"/>
  <c r="R361" i="1" s="1"/>
  <c r="K350" i="1"/>
  <c r="R350" i="1" s="1"/>
  <c r="K390" i="1"/>
  <c r="R390" i="1" s="1"/>
  <c r="K358" i="1"/>
  <c r="R358" i="1" s="1"/>
  <c r="K389" i="1"/>
  <c r="R389" i="1" s="1"/>
  <c r="R392" i="1" s="1"/>
  <c r="Q368" i="1" l="1"/>
  <c r="J370" i="1" s="1"/>
  <c r="I358" i="1"/>
  <c r="P358" i="1" s="1"/>
  <c r="I389" i="1"/>
  <c r="P389" i="1" s="1"/>
  <c r="I361" i="1"/>
  <c r="P361" i="1" s="1"/>
  <c r="I390" i="1"/>
  <c r="P390" i="1" s="1"/>
  <c r="I350" i="1"/>
  <c r="P350" i="1" s="1"/>
  <c r="U294" i="1"/>
  <c r="N295" i="1"/>
  <c r="R366" i="1"/>
  <c r="H361" i="1"/>
  <c r="O361" i="1" s="1"/>
  <c r="H350" i="1"/>
  <c r="O350" i="1" s="1"/>
  <c r="O366" i="1" s="1"/>
  <c r="H390" i="1"/>
  <c r="O390" i="1" s="1"/>
  <c r="H389" i="1"/>
  <c r="O389" i="1" s="1"/>
  <c r="O392" i="1" s="1"/>
  <c r="H358" i="1"/>
  <c r="O358" i="1" s="1"/>
  <c r="U282" i="1"/>
  <c r="N291" i="1"/>
  <c r="U295" i="1" l="1"/>
  <c r="G310" i="1"/>
  <c r="R368" i="1"/>
  <c r="K370" i="1" s="1"/>
  <c r="U291" i="1"/>
  <c r="N292" i="1"/>
  <c r="O368" i="1"/>
  <c r="H370" i="1" s="1"/>
  <c r="P392" i="1"/>
  <c r="P366" i="1"/>
  <c r="J400" i="1"/>
  <c r="Q400" i="1" s="1"/>
  <c r="J398" i="1"/>
  <c r="Q398" i="1" s="1"/>
  <c r="Q370" i="1"/>
  <c r="Q372" i="1" s="1"/>
  <c r="Q385" i="1" s="1"/>
  <c r="P368" i="1" l="1"/>
  <c r="I370" i="1" s="1"/>
  <c r="K398" i="1"/>
  <c r="R398" i="1" s="1"/>
  <c r="K400" i="1"/>
  <c r="R400" i="1" s="1"/>
  <c r="R370" i="1"/>
  <c r="R372" i="1" s="1"/>
  <c r="R385" i="1" s="1"/>
  <c r="G324" i="1"/>
  <c r="N324" i="1" s="1"/>
  <c r="U324" i="1" s="1"/>
  <c r="G399" i="1"/>
  <c r="G397" i="1"/>
  <c r="G396" i="1"/>
  <c r="G326" i="1"/>
  <c r="N326" i="1" s="1"/>
  <c r="U326" i="1" s="1"/>
  <c r="G331" i="1"/>
  <c r="N331" i="1" s="1"/>
  <c r="U292" i="1"/>
  <c r="G316" i="1"/>
  <c r="N310" i="1"/>
  <c r="Q402" i="1"/>
  <c r="Q405" i="1" s="1"/>
  <c r="Q407" i="1" s="1"/>
  <c r="J409" i="1" s="1"/>
  <c r="Q409" i="1" s="1"/>
  <c r="Q415" i="1" s="1"/>
  <c r="Q417" i="1" s="1"/>
  <c r="Q419" i="1" s="1"/>
  <c r="E20" i="5" s="1"/>
  <c r="E21" i="5" s="1"/>
  <c r="E23" i="5" s="1"/>
  <c r="B35" i="5" s="1"/>
  <c r="H398" i="1"/>
  <c r="O398" i="1" s="1"/>
  <c r="H400" i="1"/>
  <c r="O400" i="1" s="1"/>
  <c r="O370" i="1"/>
  <c r="O372" i="1" s="1"/>
  <c r="O385" i="1" s="1"/>
  <c r="N397" i="1" l="1"/>
  <c r="U397" i="1"/>
  <c r="R402" i="1"/>
  <c r="R405" i="1" s="1"/>
  <c r="R407" i="1" s="1"/>
  <c r="K409" i="1" s="1"/>
  <c r="R409" i="1" s="1"/>
  <c r="R415" i="1" s="1"/>
  <c r="R417" i="1" s="1"/>
  <c r="R419" i="1" s="1"/>
  <c r="F20" i="5" s="1"/>
  <c r="F21" i="5" s="1"/>
  <c r="F23" i="5" s="1"/>
  <c r="O405" i="1"/>
  <c r="O407" i="1" s="1"/>
  <c r="H409" i="1" s="1"/>
  <c r="O409" i="1" s="1"/>
  <c r="O415" i="1" s="1"/>
  <c r="O417" i="1" s="1"/>
  <c r="O419" i="1" s="1"/>
  <c r="C20" i="5" s="1"/>
  <c r="C21" i="5" s="1"/>
  <c r="C23" i="5" s="1"/>
  <c r="U399" i="1"/>
  <c r="N399" i="1"/>
  <c r="U310" i="1"/>
  <c r="N333" i="1"/>
  <c r="O402" i="1"/>
  <c r="G322" i="1"/>
  <c r="N322" i="1" s="1"/>
  <c r="U322" i="1" s="1"/>
  <c r="N316" i="1"/>
  <c r="U316" i="1" s="1"/>
  <c r="U396" i="1"/>
  <c r="N396" i="1"/>
  <c r="I398" i="1"/>
  <c r="P398" i="1" s="1"/>
  <c r="I400" i="1"/>
  <c r="P400" i="1" s="1"/>
  <c r="P370" i="1"/>
  <c r="P372" i="1" s="1"/>
  <c r="P385" i="1" s="1"/>
  <c r="C36" i="5" l="1"/>
  <c r="B36" i="5"/>
  <c r="C33" i="5"/>
  <c r="B33" i="5"/>
  <c r="U333" i="1"/>
  <c r="N335" i="1"/>
  <c r="N414" i="1"/>
  <c r="P402" i="1"/>
  <c r="P405" i="1" s="1"/>
  <c r="P407" i="1" s="1"/>
  <c r="I409" i="1" s="1"/>
  <c r="P409" i="1" s="1"/>
  <c r="P415" i="1" s="1"/>
  <c r="P417" i="1" s="1"/>
  <c r="P419" i="1" s="1"/>
  <c r="D20" i="5" s="1"/>
  <c r="D21" i="5" s="1"/>
  <c r="D23" i="5" s="1"/>
  <c r="B34" i="5" s="1"/>
  <c r="G361" i="1" l="1"/>
  <c r="N361" i="1" s="1"/>
  <c r="G350" i="1"/>
  <c r="N350" i="1" s="1"/>
  <c r="G390" i="1"/>
  <c r="N390" i="1" s="1"/>
  <c r="G358" i="1"/>
  <c r="N358" i="1" s="1"/>
  <c r="G389" i="1"/>
  <c r="N389" i="1" s="1"/>
  <c r="N366" i="1" l="1"/>
  <c r="N392" i="1"/>
  <c r="N368" i="1" l="1"/>
  <c r="G370" i="1" s="1"/>
  <c r="G398" i="1" l="1"/>
  <c r="G400" i="1"/>
  <c r="N370" i="1"/>
  <c r="N372" i="1" s="1"/>
  <c r="N385" i="1" s="1"/>
  <c r="U400" i="1" l="1"/>
  <c r="N400" i="1"/>
  <c r="N398" i="1"/>
  <c r="N402" i="1" s="1"/>
  <c r="N405" i="1" s="1"/>
  <c r="N407" i="1" s="1"/>
  <c r="U398" i="1"/>
  <c r="G409" i="1" l="1"/>
  <c r="N409" i="1" s="1"/>
  <c r="N415" i="1" s="1"/>
  <c r="N417" i="1" s="1"/>
  <c r="F407" i="1"/>
  <c r="T417" i="1" l="1"/>
  <c r="N419" i="1"/>
  <c r="B20" i="5" l="1"/>
  <c r="T419" i="1"/>
  <c r="G20" i="5" l="1"/>
  <c r="B21" i="5"/>
  <c r="B23" i="5" l="1"/>
  <c r="G21" i="5"/>
  <c r="B32" i="5" l="1"/>
  <c r="B37" i="5" s="1"/>
  <c r="C32" i="5"/>
  <c r="C37" i="5" s="1"/>
  <c r="G23" i="5"/>
  <c r="C39" i="5" l="1"/>
  <c r="C38" i="5"/>
  <c r="C40" i="5"/>
  <c r="C42" i="5" s="1"/>
  <c r="B40" i="5"/>
  <c r="B38" i="5"/>
  <c r="F40" i="5" l="1"/>
  <c r="B42" i="5"/>
  <c r="F42" i="5" s="1"/>
</calcChain>
</file>

<file path=xl/sharedStrings.xml><?xml version="1.0" encoding="utf-8"?>
<sst xmlns="http://schemas.openxmlformats.org/spreadsheetml/2006/main" count="705" uniqueCount="280">
  <si>
    <t>Functional Allocation</t>
  </si>
  <si>
    <t>ISO</t>
  </si>
  <si>
    <t>Budget in</t>
  </si>
  <si>
    <t>Market</t>
  </si>
  <si>
    <t>Settlements,</t>
  </si>
  <si>
    <t>Acct #</t>
  </si>
  <si>
    <t>OPERATING COSTS</t>
  </si>
  <si>
    <t>$000</t>
  </si>
  <si>
    <t>Scheduling</t>
  </si>
  <si>
    <t>Congestion</t>
  </si>
  <si>
    <t>Functions</t>
  </si>
  <si>
    <t>Billing</t>
  </si>
  <si>
    <t>Allocation Method</t>
  </si>
  <si>
    <t>Operations - Direct Cost</t>
  </si>
  <si>
    <t>Planning:</t>
  </si>
  <si>
    <t>Salaries</t>
  </si>
  <si>
    <t>Other Costs</t>
  </si>
  <si>
    <t>Total Costs</t>
  </si>
  <si>
    <t>Direct Allocation</t>
  </si>
  <si>
    <t xml:space="preserve">Direct Allocation by </t>
  </si>
  <si>
    <t>Outage Coordination:</t>
  </si>
  <si>
    <t>Operations Engineering:</t>
  </si>
  <si>
    <t>Operations Scheduling:</t>
  </si>
  <si>
    <t>Security Coordination:</t>
  </si>
  <si>
    <t>Total Division Directs</t>
  </si>
  <si>
    <t>Division Overhead:</t>
  </si>
  <si>
    <t>Consultants</t>
  </si>
  <si>
    <t>Other</t>
  </si>
  <si>
    <t>Allocated on % Directs</t>
  </si>
  <si>
    <t>%</t>
  </si>
  <si>
    <t>Salaries &amp; Benefits</t>
  </si>
  <si>
    <t>Total</t>
  </si>
  <si>
    <t>Total Operations Cost</t>
  </si>
  <si>
    <t>Salaries-Operations Cost</t>
  </si>
  <si>
    <t>Client Services - Directs</t>
  </si>
  <si>
    <t>Billing &amp; Settlements:</t>
  </si>
  <si>
    <t>Applications Support:</t>
  </si>
  <si>
    <t>UTS Metering;</t>
  </si>
  <si>
    <t>Client Relations:</t>
  </si>
  <si>
    <t>% of Allocated Costs</t>
  </si>
  <si>
    <t xml:space="preserve">Salaries </t>
  </si>
  <si>
    <t>Indirects as % of Directs</t>
  </si>
  <si>
    <t>Total Oper. &amp; Client Services</t>
  </si>
  <si>
    <t xml:space="preserve">% of Total </t>
  </si>
  <si>
    <t>Functional Use Estimate</t>
  </si>
  <si>
    <t>Computing Services:</t>
  </si>
  <si>
    <t>IBM Contract</t>
  </si>
  <si>
    <t>Telecom. Services:</t>
  </si>
  <si>
    <t>MCI Contract</t>
  </si>
  <si>
    <t>% of Allocated Cost</t>
  </si>
  <si>
    <t>Information Security:</t>
  </si>
  <si>
    <t xml:space="preserve">Total Operations, Client and </t>
  </si>
  <si>
    <t>Market Surveillance:</t>
  </si>
  <si>
    <t>Consulting Services</t>
  </si>
  <si>
    <t xml:space="preserve">Other </t>
  </si>
  <si>
    <t>Communications:</t>
  </si>
  <si>
    <t>Allocated on % TCD</t>
  </si>
  <si>
    <t>Total All Operating Costs</t>
  </si>
  <si>
    <t>% of Total Operating Costs</t>
  </si>
  <si>
    <t>Relocation</t>
  </si>
  <si>
    <t>Allocated on % Total Cost</t>
  </si>
  <si>
    <t>Facilities &amp; Security:</t>
  </si>
  <si>
    <t>Grand Total Operating Costs</t>
  </si>
  <si>
    <t>Allocation of Operating Costs %</t>
  </si>
  <si>
    <t>CAPITAL RELATED COSTS</t>
  </si>
  <si>
    <t>Power Management System</t>
  </si>
  <si>
    <t>Communications Infrastructure</t>
  </si>
  <si>
    <t>MDAS</t>
  </si>
  <si>
    <t>Computing Management</t>
  </si>
  <si>
    <t xml:space="preserve">Alloc. on Basis of Total </t>
  </si>
  <si>
    <t>Operating Costs</t>
  </si>
  <si>
    <t>User Groups</t>
  </si>
  <si>
    <t>Total Infrastructure Before Proj. Mgt.</t>
  </si>
  <si>
    <t>Allocation of Infrastructure Costs %</t>
  </si>
  <si>
    <t>Project Mgt of Infrastructure</t>
  </si>
  <si>
    <t>Total Infrastructure Costs</t>
  </si>
  <si>
    <t xml:space="preserve">      Carried Forward:</t>
  </si>
  <si>
    <t>Alloc. on % Infra. Cost</t>
  </si>
  <si>
    <t>Other Financed Items:</t>
  </si>
  <si>
    <t>Alloc. on % Oper Cost</t>
  </si>
  <si>
    <t>Working Capital</t>
  </si>
  <si>
    <t>Total Other Financed Items:</t>
  </si>
  <si>
    <t>Allocation of Capital Costs %</t>
  </si>
  <si>
    <t>Allocation of Debt Service</t>
  </si>
  <si>
    <t>Debt Service</t>
  </si>
  <si>
    <t>Total Cost of Service</t>
  </si>
  <si>
    <t xml:space="preserve">      Percent of Total Cost</t>
  </si>
  <si>
    <t>PSS</t>
  </si>
  <si>
    <t>FSS</t>
  </si>
  <si>
    <t>Legal &amp; Regulatory</t>
  </si>
  <si>
    <t>Finance/Acct. Department:</t>
  </si>
  <si>
    <t>Administrative Services</t>
  </si>
  <si>
    <t>Facilities Expenses</t>
  </si>
  <si>
    <t>FERC Annual Charges</t>
  </si>
  <si>
    <t>Expense Recovery</t>
  </si>
  <si>
    <t>Expense Recovery Charges</t>
  </si>
  <si>
    <t>Interest</t>
  </si>
  <si>
    <t>Connection/Application Fees</t>
  </si>
  <si>
    <t>IT General</t>
  </si>
  <si>
    <t>Board</t>
  </si>
  <si>
    <t>Contracts &amp; Compliance</t>
  </si>
  <si>
    <t>Total Cost of Service - 1999</t>
  </si>
  <si>
    <t>Trust Admin.</t>
  </si>
  <si>
    <t>Cap. Interest</t>
  </si>
  <si>
    <t>Interest, Contingency and Other</t>
  </si>
  <si>
    <t>Alloc. on Basis of Total  Operating  Costs</t>
  </si>
  <si>
    <t>Based on 1999 Budget</t>
  </si>
  <si>
    <t>Source</t>
  </si>
  <si>
    <t>Planning</t>
  </si>
  <si>
    <t>Ops. Engineering</t>
  </si>
  <si>
    <t>Dispatch</t>
  </si>
  <si>
    <t>Calculation</t>
  </si>
  <si>
    <t>Application Support</t>
  </si>
  <si>
    <t>Metering</t>
  </si>
  <si>
    <t xml:space="preserve">Contracts &amp; </t>
  </si>
  <si>
    <t>Compliance</t>
  </si>
  <si>
    <t>Client Relations</t>
  </si>
  <si>
    <t>Application Services</t>
  </si>
  <si>
    <t>Computing Services</t>
  </si>
  <si>
    <t>Telecom</t>
  </si>
  <si>
    <t>Alloc. on Basis of Comp. Op. Costs</t>
  </si>
  <si>
    <t>Human Resources/CEO:</t>
  </si>
  <si>
    <t>1111/1211</t>
  </si>
  <si>
    <t>General Counsel</t>
  </si>
  <si>
    <t>General Counsel Costs</t>
  </si>
  <si>
    <t>Alloc. on Basis of Comm. Oper. Costs</t>
  </si>
  <si>
    <t>Alloc. on Basis of Metering Operating  Costs</t>
  </si>
  <si>
    <t>Market Ops.</t>
  </si>
  <si>
    <t>Mgr. Markets</t>
  </si>
  <si>
    <t>Appl. Dev.</t>
  </si>
  <si>
    <t>O&amp;E General</t>
  </si>
  <si>
    <t>Op. Training/Maint.</t>
  </si>
  <si>
    <t xml:space="preserve">    OPERATING COSTS</t>
  </si>
  <si>
    <t>Headcount</t>
  </si>
  <si>
    <t>Total Division Direct Costs</t>
  </si>
  <si>
    <t>Accumulated Direct Cost %</t>
  </si>
  <si>
    <t>Accumulated Direct Headcount %</t>
  </si>
  <si>
    <t>Total Division Direct Headcount</t>
  </si>
  <si>
    <t>Allocated on % Direct</t>
  </si>
  <si>
    <t xml:space="preserve">Indirect as % of Total </t>
  </si>
  <si>
    <t>Appl. Serv. (SI/SA/BBS)</t>
  </si>
  <si>
    <t>Total Operations Headcount</t>
  </si>
  <si>
    <t>Total Client Service Costs</t>
  </si>
  <si>
    <t>Total Client Service Headcount</t>
  </si>
  <si>
    <t>Total Information Services Costs</t>
  </si>
  <si>
    <t>Total Info. Services Headcount</t>
  </si>
  <si>
    <t>Total General Counsel Costs</t>
  </si>
  <si>
    <t>Total General Counsel Headcount</t>
  </si>
  <si>
    <t>Total Headcount before HR</t>
  </si>
  <si>
    <t>% of Total Headcount before HR</t>
  </si>
  <si>
    <t>Settlements</t>
  </si>
  <si>
    <t>Billings &amp;</t>
  </si>
  <si>
    <t xml:space="preserve">Total Operations </t>
  </si>
  <si>
    <t xml:space="preserve">Market </t>
  </si>
  <si>
    <t xml:space="preserve">Allocated on % Legal </t>
  </si>
  <si>
    <t xml:space="preserve"> Before GC</t>
  </si>
  <si>
    <t xml:space="preserve">Allocated on </t>
  </si>
  <si>
    <t xml:space="preserve"> % Total Cost</t>
  </si>
  <si>
    <t>Allocated on % Total</t>
  </si>
  <si>
    <t xml:space="preserve">Control </t>
  </si>
  <si>
    <t>Area</t>
  </si>
  <si>
    <t>Allocated on</t>
  </si>
  <si>
    <t xml:space="preserve"> % Direct Cost </t>
  </si>
  <si>
    <t>Information Services Costs</t>
  </si>
  <si>
    <t>See detailed allocation information</t>
  </si>
  <si>
    <t xml:space="preserve"> % Total IT Division Direct Costs</t>
  </si>
  <si>
    <t>Allocated on Resulting % of Total Operations, Client Services, and IT Costs</t>
  </si>
  <si>
    <t>Op. System Support/EMS</t>
  </si>
  <si>
    <t xml:space="preserve">items.  </t>
  </si>
  <si>
    <t xml:space="preserve">personnel and budgeted </t>
  </si>
  <si>
    <t>personnel .</t>
  </si>
  <si>
    <t>Not in GMC</t>
  </si>
  <si>
    <t>Manager of Training</t>
  </si>
  <si>
    <t>Dir. Eng. &amp; Maintenance</t>
  </si>
  <si>
    <t>Surveillence</t>
  </si>
  <si>
    <t>OSS/EMS</t>
  </si>
  <si>
    <t>Budgeted</t>
  </si>
  <si>
    <t xml:space="preserve">Allocated based on </t>
  </si>
  <si>
    <t>results of 1542 and</t>
  </si>
  <si>
    <t>Costs of Operations</t>
  </si>
  <si>
    <t>Client Services-General</t>
  </si>
  <si>
    <t xml:space="preserve">results of 1722, 1723, </t>
  </si>
  <si>
    <t>1724, 1725</t>
  </si>
  <si>
    <t xml:space="preserve">                                  $ Allocated</t>
  </si>
  <si>
    <t>Billing,</t>
  </si>
  <si>
    <t xml:space="preserve">Billing, </t>
  </si>
  <si>
    <t>Grid Operations/Dispatch:</t>
  </si>
  <si>
    <t>Costs included in 1548</t>
  </si>
  <si>
    <t>above.</t>
  </si>
  <si>
    <t>Info. Technology-Directs</t>
  </si>
  <si>
    <t>Info. Technology: Indirects</t>
  </si>
  <si>
    <t>Outage</t>
  </si>
  <si>
    <t>Coordination</t>
  </si>
  <si>
    <t>Operations - Indirect Costs</t>
  </si>
  <si>
    <t xml:space="preserve">Item, not included </t>
  </si>
  <si>
    <t>in GMC.</t>
  </si>
  <si>
    <t>A) 1999 Forecast of Existing Contract Volumes (000 MWh)</t>
  </si>
  <si>
    <t>B) 1999 Forecast of CDWR load met by internal generation -gross load (000 MWh)</t>
  </si>
  <si>
    <t>C) 1999 Load Forecast excluding all 50% Existing Contract Volumes (000 MWh)</t>
  </si>
  <si>
    <t>D) 1999 Forecast of Load on non-ISO Grid Facilities met by internal gen. (000 MWh)</t>
  </si>
  <si>
    <t>E) 1999 Forecast of Load on non-ISO Grid Facilities met by exports (000 MWh)</t>
  </si>
  <si>
    <t>F) 1999 Forecast of all Load (000 MWh)</t>
  </si>
  <si>
    <t>G) 1999 Revenue Requirement ('000)</t>
  </si>
  <si>
    <t>CALCULATION OF UNIT CHARGES FOR SERVICE</t>
  </si>
  <si>
    <t>Category</t>
  </si>
  <si>
    <t>Market Operations</t>
  </si>
  <si>
    <t>Cost Allocation</t>
  </si>
  <si>
    <t>Revenue Requirement (000)</t>
  </si>
  <si>
    <r>
      <t xml:space="preserve">Load (000 MWh) </t>
    </r>
    <r>
      <rPr>
        <vertAlign val="superscript"/>
        <sz val="10"/>
        <rFont val="Arial"/>
        <family val="2"/>
      </rPr>
      <t xml:space="preserve">1 </t>
    </r>
  </si>
  <si>
    <t>Unit Charge</t>
  </si>
  <si>
    <t xml:space="preserve">        Note 1: Control Area and Scheduling include all 1999 forecast load;  Billing &amp; Settlements, Congestion &amp; Market Operations include C) only</t>
  </si>
  <si>
    <t>Volume (000 MWh)</t>
  </si>
  <si>
    <t>% Change from Existing GMC</t>
  </si>
  <si>
    <t>Change in Revenue (000)</t>
  </si>
  <si>
    <t xml:space="preserve">Note 2: CDWR's internal load on the ISO grid, met by its own generation is currently not assessed any GMC. </t>
  </si>
  <si>
    <t>Settlements, Billing &amp; Metering</t>
  </si>
  <si>
    <t>Load on non-ISO Grid Facilities</t>
  </si>
  <si>
    <t>CDWR Gross Load</t>
  </si>
  <si>
    <t>California ISO</t>
  </si>
  <si>
    <t>Consisting of:</t>
  </si>
  <si>
    <t>GMC Assessed:</t>
  </si>
  <si>
    <t xml:space="preserve">   Control Area Operations</t>
  </si>
  <si>
    <t xml:space="preserve">   Scheduling</t>
  </si>
  <si>
    <t xml:space="preserve">   Congestion</t>
  </si>
  <si>
    <t xml:space="preserve">   Market Operations</t>
  </si>
  <si>
    <t xml:space="preserve">   Settlements, Billing &amp; Metering</t>
  </si>
  <si>
    <t xml:space="preserve">   Total </t>
  </si>
  <si>
    <t>CALCULATION OF GMC FOR NON-EXISTING CONTRACT AND EXISTING CONTRACT LOAD</t>
  </si>
  <si>
    <t>TRANSMISSION VOLUME AND REVENUE REQUIREMENTS</t>
  </si>
  <si>
    <t>Existing Revenue Collected (000)</t>
  </si>
  <si>
    <t>Start-Up Costs and Delayed Start</t>
  </si>
  <si>
    <t>Source: December 1998 Financials , Internal Allocations</t>
  </si>
  <si>
    <t>Facilities</t>
  </si>
  <si>
    <t>Area Control Center Upgrades/Generator Control</t>
  </si>
  <si>
    <t>Operations</t>
  </si>
  <si>
    <t>Analysis of Contract: Accounting</t>
  </si>
  <si>
    <t>December 1998 Monthly financial statements</t>
  </si>
  <si>
    <t>Capital Expenditures:</t>
  </si>
  <si>
    <t>Infrastructure: Phase I Items</t>
  </si>
  <si>
    <t>ISO Systems (SI, SA, BBS)</t>
  </si>
  <si>
    <t>ISO Systems (BBS-Accounting Portion Only)</t>
  </si>
  <si>
    <t>Amount in</t>
  </si>
  <si>
    <t>1998 Capital Expenditures</t>
  </si>
  <si>
    <t>1999 Capital Expenditures</t>
  </si>
  <si>
    <t>1999 Budget- Shown in September 1998 monthly financial statements</t>
  </si>
  <si>
    <t>Total Capital Expenditures:</t>
  </si>
  <si>
    <t xml:space="preserve">Total Infrastructure, Capital Expenditures and </t>
  </si>
  <si>
    <t xml:space="preserve">          Other Financed Items:</t>
  </si>
  <si>
    <t>December 1998 Monthly financial statements: Actual 1998 spending</t>
  </si>
  <si>
    <t>Phase II: SA/SI/BBS/EMS/Metering</t>
  </si>
  <si>
    <t>Phase II Project Accounting Detail</t>
  </si>
  <si>
    <t>Analysis of Contract by Accounting Excluding Phase II Including Maint. Agmt.</t>
  </si>
  <si>
    <t>Analysis of Contract by Accounting Excluding Phase II Including  Maint. Agmt.</t>
  </si>
  <si>
    <t>COST ALLOCATION MATRIX</t>
  </si>
  <si>
    <t>Control Area Operations</t>
  </si>
  <si>
    <t>Pro Forma Revenue Collected (000)</t>
  </si>
  <si>
    <t>Note: Assumes existing contracts are assessed 25% of the Settlements, Billing &amp; Metering Costs</t>
  </si>
  <si>
    <t>Cost Allocation Matrix</t>
  </si>
  <si>
    <t>Summary Table of Results</t>
  </si>
  <si>
    <t>Operations - General</t>
  </si>
  <si>
    <t>Principal Engineer</t>
  </si>
  <si>
    <t>Non Existing Contracts Load</t>
  </si>
  <si>
    <r>
      <t xml:space="preserve">Load Under Existing Contracts </t>
    </r>
    <r>
      <rPr>
        <b/>
        <vertAlign val="superscript"/>
        <sz val="10"/>
        <rFont val="Arial"/>
        <family val="2"/>
      </rPr>
      <t xml:space="preserve">2 </t>
    </r>
  </si>
  <si>
    <t>Calculated Volume Exclusion based on Above:</t>
  </si>
  <si>
    <t>1999 Transmission Volume Forecast</t>
  </si>
  <si>
    <t>Load Considered in in Current Calculation</t>
  </si>
  <si>
    <t>Load Considered in GMC Settlement</t>
  </si>
  <si>
    <t>(50% exempt under GMC Settlement)</t>
  </si>
  <si>
    <t>(100% exempt under GMC Settlement)</t>
  </si>
  <si>
    <t>H) 1999 GMC Rate under Settlement-Non Existing Contract Load</t>
  </si>
  <si>
    <t>I) 1999 GMC Rate under Settlement-Existing Contract Load</t>
  </si>
  <si>
    <t>Totals</t>
  </si>
  <si>
    <t>Page 59</t>
  </si>
  <si>
    <t>Page 60</t>
  </si>
  <si>
    <t>Page 61</t>
  </si>
  <si>
    <t>Page 62</t>
  </si>
  <si>
    <t>Page 63</t>
  </si>
  <si>
    <t>Page 64</t>
  </si>
  <si>
    <t>Page 65</t>
  </si>
  <si>
    <t>Page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</si>
</sst>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7" formatCode="&quot;$&quot;#,##0.00"/>
    <numFmt numFmtId="169" formatCode="_(* #,##0.0_);_(* \(#,##0.0\);_(* &quot;-&quot;??_);_(@_)"/>
    <numFmt numFmtId="170" formatCode="_(* #,##0_);_(* \(#,##0\);_(* &quot;-&quot;??_);_(@_)"/>
    <numFmt numFmtId="172" formatCode="_(&quot;$&quot;* #,##0_);_(&quot;$&quot;* \(#,##0\);_(&quot;$&quot;* &quot;-&quot;??_);_(@_)"/>
    <numFmt numFmtId="176" formatCode="_(&quot;$&quot;* #,##0.000_);_(&quot;$&quot;* \(#,##0.000\);_(&quot;$&quot;* &quot;-&quot;??_);_(@_)"/>
    <numFmt numFmtId="177" formatCode="_(&quot;$&quot;* #,##0.0000_);_(&quot;$&quot;* \(#,##0.0000\);_(&quot;$&quot;* &quot;-&quot;??_);_(@_)"/>
    <numFmt numFmtId="180" formatCode="0.000%"/>
    <numFmt numFmtId="181" formatCode="#,##0.0"/>
    <numFmt numFmtId="183" formatCode="0.0"/>
  </numFmts>
  <fonts count="24" x14ac:knownFonts="1">
    <font>
      <sz val="10"/>
      <name val="Times New Roman"/>
    </font>
    <font>
      <sz val="10"/>
      <name val="Times New Roman"/>
    </font>
    <font>
      <sz val="12"/>
      <name val="Arial"/>
      <family val="2"/>
    </font>
    <font>
      <b/>
      <sz val="24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u/>
      <sz val="24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NumberFormat="1" applyFont="1" applyAlignment="1">
      <alignment horizontal="centerContinuous"/>
    </xf>
    <xf numFmtId="0" fontId="2" fillId="0" borderId="0" xfId="0" applyFont="1" applyAlignment="1"/>
    <xf numFmtId="0" fontId="2" fillId="0" borderId="0" xfId="0" applyNumberFormat="1" applyFont="1" applyAlignment="1" applyProtection="1">
      <protection locked="0"/>
    </xf>
    <xf numFmtId="0" fontId="4" fillId="0" borderId="0" xfId="0" applyFont="1" applyAlignment="1"/>
    <xf numFmtId="0" fontId="2" fillId="0" borderId="0" xfId="0" applyFont="1" applyAlignment="1">
      <alignment horizontal="justify"/>
    </xf>
    <xf numFmtId="0" fontId="5" fillId="0" borderId="0" xfId="0" applyNumberFormat="1" applyFont="1"/>
    <xf numFmtId="0" fontId="6" fillId="0" borderId="0" xfId="0" applyFont="1" applyAlignment="1">
      <alignment horizontal="justify"/>
    </xf>
    <xf numFmtId="0" fontId="6" fillId="0" borderId="0" xfId="0" applyFont="1" applyAlignment="1"/>
    <xf numFmtId="0" fontId="6" fillId="0" borderId="1" xfId="0" applyNumberFormat="1" applyFont="1" applyBorder="1" applyAlignment="1">
      <alignment horizontal="centerContinuous"/>
    </xf>
    <xf numFmtId="0" fontId="6" fillId="0" borderId="2" xfId="0" applyNumberFormat="1" applyFont="1" applyBorder="1" applyAlignment="1">
      <alignment horizontal="centerContinuous"/>
    </xf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0" fontId="2" fillId="0" borderId="6" xfId="0" applyFont="1" applyBorder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Continuous"/>
    </xf>
    <xf numFmtId="0" fontId="6" fillId="0" borderId="8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0" fontId="7" fillId="0" borderId="0" xfId="0" applyNumberFormat="1" applyFont="1" applyAlignment="1">
      <alignment horizontal="centerContinuous"/>
    </xf>
    <xf numFmtId="0" fontId="6" fillId="0" borderId="9" xfId="0" applyNumberFormat="1" applyFont="1" applyBorder="1" applyAlignment="1">
      <alignment horizontal="centerContinuous"/>
    </xf>
    <xf numFmtId="0" fontId="2" fillId="0" borderId="8" xfId="0" applyFont="1" applyBorder="1" applyAlignment="1"/>
    <xf numFmtId="0" fontId="2" fillId="0" borderId="1" xfId="0" applyFont="1" applyBorder="1" applyAlignment="1"/>
    <xf numFmtId="9" fontId="2" fillId="0" borderId="1" xfId="3" applyFont="1" applyBorder="1" applyAlignment="1"/>
    <xf numFmtId="0" fontId="2" fillId="0" borderId="1" xfId="0" applyFont="1" applyBorder="1" applyAlignment="1">
      <alignment horizontal="justify"/>
    </xf>
    <xf numFmtId="0" fontId="7" fillId="0" borderId="0" xfId="0" applyFont="1" applyAlignment="1"/>
    <xf numFmtId="9" fontId="2" fillId="0" borderId="6" xfId="3" applyFont="1" applyBorder="1" applyAlignment="1">
      <alignment horizontal="center"/>
    </xf>
    <xf numFmtId="0" fontId="2" fillId="0" borderId="6" xfId="0" applyFont="1" applyBorder="1" applyAlignment="1">
      <alignment horizontal="justify"/>
    </xf>
    <xf numFmtId="0" fontId="2" fillId="0" borderId="0" xfId="0" applyFont="1" applyAlignment="1">
      <alignment horizontal="center"/>
    </xf>
    <xf numFmtId="0" fontId="8" fillId="0" borderId="8" xfId="0" applyFont="1" applyBorder="1" applyAlignment="1"/>
    <xf numFmtId="0" fontId="8" fillId="0" borderId="6" xfId="0" applyFont="1" applyBorder="1" applyAlignment="1"/>
    <xf numFmtId="9" fontId="8" fillId="2" borderId="6" xfId="3" applyFont="1" applyFill="1" applyBorder="1" applyAlignment="1">
      <alignment horizontal="center"/>
    </xf>
    <xf numFmtId="0" fontId="8" fillId="0" borderId="8" xfId="0" applyNumberFormat="1" applyFont="1" applyBorder="1" applyAlignment="1" applyProtection="1">
      <protection locked="0"/>
    </xf>
    <xf numFmtId="164" fontId="8" fillId="0" borderId="6" xfId="0" applyNumberFormat="1" applyFont="1" applyBorder="1" applyAlignment="1"/>
    <xf numFmtId="164" fontId="9" fillId="0" borderId="6" xfId="0" applyNumberFormat="1" applyFont="1" applyBorder="1" applyAlignment="1"/>
    <xf numFmtId="172" fontId="2" fillId="0" borderId="0" xfId="0" applyNumberFormat="1" applyFont="1" applyAlignment="1"/>
    <xf numFmtId="172" fontId="8" fillId="0" borderId="9" xfId="0" applyNumberFormat="1" applyFont="1" applyBorder="1" applyAlignment="1"/>
    <xf numFmtId="172" fontId="8" fillId="0" borderId="6" xfId="2" applyNumberFormat="1" applyFont="1" applyBorder="1" applyAlignment="1"/>
    <xf numFmtId="0" fontId="8" fillId="0" borderId="1" xfId="0" applyFont="1" applyBorder="1" applyAlignment="1"/>
    <xf numFmtId="9" fontId="8" fillId="2" borderId="1" xfId="3" applyFont="1" applyFill="1" applyBorder="1" applyAlignment="1">
      <alignment horizontal="center"/>
    </xf>
    <xf numFmtId="170" fontId="8" fillId="0" borderId="8" xfId="1" applyNumberFormat="1" applyFont="1" applyBorder="1" applyAlignment="1"/>
    <xf numFmtId="3" fontId="8" fillId="0" borderId="6" xfId="0" applyNumberFormat="1" applyFont="1" applyBorder="1" applyAlignment="1"/>
    <xf numFmtId="0" fontId="2" fillId="0" borderId="6" xfId="0" applyFont="1" applyBorder="1" applyAlignment="1">
      <alignment horizontal="justify" vertical="top" wrapText="1"/>
    </xf>
    <xf numFmtId="170" fontId="8" fillId="0" borderId="8" xfId="1" applyNumberFormat="1" applyFont="1" applyBorder="1" applyAlignment="1" applyProtection="1">
      <protection locked="0"/>
    </xf>
    <xf numFmtId="170" fontId="2" fillId="0" borderId="0" xfId="0" applyNumberFormat="1" applyFont="1" applyAlignment="1" applyProtection="1">
      <protection locked="0"/>
    </xf>
    <xf numFmtId="172" fontId="8" fillId="0" borderId="8" xfId="0" applyNumberFormat="1" applyFont="1" applyBorder="1" applyAlignment="1"/>
    <xf numFmtId="170" fontId="8" fillId="0" borderId="6" xfId="1" applyNumberFormat="1" applyFont="1" applyBorder="1" applyAlignment="1"/>
    <xf numFmtId="0" fontId="8" fillId="0" borderId="9" xfId="0" applyFont="1" applyBorder="1" applyAlignment="1"/>
    <xf numFmtId="3" fontId="8" fillId="0" borderId="1" xfId="0" applyNumberFormat="1" applyFont="1" applyBorder="1" applyAlignment="1"/>
    <xf numFmtId="9" fontId="8" fillId="0" borderId="1" xfId="3" applyFont="1" applyBorder="1" applyAlignment="1">
      <alignment horizontal="center"/>
    </xf>
    <xf numFmtId="9" fontId="8" fillId="0" borderId="6" xfId="3" applyFont="1" applyBorder="1" applyAlignment="1">
      <alignment horizontal="center"/>
    </xf>
    <xf numFmtId="172" fontId="2" fillId="0" borderId="0" xfId="2" applyNumberFormat="1" applyFont="1" applyAlignment="1">
      <alignment horizontal="left" indent="4"/>
    </xf>
    <xf numFmtId="172" fontId="8" fillId="0" borderId="8" xfId="2" applyNumberFormat="1" applyFont="1" applyBorder="1" applyAlignment="1">
      <alignment horizontal="left" indent="4"/>
    </xf>
    <xf numFmtId="170" fontId="2" fillId="0" borderId="0" xfId="1" applyNumberFormat="1" applyFont="1" applyAlignment="1">
      <alignment horizontal="left" indent="4"/>
    </xf>
    <xf numFmtId="170" fontId="8" fillId="0" borderId="8" xfId="1" applyNumberFormat="1" applyFont="1" applyBorder="1" applyAlignment="1">
      <alignment horizontal="left" indent="4"/>
    </xf>
    <xf numFmtId="0" fontId="9" fillId="0" borderId="6" xfId="0" applyFont="1" applyBorder="1" applyAlignment="1"/>
    <xf numFmtId="170" fontId="8" fillId="0" borderId="9" xfId="1" applyNumberFormat="1" applyFont="1" applyBorder="1" applyAlignment="1">
      <alignment horizontal="left" indent="4"/>
    </xf>
    <xf numFmtId="169" fontId="8" fillId="0" borderId="6" xfId="1" applyNumberFormat="1" applyFont="1" applyBorder="1" applyAlignment="1"/>
    <xf numFmtId="165" fontId="8" fillId="0" borderId="6" xfId="0" applyNumberFormat="1" applyFont="1" applyBorder="1" applyAlignment="1"/>
    <xf numFmtId="9" fontId="2" fillId="0" borderId="0" xfId="0" applyNumberFormat="1" applyFont="1" applyAlignment="1" applyProtection="1">
      <protection locked="0"/>
    </xf>
    <xf numFmtId="0" fontId="2" fillId="0" borderId="2" xfId="0" applyFont="1" applyBorder="1" applyAlignment="1"/>
    <xf numFmtId="9" fontId="2" fillId="0" borderId="2" xfId="3" applyFont="1" applyBorder="1" applyAlignment="1">
      <alignment horizontal="right"/>
    </xf>
    <xf numFmtId="9" fontId="5" fillId="0" borderId="2" xfId="3" applyFont="1" applyBorder="1"/>
    <xf numFmtId="0" fontId="2" fillId="0" borderId="2" xfId="0" applyFont="1" applyBorder="1" applyAlignment="1">
      <alignment horizontal="justify"/>
    </xf>
    <xf numFmtId="0" fontId="5" fillId="0" borderId="0" xfId="0" applyFont="1"/>
    <xf numFmtId="9" fontId="2" fillId="0" borderId="0" xfId="3" applyFont="1" applyAlignment="1"/>
    <xf numFmtId="9" fontId="6" fillId="0" borderId="1" xfId="3" applyFont="1" applyBorder="1" applyAlignment="1">
      <alignment horizontal="centerContinuous"/>
    </xf>
    <xf numFmtId="9" fontId="6" fillId="0" borderId="2" xfId="3" applyFont="1" applyBorder="1" applyAlignment="1">
      <alignment horizontal="centerContinuous"/>
    </xf>
    <xf numFmtId="0" fontId="6" fillId="0" borderId="2" xfId="0" applyFont="1" applyBorder="1" applyAlignment="1">
      <alignment horizontal="center"/>
    </xf>
    <xf numFmtId="9" fontId="6" fillId="0" borderId="1" xfId="3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9" fontId="6" fillId="0" borderId="10" xfId="3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0" xfId="0" applyFont="1" applyAlignment="1"/>
    <xf numFmtId="3" fontId="9" fillId="0" borderId="6" xfId="0" applyNumberFormat="1" applyFont="1" applyBorder="1" applyAlignment="1"/>
    <xf numFmtId="172" fontId="9" fillId="0" borderId="6" xfId="2" applyNumberFormat="1" applyFont="1" applyBorder="1" applyAlignment="1"/>
    <xf numFmtId="183" fontId="8" fillId="0" borderId="1" xfId="0" applyNumberFormat="1" applyFont="1" applyBorder="1" applyAlignment="1"/>
    <xf numFmtId="0" fontId="2" fillId="0" borderId="11" xfId="0" applyFont="1" applyBorder="1" applyAlignment="1">
      <alignment horizontal="justify"/>
    </xf>
    <xf numFmtId="170" fontId="8" fillId="0" borderId="12" xfId="1" applyNumberFormat="1" applyFont="1" applyBorder="1" applyAlignment="1"/>
    <xf numFmtId="164" fontId="8" fillId="0" borderId="0" xfId="0" applyNumberFormat="1" applyFont="1" applyBorder="1" applyAlignment="1"/>
    <xf numFmtId="9" fontId="8" fillId="0" borderId="0" xfId="0" applyNumberFormat="1" applyFont="1" applyBorder="1" applyAlignment="1"/>
    <xf numFmtId="9" fontId="2" fillId="0" borderId="6" xfId="0" applyNumberFormat="1" applyFont="1" applyBorder="1" applyAlignment="1">
      <alignment horizontal="justify"/>
    </xf>
    <xf numFmtId="9" fontId="8" fillId="0" borderId="6" xfId="0" applyNumberFormat="1" applyFont="1" applyBorder="1" applyAlignment="1"/>
    <xf numFmtId="9" fontId="2" fillId="0" borderId="1" xfId="0" applyNumberFormat="1" applyFont="1" applyBorder="1" applyAlignment="1">
      <alignment horizontal="justify"/>
    </xf>
    <xf numFmtId="9" fontId="8" fillId="0" borderId="1" xfId="0" applyNumberFormat="1" applyFont="1" applyBorder="1" applyAlignment="1"/>
    <xf numFmtId="3" fontId="8" fillId="0" borderId="0" xfId="0" applyNumberFormat="1" applyFont="1" applyBorder="1" applyAlignment="1"/>
    <xf numFmtId="3" fontId="9" fillId="0" borderId="0" xfId="0" applyNumberFormat="1" applyFont="1" applyBorder="1" applyAlignment="1"/>
    <xf numFmtId="164" fontId="9" fillId="0" borderId="0" xfId="0" applyNumberFormat="1" applyFont="1" applyBorder="1" applyAlignment="1"/>
    <xf numFmtId="0" fontId="6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9" fontId="9" fillId="0" borderId="6" xfId="3" applyFont="1" applyBorder="1" applyAlignment="1">
      <alignment horizontal="center"/>
    </xf>
    <xf numFmtId="164" fontId="11" fillId="0" borderId="6" xfId="0" applyNumberFormat="1" applyFont="1" applyBorder="1" applyAlignment="1">
      <alignment horizontal="justify"/>
    </xf>
    <xf numFmtId="169" fontId="8" fillId="0" borderId="8" xfId="1" applyNumberFormat="1" applyFont="1" applyBorder="1" applyAlignment="1">
      <alignment horizontal="left"/>
    </xf>
    <xf numFmtId="169" fontId="9" fillId="0" borderId="6" xfId="1" applyNumberFormat="1" applyFont="1" applyBorder="1" applyAlignment="1"/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9" fontId="8" fillId="0" borderId="13" xfId="0" applyNumberFormat="1" applyFont="1" applyBorder="1" applyAlignment="1"/>
    <xf numFmtId="9" fontId="8" fillId="0" borderId="14" xfId="3" applyFont="1" applyBorder="1" applyAlignment="1">
      <alignment horizontal="center"/>
    </xf>
    <xf numFmtId="0" fontId="2" fillId="0" borderId="14" xfId="0" applyFont="1" applyBorder="1" applyAlignment="1">
      <alignment horizontal="justify"/>
    </xf>
    <xf numFmtId="0" fontId="8" fillId="0" borderId="14" xfId="0" applyFont="1" applyBorder="1" applyAlignment="1"/>
    <xf numFmtId="0" fontId="2" fillId="0" borderId="15" xfId="0" applyFont="1" applyBorder="1" applyAlignment="1"/>
    <xf numFmtId="164" fontId="2" fillId="0" borderId="0" xfId="0" applyNumberFormat="1" applyFont="1" applyAlignment="1"/>
    <xf numFmtId="3" fontId="2" fillId="0" borderId="0" xfId="0" applyNumberFormat="1" applyFont="1" applyAlignment="1"/>
    <xf numFmtId="9" fontId="2" fillId="0" borderId="0" xfId="3" applyFont="1" applyAlignment="1">
      <alignment horizontal="center"/>
    </xf>
    <xf numFmtId="9" fontId="2" fillId="0" borderId="0" xfId="3" applyFont="1" applyAlignment="1">
      <alignment horizontal="right"/>
    </xf>
    <xf numFmtId="9" fontId="5" fillId="0" borderId="0" xfId="3" applyFont="1"/>
    <xf numFmtId="3" fontId="2" fillId="0" borderId="6" xfId="0" applyNumberFormat="1" applyFont="1" applyBorder="1" applyAlignment="1"/>
    <xf numFmtId="164" fontId="8" fillId="0" borderId="9" xfId="0" applyNumberFormat="1" applyFont="1" applyBorder="1" applyAlignment="1"/>
    <xf numFmtId="0" fontId="2" fillId="0" borderId="0" xfId="0" applyNumberFormat="1" applyFont="1" applyBorder="1" applyAlignment="1" applyProtection="1">
      <protection locked="0"/>
    </xf>
    <xf numFmtId="3" fontId="9" fillId="0" borderId="10" xfId="0" applyNumberFormat="1" applyFont="1" applyBorder="1" applyAlignment="1"/>
    <xf numFmtId="9" fontId="2" fillId="0" borderId="10" xfId="3" applyFont="1" applyBorder="1" applyAlignment="1">
      <alignment horizontal="left"/>
    </xf>
    <xf numFmtId="0" fontId="2" fillId="0" borderId="10" xfId="0" applyFont="1" applyBorder="1" applyAlignment="1">
      <alignment horizontal="justify"/>
    </xf>
    <xf numFmtId="164" fontId="8" fillId="0" borderId="10" xfId="0" applyNumberFormat="1" applyFont="1" applyBorder="1" applyAlignment="1"/>
    <xf numFmtId="164" fontId="8" fillId="0" borderId="16" xfId="0" applyNumberFormat="1" applyFont="1" applyBorder="1" applyAlignment="1"/>
    <xf numFmtId="164" fontId="8" fillId="0" borderId="1" xfId="0" applyNumberFormat="1" applyFont="1" applyBorder="1" applyAlignment="1"/>
    <xf numFmtId="167" fontId="9" fillId="0" borderId="6" xfId="0" applyNumberFormat="1" applyFont="1" applyBorder="1" applyAlignment="1"/>
    <xf numFmtId="10" fontId="2" fillId="0" borderId="6" xfId="0" applyNumberFormat="1" applyFont="1" applyBorder="1" applyAlignment="1">
      <alignment horizontal="justify"/>
    </xf>
    <xf numFmtId="164" fontId="8" fillId="0" borderId="8" xfId="0" applyNumberFormat="1" applyFont="1" applyBorder="1" applyAlignment="1"/>
    <xf numFmtId="9" fontId="8" fillId="0" borderId="6" xfId="3" applyFont="1" applyFill="1" applyBorder="1" applyAlignment="1">
      <alignment horizontal="center"/>
    </xf>
    <xf numFmtId="169" fontId="8" fillId="0" borderId="8" xfId="1" applyNumberFormat="1" applyFont="1" applyBorder="1" applyAlignment="1"/>
    <xf numFmtId="164" fontId="2" fillId="0" borderId="6" xfId="0" applyNumberFormat="1" applyFont="1" applyBorder="1" applyAlignment="1"/>
    <xf numFmtId="9" fontId="2" fillId="0" borderId="6" xfId="3" applyFont="1" applyBorder="1" applyAlignment="1"/>
    <xf numFmtId="0" fontId="2" fillId="0" borderId="9" xfId="0" applyFont="1" applyBorder="1" applyAlignment="1"/>
    <xf numFmtId="9" fontId="2" fillId="0" borderId="6" xfId="0" applyNumberFormat="1" applyFont="1" applyBorder="1" applyAlignment="1"/>
    <xf numFmtId="9" fontId="2" fillId="0" borderId="17" xfId="3" applyFont="1" applyBorder="1" applyAlignment="1">
      <alignment horizontal="center"/>
    </xf>
    <xf numFmtId="0" fontId="2" fillId="0" borderId="17" xfId="0" applyFont="1" applyBorder="1" applyAlignment="1">
      <alignment horizontal="justify"/>
    </xf>
    <xf numFmtId="165" fontId="2" fillId="0" borderId="17" xfId="0" applyNumberFormat="1" applyFont="1" applyBorder="1" applyAlignment="1"/>
    <xf numFmtId="165" fontId="2" fillId="0" borderId="9" xfId="0" applyNumberFormat="1" applyFont="1" applyBorder="1" applyAlignment="1"/>
    <xf numFmtId="165" fontId="2" fillId="0" borderId="10" xfId="0" applyNumberFormat="1" applyFont="1" applyBorder="1" applyAlignment="1"/>
    <xf numFmtId="9" fontId="5" fillId="0" borderId="0" xfId="3" applyFont="1" applyBorder="1"/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9" fontId="2" fillId="0" borderId="0" xfId="3" applyFont="1" applyBorder="1" applyAlignment="1">
      <alignment horizontal="right"/>
    </xf>
    <xf numFmtId="170" fontId="2" fillId="0" borderId="0" xfId="1" applyNumberFormat="1" applyFont="1" applyBorder="1" applyAlignment="1">
      <alignment horizontal="right"/>
    </xf>
    <xf numFmtId="9" fontId="2" fillId="0" borderId="0" xfId="0" applyNumberFormat="1" applyFont="1" applyAlignment="1"/>
    <xf numFmtId="9" fontId="8" fillId="0" borderId="8" xfId="0" applyNumberFormat="1" applyFont="1" applyBorder="1" applyAlignment="1"/>
    <xf numFmtId="0" fontId="2" fillId="0" borderId="0" xfId="0" applyNumberFormat="1" applyFont="1" applyAlignment="1" applyProtection="1">
      <alignment vertical="top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8" fillId="0" borderId="8" xfId="0" applyFont="1" applyBorder="1" applyAlignment="1">
      <alignment vertical="top"/>
    </xf>
    <xf numFmtId="164" fontId="8" fillId="0" borderId="6" xfId="0" applyNumberFormat="1" applyFont="1" applyBorder="1" applyAlignment="1">
      <alignment vertical="top"/>
    </xf>
    <xf numFmtId="9" fontId="8" fillId="0" borderId="6" xfId="3" applyFont="1" applyBorder="1" applyAlignment="1">
      <alignment horizontal="center" vertical="top"/>
    </xf>
    <xf numFmtId="0" fontId="2" fillId="0" borderId="6" xfId="0" applyFont="1" applyBorder="1" applyAlignment="1">
      <alignment horizontal="justify" vertical="top"/>
    </xf>
    <xf numFmtId="0" fontId="8" fillId="0" borderId="6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167" fontId="2" fillId="0" borderId="0" xfId="0" applyNumberFormat="1" applyFont="1" applyAlignment="1" applyProtection="1">
      <protection locked="0"/>
    </xf>
    <xf numFmtId="43" fontId="2" fillId="0" borderId="0" xfId="1" applyFont="1" applyAlignment="1" applyProtection="1">
      <protection locked="0"/>
    </xf>
    <xf numFmtId="9" fontId="2" fillId="0" borderId="0" xfId="0" applyNumberFormat="1" applyFont="1" applyAlignment="1">
      <alignment horizontal="center"/>
    </xf>
    <xf numFmtId="170" fontId="2" fillId="0" borderId="6" xfId="1" applyNumberFormat="1" applyFont="1" applyBorder="1" applyAlignment="1">
      <alignment horizontal="justify"/>
    </xf>
    <xf numFmtId="9" fontId="8" fillId="0" borderId="6" xfId="3" applyFont="1" applyBorder="1" applyAlignment="1"/>
    <xf numFmtId="3" fontId="8" fillId="0" borderId="9" xfId="0" applyNumberFormat="1" applyFont="1" applyBorder="1" applyAlignment="1"/>
    <xf numFmtId="43" fontId="2" fillId="0" borderId="0" xfId="1" applyFont="1" applyAlignment="1">
      <alignment horizontal="justify"/>
    </xf>
    <xf numFmtId="0" fontId="11" fillId="0" borderId="6" xfId="0" applyFont="1" applyBorder="1" applyAlignment="1">
      <alignment horizontal="justify"/>
    </xf>
    <xf numFmtId="181" fontId="8" fillId="0" borderId="8" xfId="0" applyNumberFormat="1" applyFont="1" applyBorder="1" applyAlignment="1"/>
    <xf numFmtId="3" fontId="8" fillId="0" borderId="8" xfId="0" applyNumberFormat="1" applyFont="1" applyBorder="1" applyAlignment="1"/>
    <xf numFmtId="9" fontId="8" fillId="0" borderId="16" xfId="0" applyNumberFormat="1" applyFont="1" applyBorder="1" applyAlignment="1"/>
    <xf numFmtId="9" fontId="8" fillId="0" borderId="16" xfId="3" applyFont="1" applyBorder="1" applyAlignment="1">
      <alignment horizontal="center"/>
    </xf>
    <xf numFmtId="0" fontId="2" fillId="0" borderId="16" xfId="0" applyFont="1" applyBorder="1" applyAlignment="1">
      <alignment horizontal="justify"/>
    </xf>
    <xf numFmtId="165" fontId="2" fillId="0" borderId="16" xfId="0" applyNumberFormat="1" applyFont="1" applyBorder="1" applyAlignment="1"/>
    <xf numFmtId="9" fontId="6" fillId="0" borderId="0" xfId="3" applyFont="1" applyAlignment="1">
      <alignment horizontal="center"/>
    </xf>
    <xf numFmtId="0" fontId="10" fillId="0" borderId="0" xfId="0" applyFont="1" applyAlignment="1">
      <alignment horizontal="center"/>
    </xf>
    <xf numFmtId="3" fontId="2" fillId="0" borderId="0" xfId="0" applyNumberFormat="1" applyFont="1" applyBorder="1" applyAlignment="1"/>
    <xf numFmtId="172" fontId="8" fillId="0" borderId="6" xfId="2" applyNumberFormat="1" applyFont="1" applyBorder="1" applyAlignment="1">
      <alignment horizontal="left" indent="3"/>
    </xf>
    <xf numFmtId="3" fontId="8" fillId="0" borderId="2" xfId="0" applyNumberFormat="1" applyFont="1" applyBorder="1" applyAlignment="1"/>
    <xf numFmtId="164" fontId="2" fillId="0" borderId="6" xfId="0" applyNumberFormat="1" applyFont="1" applyBorder="1" applyAlignment="1">
      <alignment horizontal="justify"/>
    </xf>
    <xf numFmtId="170" fontId="2" fillId="0" borderId="6" xfId="0" applyNumberFormat="1" applyFont="1" applyBorder="1" applyAlignment="1">
      <alignment horizontal="justify"/>
    </xf>
    <xf numFmtId="172" fontId="8" fillId="0" borderId="0" xfId="2" applyNumberFormat="1" applyFont="1" applyBorder="1" applyAlignment="1"/>
    <xf numFmtId="172" fontId="9" fillId="0" borderId="0" xfId="2" applyNumberFormat="1" applyFont="1" applyBorder="1" applyAlignment="1"/>
    <xf numFmtId="167" fontId="2" fillId="0" borderId="0" xfId="0" applyNumberFormat="1" applyFont="1" applyAlignment="1">
      <alignment horizontal="justify"/>
    </xf>
    <xf numFmtId="0" fontId="8" fillId="0" borderId="9" xfId="0" applyNumberFormat="1" applyFont="1" applyBorder="1" applyAlignment="1" applyProtection="1">
      <protection locked="0"/>
    </xf>
    <xf numFmtId="172" fontId="9" fillId="0" borderId="13" xfId="2" applyNumberFormat="1" applyFont="1" applyBorder="1" applyAlignment="1"/>
    <xf numFmtId="172" fontId="8" fillId="0" borderId="16" xfId="2" applyNumberFormat="1" applyFont="1" applyBorder="1" applyAlignment="1"/>
    <xf numFmtId="43" fontId="2" fillId="0" borderId="6" xfId="0" applyNumberFormat="1" applyFont="1" applyBorder="1" applyAlignment="1">
      <alignment horizontal="justify"/>
    </xf>
    <xf numFmtId="9" fontId="8" fillId="0" borderId="9" xfId="0" applyNumberFormat="1" applyFont="1" applyBorder="1" applyAlignment="1"/>
    <xf numFmtId="0" fontId="7" fillId="0" borderId="0" xfId="0" applyFont="1" applyAlignment="1">
      <alignment horizontal="left"/>
    </xf>
    <xf numFmtId="0" fontId="2" fillId="0" borderId="0" xfId="0" applyNumberFormat="1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/>
      <protection locked="0"/>
    </xf>
    <xf numFmtId="0" fontId="8" fillId="0" borderId="8" xfId="0" applyNumberFormat="1" applyFont="1" applyBorder="1" applyAlignment="1" applyProtection="1">
      <alignment horizontal="left"/>
      <protection locked="0"/>
    </xf>
    <xf numFmtId="43" fontId="8" fillId="0" borderId="8" xfId="0" applyNumberFormat="1" applyFont="1" applyBorder="1" applyAlignment="1" applyProtection="1">
      <alignment horizontal="left"/>
      <protection locked="0"/>
    </xf>
    <xf numFmtId="169" fontId="8" fillId="0" borderId="12" xfId="1" applyNumberFormat="1" applyFont="1" applyBorder="1" applyAlignment="1" applyProtection="1">
      <alignment horizontal="left"/>
      <protection locked="0"/>
    </xf>
    <xf numFmtId="169" fontId="8" fillId="0" borderId="0" xfId="1" applyNumberFormat="1" applyFont="1" applyBorder="1" applyAlignment="1" applyProtection="1">
      <alignment horizontal="left"/>
      <protection locked="0"/>
    </xf>
    <xf numFmtId="165" fontId="8" fillId="0" borderId="8" xfId="3" applyNumberFormat="1" applyFont="1" applyBorder="1" applyAlignment="1" applyProtection="1">
      <alignment horizontal="right"/>
      <protection locked="0"/>
    </xf>
    <xf numFmtId="165" fontId="8" fillId="0" borderId="0" xfId="3" applyNumberFormat="1" applyFont="1" applyBorder="1" applyAlignment="1"/>
    <xf numFmtId="165" fontId="8" fillId="0" borderId="6" xfId="3" applyNumberFormat="1" applyFont="1" applyBorder="1" applyAlignment="1">
      <alignment horizontal="center"/>
    </xf>
    <xf numFmtId="165" fontId="2" fillId="0" borderId="6" xfId="3" applyNumberFormat="1" applyFont="1" applyBorder="1" applyAlignment="1">
      <alignment horizontal="justify"/>
    </xf>
    <xf numFmtId="165" fontId="2" fillId="0" borderId="11" xfId="3" applyNumberFormat="1" applyFont="1" applyBorder="1" applyAlignment="1">
      <alignment horizontal="justify"/>
    </xf>
    <xf numFmtId="0" fontId="8" fillId="0" borderId="0" xfId="0" applyFont="1" applyBorder="1" applyAlignment="1"/>
    <xf numFmtId="170" fontId="8" fillId="0" borderId="0" xfId="1" applyNumberFormat="1" applyFont="1" applyBorder="1" applyAlignment="1"/>
    <xf numFmtId="170" fontId="9" fillId="0" borderId="0" xfId="1" applyNumberFormat="1" applyFont="1" applyBorder="1" applyAlignment="1"/>
    <xf numFmtId="0" fontId="8" fillId="0" borderId="0" xfId="0" applyNumberFormat="1" applyFont="1" applyAlignme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8" xfId="0" applyNumberFormat="1" applyFont="1" applyBorder="1" applyAlignment="1">
      <alignment horizontal="left"/>
    </xf>
    <xf numFmtId="0" fontId="8" fillId="0" borderId="6" xfId="0" applyFont="1" applyBorder="1" applyAlignment="1">
      <alignment horizontal="justify"/>
    </xf>
    <xf numFmtId="164" fontId="8" fillId="0" borderId="6" xfId="0" applyNumberFormat="1" applyFont="1" applyBorder="1" applyAlignment="1">
      <alignment horizontal="justify"/>
    </xf>
    <xf numFmtId="164" fontId="8" fillId="0" borderId="0" xfId="0" applyNumberFormat="1" applyFont="1" applyAlignment="1"/>
    <xf numFmtId="0" fontId="8" fillId="0" borderId="0" xfId="0" applyFont="1" applyAlignment="1">
      <alignment horizontal="justify"/>
    </xf>
    <xf numFmtId="0" fontId="8" fillId="0" borderId="0" xfId="0" applyFont="1" applyAlignment="1"/>
    <xf numFmtId="0" fontId="8" fillId="0" borderId="13" xfId="0" applyFont="1" applyBorder="1" applyAlignment="1"/>
    <xf numFmtId="0" fontId="8" fillId="0" borderId="14" xfId="0" applyFont="1" applyBorder="1" applyAlignment="1">
      <alignment horizontal="justify"/>
    </xf>
    <xf numFmtId="9" fontId="8" fillId="0" borderId="14" xfId="3" applyFont="1" applyBorder="1" applyAlignment="1"/>
    <xf numFmtId="9" fontId="8" fillId="0" borderId="18" xfId="3" applyFont="1" applyBorder="1" applyAlignment="1"/>
    <xf numFmtId="0" fontId="8" fillId="0" borderId="0" xfId="0" applyFont="1" applyAlignment="1">
      <alignment horizontal="center"/>
    </xf>
    <xf numFmtId="165" fontId="9" fillId="0" borderId="0" xfId="0" applyNumberFormat="1" applyFont="1" applyAlignme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8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6" fillId="0" borderId="19" xfId="0" applyNumberFormat="1" applyFont="1" applyBorder="1" applyAlignment="1">
      <alignment horizontal="right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9" fontId="2" fillId="0" borderId="0" xfId="3" applyFont="1" applyAlignment="1">
      <alignment horizontal="left" vertical="top"/>
    </xf>
    <xf numFmtId="3" fontId="8" fillId="0" borderId="6" xfId="0" applyNumberFormat="1" applyFont="1" applyBorder="1" applyAlignment="1">
      <alignment vertical="top"/>
    </xf>
    <xf numFmtId="3" fontId="9" fillId="0" borderId="6" xfId="0" applyNumberFormat="1" applyFont="1" applyBorder="1" applyAlignment="1">
      <alignment vertical="top"/>
    </xf>
    <xf numFmtId="0" fontId="8" fillId="0" borderId="6" xfId="0" applyFont="1" applyBorder="1" applyAlignment="1">
      <alignment horizontal="center" vertical="top"/>
    </xf>
    <xf numFmtId="0" fontId="6" fillId="0" borderId="0" xfId="0" applyFont="1" applyAlignment="1">
      <alignment horizontal="left" vertical="top"/>
    </xf>
    <xf numFmtId="164" fontId="8" fillId="0" borderId="6" xfId="0" applyNumberFormat="1" applyFont="1" applyBorder="1" applyAlignment="1">
      <alignment horizontal="center" vertical="top"/>
    </xf>
    <xf numFmtId="164" fontId="2" fillId="0" borderId="6" xfId="0" applyNumberFormat="1" applyFont="1" applyBorder="1" applyAlignment="1">
      <alignment horizontal="justify" vertical="top"/>
    </xf>
    <xf numFmtId="9" fontId="8" fillId="0" borderId="6" xfId="0" applyNumberFormat="1" applyFont="1" applyBorder="1" applyAlignment="1">
      <alignment vertical="top"/>
    </xf>
    <xf numFmtId="164" fontId="9" fillId="0" borderId="6" xfId="0" applyNumberFormat="1" applyFont="1" applyBorder="1" applyAlignment="1">
      <alignment vertical="top"/>
    </xf>
    <xf numFmtId="9" fontId="8" fillId="0" borderId="6" xfId="0" applyNumberFormat="1" applyFont="1" applyBorder="1" applyAlignment="1">
      <alignment horizontal="center" vertical="top"/>
    </xf>
    <xf numFmtId="170" fontId="9" fillId="0" borderId="6" xfId="1" applyNumberFormat="1" applyFont="1" applyBorder="1" applyAlignment="1">
      <alignment vertical="top"/>
    </xf>
    <xf numFmtId="0" fontId="2" fillId="0" borderId="0" xfId="0" applyNumberFormat="1" applyFont="1" applyAlignment="1">
      <alignment horizontal="justify" vertical="top"/>
    </xf>
    <xf numFmtId="0" fontId="8" fillId="0" borderId="20" xfId="0" applyNumberFormat="1" applyFont="1" applyBorder="1" applyAlignment="1" applyProtection="1">
      <alignment vertical="top"/>
      <protection locked="0"/>
    </xf>
    <xf numFmtId="0" fontId="8" fillId="0" borderId="16" xfId="0" applyFont="1" applyBorder="1" applyAlignment="1">
      <alignment horizontal="center" vertical="top"/>
    </xf>
    <xf numFmtId="0" fontId="2" fillId="0" borderId="16" xfId="0" applyFont="1" applyBorder="1" applyAlignment="1">
      <alignment horizontal="justify" vertical="top"/>
    </xf>
    <xf numFmtId="0" fontId="2" fillId="0" borderId="14" xfId="0" applyNumberFormat="1" applyFont="1" applyBorder="1" applyAlignment="1" applyProtection="1">
      <alignment vertical="top"/>
      <protection locked="0"/>
    </xf>
    <xf numFmtId="0" fontId="2" fillId="0" borderId="20" xfId="0" applyNumberFormat="1" applyFont="1" applyBorder="1" applyAlignment="1" applyProtection="1">
      <alignment vertical="top"/>
      <protection locked="0"/>
    </xf>
    <xf numFmtId="0" fontId="2" fillId="0" borderId="17" xfId="0" applyNumberFormat="1" applyFont="1" applyBorder="1" applyAlignment="1" applyProtection="1">
      <alignment vertical="top"/>
      <protection locked="0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0" xfId="0" applyNumberFormat="1" applyFont="1" applyBorder="1"/>
    <xf numFmtId="0" fontId="6" fillId="0" borderId="0" xfId="0" applyFont="1" applyBorder="1" applyAlignment="1"/>
    <xf numFmtId="0" fontId="6" fillId="0" borderId="19" xfId="0" applyFont="1" applyBorder="1" applyAlignment="1">
      <alignment horizontal="right"/>
    </xf>
    <xf numFmtId="0" fontId="6" fillId="0" borderId="6" xfId="0" applyFont="1" applyBorder="1" applyAlignment="1"/>
    <xf numFmtId="0" fontId="11" fillId="0" borderId="6" xfId="0" applyFont="1" applyBorder="1" applyAlignment="1"/>
    <xf numFmtId="0" fontId="11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70" fontId="11" fillId="0" borderId="6" xfId="0" applyNumberFormat="1" applyFont="1" applyBorder="1" applyAlignment="1">
      <alignment horizontal="justify"/>
    </xf>
    <xf numFmtId="9" fontId="2" fillId="0" borderId="6" xfId="3" applyFont="1" applyBorder="1" applyAlignment="1">
      <alignment horizontal="justify"/>
    </xf>
    <xf numFmtId="9" fontId="8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4" fontId="8" fillId="0" borderId="6" xfId="0" applyNumberFormat="1" applyFont="1" applyBorder="1" applyAlignment="1">
      <alignment horizontal="center"/>
    </xf>
    <xf numFmtId="9" fontId="8" fillId="0" borderId="12" xfId="0" applyNumberFormat="1" applyFont="1" applyBorder="1" applyAlignment="1"/>
    <xf numFmtId="0" fontId="8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justify"/>
    </xf>
    <xf numFmtId="0" fontId="5" fillId="0" borderId="18" xfId="0" applyFont="1" applyBorder="1"/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justify"/>
    </xf>
    <xf numFmtId="0" fontId="5" fillId="0" borderId="14" xfId="0" applyFont="1" applyBorder="1"/>
    <xf numFmtId="0" fontId="5" fillId="0" borderId="15" xfId="0" applyFont="1" applyBorder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/>
    <xf numFmtId="0" fontId="8" fillId="0" borderId="0" xfId="0" applyNumberFormat="1" applyFont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justify"/>
    </xf>
    <xf numFmtId="180" fontId="8" fillId="0" borderId="0" xfId="3" applyNumberFormat="1" applyFont="1" applyBorder="1"/>
    <xf numFmtId="0" fontId="2" fillId="0" borderId="0" xfId="0" applyNumberFormat="1" applyFont="1" applyAlignment="1">
      <alignment horizontal="justify"/>
    </xf>
    <xf numFmtId="0" fontId="14" fillId="0" borderId="0" xfId="0" applyNumberFormat="1" applyFont="1" applyAlignment="1">
      <alignment horizontal="centerContinuous"/>
    </xf>
    <xf numFmtId="0" fontId="10" fillId="0" borderId="0" xfId="0" applyNumberFormat="1" applyFont="1" applyAlignment="1" applyProtection="1">
      <protection locked="0"/>
    </xf>
    <xf numFmtId="0" fontId="10" fillId="0" borderId="0" xfId="0" applyNumberFormat="1" applyFont="1" applyAlignment="1">
      <alignment horizontal="justify"/>
    </xf>
    <xf numFmtId="9" fontId="2" fillId="0" borderId="0" xfId="0" applyNumberFormat="1" applyFont="1" applyBorder="1" applyAlignment="1">
      <alignment horizontal="center"/>
    </xf>
    <xf numFmtId="9" fontId="8" fillId="0" borderId="0" xfId="3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8" fillId="0" borderId="21" xfId="0" applyFont="1" applyBorder="1" applyAlignment="1"/>
    <xf numFmtId="9" fontId="8" fillId="0" borderId="10" xfId="3" applyFont="1" applyBorder="1" applyAlignment="1">
      <alignment horizontal="center"/>
    </xf>
    <xf numFmtId="0" fontId="8" fillId="0" borderId="1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Continuous"/>
    </xf>
    <xf numFmtId="0" fontId="6" fillId="0" borderId="0" xfId="0" applyNumberFormat="1" applyFont="1" applyBorder="1" applyAlignment="1">
      <alignment horizontal="centerContinuous"/>
    </xf>
    <xf numFmtId="9" fontId="2" fillId="0" borderId="10" xfId="0" applyNumberFormat="1" applyFont="1" applyBorder="1" applyAlignment="1"/>
    <xf numFmtId="9" fontId="2" fillId="0" borderId="10" xfId="3" applyFont="1" applyBorder="1" applyAlignment="1">
      <alignment horizontal="center"/>
    </xf>
    <xf numFmtId="3" fontId="2" fillId="0" borderId="21" xfId="0" applyNumberFormat="1" applyFont="1" applyBorder="1" applyAlignment="1"/>
    <xf numFmtId="9" fontId="8" fillId="0" borderId="1" xfId="3" applyFont="1" applyFill="1" applyBorder="1" applyAlignment="1">
      <alignment horizontal="center"/>
    </xf>
    <xf numFmtId="43" fontId="8" fillId="0" borderId="6" xfId="1" applyFont="1" applyBorder="1" applyAlignment="1"/>
    <xf numFmtId="9" fontId="8" fillId="0" borderId="10" xfId="3" applyFont="1" applyFill="1" applyBorder="1" applyAlignment="1">
      <alignment horizontal="center"/>
    </xf>
    <xf numFmtId="9" fontId="8" fillId="0" borderId="9" xfId="3" applyFont="1" applyFill="1" applyBorder="1" applyAlignment="1">
      <alignment horizontal="center"/>
    </xf>
    <xf numFmtId="9" fontId="2" fillId="0" borderId="0" xfId="0" applyNumberFormat="1" applyFont="1" applyAlignment="1">
      <alignment horizontal="left" vertical="top"/>
    </xf>
    <xf numFmtId="9" fontId="8" fillId="0" borderId="14" xfId="0" applyNumberFormat="1" applyFont="1" applyBorder="1" applyAlignment="1">
      <alignment horizontal="justify"/>
    </xf>
    <xf numFmtId="9" fontId="6" fillId="0" borderId="6" xfId="3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3" fontId="2" fillId="0" borderId="10" xfId="0" applyNumberFormat="1" applyFont="1" applyBorder="1" applyAlignment="1"/>
    <xf numFmtId="0" fontId="2" fillId="0" borderId="10" xfId="0" applyFont="1" applyBorder="1" applyAlignment="1"/>
    <xf numFmtId="170" fontId="8" fillId="0" borderId="6" xfId="1" applyNumberFormat="1" applyFont="1" applyBorder="1" applyAlignment="1">
      <alignment vertical="top"/>
    </xf>
    <xf numFmtId="0" fontId="2" fillId="0" borderId="10" xfId="0" applyFont="1" applyBorder="1" applyAlignment="1">
      <alignment horizontal="center"/>
    </xf>
    <xf numFmtId="0" fontId="8" fillId="0" borderId="7" xfId="0" applyFont="1" applyBorder="1" applyAlignment="1"/>
    <xf numFmtId="172" fontId="8" fillId="0" borderId="7" xfId="0" applyNumberFormat="1" applyFont="1" applyBorder="1" applyAlignment="1"/>
    <xf numFmtId="0" fontId="2" fillId="0" borderId="22" xfId="0" applyFont="1" applyBorder="1" applyAlignment="1">
      <alignment horizontal="justify"/>
    </xf>
    <xf numFmtId="0" fontId="16" fillId="0" borderId="0" xfId="0" applyFont="1"/>
    <xf numFmtId="170" fontId="5" fillId="0" borderId="0" xfId="1" applyNumberFormat="1" applyFont="1"/>
    <xf numFmtId="170" fontId="17" fillId="0" borderId="0" xfId="1" applyNumberFormat="1" applyFont="1"/>
    <xf numFmtId="0" fontId="2" fillId="0" borderId="2" xfId="0" applyNumberFormat="1" applyFont="1" applyBorder="1" applyAlignment="1" applyProtection="1">
      <protection locked="0"/>
    </xf>
    <xf numFmtId="3" fontId="9" fillId="0" borderId="1" xfId="0" applyNumberFormat="1" applyFont="1" applyBorder="1" applyAlignment="1"/>
    <xf numFmtId="3" fontId="9" fillId="0" borderId="7" xfId="0" applyNumberFormat="1" applyFont="1" applyBorder="1" applyAlignment="1"/>
    <xf numFmtId="0" fontId="6" fillId="0" borderId="23" xfId="0" applyFont="1" applyBorder="1" applyAlignment="1">
      <alignment horizontal="justify"/>
    </xf>
    <xf numFmtId="0" fontId="6" fillId="0" borderId="0" xfId="0" applyFont="1" applyBorder="1" applyAlignment="1">
      <alignment horizontal="justify"/>
    </xf>
    <xf numFmtId="0" fontId="6" fillId="0" borderId="21" xfId="0" applyFont="1" applyBorder="1" applyAlignment="1">
      <alignment horizontal="center"/>
    </xf>
    <xf numFmtId="0" fontId="6" fillId="0" borderId="7" xfId="0" applyFont="1" applyBorder="1" applyAlignment="1">
      <alignment horizontal="justify"/>
    </xf>
    <xf numFmtId="0" fontId="6" fillId="0" borderId="8" xfId="0" applyFont="1" applyBorder="1" applyAlignment="1">
      <alignment horizontal="justify"/>
    </xf>
    <xf numFmtId="9" fontId="2" fillId="0" borderId="6" xfId="3" applyFont="1" applyBorder="1" applyAlignment="1">
      <alignment horizontal="justify" vertical="top"/>
    </xf>
    <xf numFmtId="172" fontId="8" fillId="0" borderId="6" xfId="2" applyNumberFormat="1" applyFont="1" applyBorder="1" applyAlignment="1">
      <alignment vertical="top"/>
    </xf>
    <xf numFmtId="172" fontId="9" fillId="0" borderId="6" xfId="2" applyNumberFormat="1" applyFont="1" applyBorder="1" applyAlignment="1">
      <alignment vertical="top"/>
    </xf>
    <xf numFmtId="0" fontId="10" fillId="0" borderId="0" xfId="0" applyFont="1"/>
    <xf numFmtId="0" fontId="8" fillId="0" borderId="0" xfId="0" applyFont="1"/>
    <xf numFmtId="0" fontId="12" fillId="0" borderId="0" xfId="0" applyFont="1"/>
    <xf numFmtId="0" fontId="16" fillId="0" borderId="24" xfId="0" applyFont="1" applyBorder="1"/>
    <xf numFmtId="0" fontId="19" fillId="0" borderId="0" xfId="0" applyFont="1"/>
    <xf numFmtId="177" fontId="16" fillId="0" borderId="25" xfId="3" applyNumberFormat="1" applyFont="1" applyBorder="1"/>
    <xf numFmtId="176" fontId="16" fillId="0" borderId="0" xfId="2" applyNumberFormat="1" applyFont="1" applyBorder="1"/>
    <xf numFmtId="44" fontId="16" fillId="0" borderId="26" xfId="2" applyFont="1" applyBorder="1"/>
    <xf numFmtId="0" fontId="21" fillId="0" borderId="27" xfId="0" applyFont="1" applyBorder="1"/>
    <xf numFmtId="176" fontId="5" fillId="0" borderId="28" xfId="2" applyNumberFormat="1" applyFont="1" applyBorder="1"/>
    <xf numFmtId="176" fontId="17" fillId="0" borderId="29" xfId="2" applyNumberFormat="1" applyFont="1" applyBorder="1"/>
    <xf numFmtId="176" fontId="16" fillId="0" borderId="25" xfId="2" applyNumberFormat="1" applyFont="1" applyBorder="1"/>
    <xf numFmtId="176" fontId="16" fillId="0" borderId="26" xfId="2" applyNumberFormat="1" applyFont="1" applyBorder="1"/>
    <xf numFmtId="165" fontId="16" fillId="0" borderId="25" xfId="3" applyNumberFormat="1" applyFont="1" applyBorder="1"/>
    <xf numFmtId="165" fontId="16" fillId="0" borderId="30" xfId="3" applyNumberFormat="1" applyFont="1" applyBorder="1"/>
    <xf numFmtId="9" fontId="16" fillId="0" borderId="25" xfId="3" applyFont="1" applyBorder="1" applyAlignment="1">
      <alignment horizontal="center"/>
    </xf>
    <xf numFmtId="9" fontId="16" fillId="0" borderId="26" xfId="3" applyFont="1" applyBorder="1" applyAlignment="1">
      <alignment horizontal="center"/>
    </xf>
    <xf numFmtId="9" fontId="16" fillId="0" borderId="25" xfId="3" applyFont="1" applyBorder="1"/>
    <xf numFmtId="172" fontId="21" fillId="0" borderId="25" xfId="2" applyNumberFormat="1" applyFont="1" applyBorder="1"/>
    <xf numFmtId="172" fontId="21" fillId="0" borderId="0" xfId="2" applyNumberFormat="1" applyFont="1" applyBorder="1"/>
    <xf numFmtId="172" fontId="21" fillId="0" borderId="26" xfId="2" applyNumberFormat="1" applyFont="1" applyBorder="1"/>
    <xf numFmtId="165" fontId="5" fillId="0" borderId="31" xfId="3" applyNumberFormat="1" applyFont="1" applyBorder="1"/>
    <xf numFmtId="165" fontId="5" fillId="0" borderId="32" xfId="3" applyNumberFormat="1" applyFont="1" applyBorder="1"/>
    <xf numFmtId="165" fontId="5" fillId="0" borderId="33" xfId="3" applyNumberFormat="1" applyFont="1" applyBorder="1"/>
    <xf numFmtId="165" fontId="22" fillId="0" borderId="34" xfId="3" applyNumberFormat="1" applyFont="1" applyBorder="1"/>
    <xf numFmtId="0" fontId="16" fillId="0" borderId="35" xfId="0" applyFont="1" applyBorder="1" applyAlignment="1">
      <alignment horizontal="center" vertical="top" wrapText="1"/>
    </xf>
    <xf numFmtId="43" fontId="5" fillId="0" borderId="0" xfId="1" applyFont="1"/>
    <xf numFmtId="170" fontId="5" fillId="0" borderId="0" xfId="0" applyNumberFormat="1" applyFont="1"/>
    <xf numFmtId="172" fontId="5" fillId="0" borderId="0" xfId="2" applyNumberFormat="1" applyFont="1"/>
    <xf numFmtId="177" fontId="5" fillId="0" borderId="0" xfId="2" applyNumberFormat="1" applyFont="1"/>
    <xf numFmtId="0" fontId="5" fillId="0" borderId="24" xfId="0" applyFont="1" applyBorder="1"/>
    <xf numFmtId="0" fontId="5" fillId="0" borderId="12" xfId="0" applyFont="1" applyBorder="1"/>
    <xf numFmtId="0" fontId="5" fillId="0" borderId="36" xfId="0" applyFont="1" applyBorder="1"/>
    <xf numFmtId="172" fontId="5" fillId="0" borderId="12" xfId="2" applyNumberFormat="1" applyFont="1" applyBorder="1"/>
    <xf numFmtId="172" fontId="5" fillId="0" borderId="36" xfId="2" applyNumberFormat="1" applyFont="1" applyBorder="1"/>
    <xf numFmtId="170" fontId="5" fillId="0" borderId="12" xfId="0" applyNumberFormat="1" applyFont="1" applyBorder="1"/>
    <xf numFmtId="0" fontId="5" fillId="0" borderId="37" xfId="0" applyFont="1" applyBorder="1"/>
    <xf numFmtId="176" fontId="5" fillId="0" borderId="38" xfId="2" applyNumberFormat="1" applyFont="1" applyBorder="1"/>
    <xf numFmtId="176" fontId="5" fillId="0" borderId="39" xfId="2" applyNumberFormat="1" applyFont="1" applyBorder="1"/>
    <xf numFmtId="176" fontId="5" fillId="0" borderId="0" xfId="2" applyNumberFormat="1" applyFont="1" applyBorder="1"/>
    <xf numFmtId="0" fontId="5" fillId="0" borderId="27" xfId="0" applyFont="1" applyBorder="1"/>
    <xf numFmtId="170" fontId="5" fillId="0" borderId="25" xfId="0" applyNumberFormat="1" applyFont="1" applyBorder="1"/>
    <xf numFmtId="170" fontId="5" fillId="0" borderId="0" xfId="0" applyNumberFormat="1" applyFont="1" applyBorder="1"/>
    <xf numFmtId="170" fontId="5" fillId="0" borderId="26" xfId="0" applyNumberFormat="1" applyFont="1" applyBorder="1"/>
    <xf numFmtId="170" fontId="5" fillId="0" borderId="40" xfId="0" applyNumberFormat="1" applyFont="1" applyBorder="1"/>
    <xf numFmtId="44" fontId="5" fillId="0" borderId="25" xfId="2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40" xfId="0" applyFont="1" applyBorder="1"/>
    <xf numFmtId="176" fontId="5" fillId="0" borderId="25" xfId="2" applyNumberFormat="1" applyFont="1" applyBorder="1"/>
    <xf numFmtId="176" fontId="5" fillId="0" borderId="25" xfId="0" applyNumberFormat="1" applyFont="1" applyBorder="1"/>
    <xf numFmtId="176" fontId="5" fillId="0" borderId="26" xfId="2" applyNumberFormat="1" applyFont="1" applyBorder="1"/>
    <xf numFmtId="0" fontId="5" fillId="0" borderId="41" xfId="0" applyFont="1" applyBorder="1"/>
    <xf numFmtId="172" fontId="5" fillId="0" borderId="25" xfId="2" applyNumberFormat="1" applyFont="1" applyBorder="1"/>
    <xf numFmtId="172" fontId="5" fillId="0" borderId="0" xfId="2" applyNumberFormat="1" applyFont="1" applyBorder="1"/>
    <xf numFmtId="172" fontId="5" fillId="0" borderId="26" xfId="2" applyNumberFormat="1" applyFont="1" applyBorder="1"/>
    <xf numFmtId="172" fontId="5" fillId="0" borderId="40" xfId="2" applyNumberFormat="1" applyFont="1" applyBorder="1"/>
    <xf numFmtId="172" fontId="5" fillId="0" borderId="25" xfId="3" applyNumberFormat="1" applyFont="1" applyBorder="1"/>
    <xf numFmtId="172" fontId="5" fillId="0" borderId="0" xfId="3" applyNumberFormat="1" applyFont="1" applyBorder="1"/>
    <xf numFmtId="172" fontId="5" fillId="0" borderId="26" xfId="3" applyNumberFormat="1" applyFont="1" applyBorder="1"/>
    <xf numFmtId="0" fontId="5" fillId="0" borderId="42" xfId="0" applyFont="1" applyBorder="1"/>
    <xf numFmtId="0" fontId="5" fillId="0" borderId="31" xfId="0" applyFont="1" applyBorder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6" fillId="0" borderId="43" xfId="0" applyFont="1" applyBorder="1" applyAlignment="1">
      <alignment horizontal="center" vertical="top"/>
    </xf>
    <xf numFmtId="0" fontId="16" fillId="0" borderId="35" xfId="0" applyFont="1" applyBorder="1" applyAlignment="1">
      <alignment horizontal="center" vertical="top"/>
    </xf>
    <xf numFmtId="0" fontId="16" fillId="0" borderId="44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45" xfId="0" applyFont="1" applyBorder="1" applyAlignment="1">
      <alignment vertical="top" wrapText="1"/>
    </xf>
    <xf numFmtId="0" fontId="16" fillId="0" borderId="46" xfId="0" applyFont="1" applyBorder="1" applyAlignment="1">
      <alignment horizontal="center" vertical="top" wrapText="1"/>
    </xf>
    <xf numFmtId="0" fontId="16" fillId="0" borderId="47" xfId="0" applyFont="1" applyBorder="1" applyAlignment="1">
      <alignment horizontal="center" vertical="top" wrapText="1"/>
    </xf>
    <xf numFmtId="0" fontId="16" fillId="0" borderId="48" xfId="0" applyFont="1" applyBorder="1" applyAlignment="1">
      <alignment horizontal="center" vertical="top" wrapText="1"/>
    </xf>
    <xf numFmtId="0" fontId="16" fillId="0" borderId="49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165" fontId="2" fillId="0" borderId="0" xfId="0" applyNumberFormat="1" applyFont="1" applyAlignment="1" applyProtection="1">
      <protection locked="0"/>
    </xf>
    <xf numFmtId="169" fontId="2" fillId="0" borderId="0" xfId="0" applyNumberFormat="1" applyFont="1" applyAlignment="1" applyProtection="1">
      <protection locked="0"/>
    </xf>
    <xf numFmtId="43" fontId="2" fillId="0" borderId="0" xfId="0" applyNumberFormat="1" applyFont="1" applyAlignment="1" applyProtection="1">
      <protection locked="0"/>
    </xf>
    <xf numFmtId="164" fontId="2" fillId="0" borderId="0" xfId="0" applyNumberFormat="1" applyFont="1" applyAlignment="1" applyProtection="1">
      <protection locked="0"/>
    </xf>
    <xf numFmtId="43" fontId="2" fillId="0" borderId="0" xfId="1" applyNumberFormat="1" applyFont="1" applyAlignment="1" applyProtection="1">
      <protection locked="0"/>
    </xf>
    <xf numFmtId="9" fontId="2" fillId="0" borderId="0" xfId="0" applyNumberFormat="1" applyFont="1" applyAlignment="1" applyProtection="1">
      <alignment vertical="top"/>
      <protection locked="0"/>
    </xf>
    <xf numFmtId="164" fontId="8" fillId="0" borderId="12" xfId="0" applyNumberFormat="1" applyFont="1" applyBorder="1" applyAlignment="1"/>
    <xf numFmtId="10" fontId="2" fillId="0" borderId="0" xfId="0" applyNumberFormat="1" applyFont="1" applyAlignment="1" applyProtection="1">
      <protection locked="0"/>
    </xf>
    <xf numFmtId="172" fontId="2" fillId="0" borderId="0" xfId="0" applyNumberFormat="1" applyFont="1" applyAlignment="1" applyProtection="1">
      <protection locked="0"/>
    </xf>
    <xf numFmtId="43" fontId="2" fillId="0" borderId="0" xfId="1" applyFont="1" applyAlignment="1" applyProtection="1">
      <alignment horizontal="left" indent="1"/>
      <protection locked="0"/>
    </xf>
    <xf numFmtId="9" fontId="16" fillId="0" borderId="36" xfId="3" applyFont="1" applyBorder="1"/>
    <xf numFmtId="9" fontId="8" fillId="0" borderId="6" xfId="3" applyFont="1" applyFill="1" applyBorder="1" applyAlignment="1">
      <alignment horizontal="center" vertical="top"/>
    </xf>
    <xf numFmtId="43" fontId="2" fillId="0" borderId="0" xfId="1" applyFont="1" applyAlignment="1">
      <alignment horizontal="left" vertical="top"/>
    </xf>
    <xf numFmtId="9" fontId="8" fillId="0" borderId="8" xfId="3" applyFont="1" applyBorder="1" applyAlignment="1">
      <alignment horizontal="center" vertical="top"/>
    </xf>
    <xf numFmtId="9" fontId="8" fillId="0" borderId="19" xfId="3" applyFont="1" applyBorder="1" applyAlignment="1">
      <alignment horizontal="center" vertical="top"/>
    </xf>
    <xf numFmtId="0" fontId="2" fillId="0" borderId="0" xfId="0" applyFont="1"/>
    <xf numFmtId="177" fontId="16" fillId="0" borderId="25" xfId="2" applyNumberFormat="1" applyFont="1" applyBorder="1"/>
    <xf numFmtId="177" fontId="16" fillId="0" borderId="0" xfId="2" applyNumberFormat="1" applyFont="1" applyBorder="1"/>
    <xf numFmtId="0" fontId="23" fillId="0" borderId="0" xfId="0" applyFont="1"/>
    <xf numFmtId="0" fontId="16" fillId="0" borderId="0" xfId="0" applyFont="1" applyBorder="1" applyAlignment="1">
      <alignment horizontal="center" vertical="top" wrapText="1"/>
    </xf>
    <xf numFmtId="9" fontId="2" fillId="0" borderId="12" xfId="0" applyNumberFormat="1" applyFont="1" applyBorder="1" applyAlignment="1">
      <alignment horizontal="left" vertical="top"/>
    </xf>
    <xf numFmtId="9" fontId="8" fillId="0" borderId="12" xfId="3" applyFont="1" applyBorder="1" applyAlignment="1" applyProtection="1">
      <alignment horizontal="right"/>
      <protection locked="0"/>
    </xf>
    <xf numFmtId="9" fontId="8" fillId="0" borderId="0" xfId="3" applyFont="1" applyBorder="1" applyAlignment="1" applyProtection="1">
      <alignment horizontal="right"/>
      <protection locked="0"/>
    </xf>
    <xf numFmtId="165" fontId="8" fillId="0" borderId="12" xfId="3" applyNumberFormat="1" applyFont="1" applyBorder="1" applyAlignment="1"/>
    <xf numFmtId="165" fontId="16" fillId="0" borderId="12" xfId="3" applyNumberFormat="1" applyFont="1" applyBorder="1"/>
    <xf numFmtId="9" fontId="16" fillId="0" borderId="0" xfId="3" applyNumberFormat="1" applyFont="1" applyBorder="1"/>
    <xf numFmtId="0" fontId="7" fillId="0" borderId="0" xfId="0" applyFont="1" applyAlignment="1">
      <alignment horizontal="left"/>
    </xf>
    <xf numFmtId="0" fontId="2" fillId="0" borderId="0" xfId="0" applyNumberFormat="1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justify"/>
    </xf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Border="1" applyAlignment="1" applyProtection="1">
      <protection locked="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11</xdr:col>
      <xdr:colOff>0</xdr:colOff>
      <xdr:row>67</xdr:row>
      <xdr:rowOff>171450</xdr:rowOff>
    </xdr:to>
    <xdr:sp macro="" textlink="">
      <xdr:nvSpPr>
        <xdr:cNvPr id="2050" name="Line 2">
          <a:extLst>
            <a:ext uri="{FF2B5EF4-FFF2-40B4-BE49-F238E27FC236}">
              <a16:creationId xmlns:a16="http://schemas.microsoft.com/office/drawing/2014/main" id="{EA572B82-65CF-0A47-A54C-3D241F8CE107}"/>
            </a:ext>
          </a:extLst>
        </xdr:cNvPr>
        <xdr:cNvSpPr>
          <a:spLocks noChangeShapeType="1"/>
        </xdr:cNvSpPr>
      </xdr:nvSpPr>
      <xdr:spPr bwMode="auto">
        <a:xfrm>
          <a:off x="10210800" y="1866900"/>
          <a:ext cx="0" cy="12363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57150</xdr:rowOff>
    </xdr:from>
    <xdr:to>
      <xdr:col>11</xdr:col>
      <xdr:colOff>0</xdr:colOff>
      <xdr:row>68</xdr:row>
      <xdr:rowOff>0</xdr:rowOff>
    </xdr:to>
    <xdr:sp macro="" textlink="">
      <xdr:nvSpPr>
        <xdr:cNvPr id="2051" name="Line 3">
          <a:extLst>
            <a:ext uri="{FF2B5EF4-FFF2-40B4-BE49-F238E27FC236}">
              <a16:creationId xmlns:a16="http://schemas.microsoft.com/office/drawing/2014/main" id="{4568083E-F041-6D94-CC03-5FAC53A12B93}"/>
            </a:ext>
          </a:extLst>
        </xdr:cNvPr>
        <xdr:cNvSpPr>
          <a:spLocks noChangeShapeType="1"/>
        </xdr:cNvSpPr>
      </xdr:nvSpPr>
      <xdr:spPr bwMode="auto">
        <a:xfrm flipV="1">
          <a:off x="10210800" y="1924050"/>
          <a:ext cx="0" cy="12334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0</xdr:colOff>
      <xdr:row>117</xdr:row>
      <xdr:rowOff>190500</xdr:rowOff>
    </xdr:to>
    <xdr:sp macro="" textlink="">
      <xdr:nvSpPr>
        <xdr:cNvPr id="2052" name="Line 4">
          <a:extLst>
            <a:ext uri="{FF2B5EF4-FFF2-40B4-BE49-F238E27FC236}">
              <a16:creationId xmlns:a16="http://schemas.microsoft.com/office/drawing/2014/main" id="{A1D7D247-40AB-9E17-21D8-A81786AF06E5}"/>
            </a:ext>
          </a:extLst>
        </xdr:cNvPr>
        <xdr:cNvSpPr>
          <a:spLocks noChangeShapeType="1"/>
        </xdr:cNvSpPr>
      </xdr:nvSpPr>
      <xdr:spPr bwMode="auto">
        <a:xfrm flipH="1" flipV="1">
          <a:off x="10210800" y="15782925"/>
          <a:ext cx="0" cy="929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74</xdr:row>
      <xdr:rowOff>19050</xdr:rowOff>
    </xdr:from>
    <xdr:to>
      <xdr:col>11</xdr:col>
      <xdr:colOff>0</xdr:colOff>
      <xdr:row>118</xdr:row>
      <xdr:rowOff>0</xdr:rowOff>
    </xdr:to>
    <xdr:sp macro="" textlink="">
      <xdr:nvSpPr>
        <xdr:cNvPr id="2053" name="Line 5">
          <a:extLst>
            <a:ext uri="{FF2B5EF4-FFF2-40B4-BE49-F238E27FC236}">
              <a16:creationId xmlns:a16="http://schemas.microsoft.com/office/drawing/2014/main" id="{0A706871-06E2-CB9B-5680-255251F7D448}"/>
            </a:ext>
          </a:extLst>
        </xdr:cNvPr>
        <xdr:cNvSpPr>
          <a:spLocks noChangeShapeType="1"/>
        </xdr:cNvSpPr>
      </xdr:nvSpPr>
      <xdr:spPr bwMode="auto">
        <a:xfrm flipH="1">
          <a:off x="10210800" y="15801975"/>
          <a:ext cx="0" cy="9315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192</xdr:row>
      <xdr:rowOff>0</xdr:rowOff>
    </xdr:from>
    <xdr:to>
      <xdr:col>11</xdr:col>
      <xdr:colOff>0</xdr:colOff>
      <xdr:row>244</xdr:row>
      <xdr:rowOff>209550</xdr:rowOff>
    </xdr:to>
    <xdr:sp macro="" textlink="">
      <xdr:nvSpPr>
        <xdr:cNvPr id="2055" name="Line 7">
          <a:extLst>
            <a:ext uri="{FF2B5EF4-FFF2-40B4-BE49-F238E27FC236}">
              <a16:creationId xmlns:a16="http://schemas.microsoft.com/office/drawing/2014/main" id="{3417BFCE-682D-E972-70A7-3F3CC65BC493}"/>
            </a:ext>
          </a:extLst>
        </xdr:cNvPr>
        <xdr:cNvSpPr>
          <a:spLocks noChangeShapeType="1"/>
        </xdr:cNvSpPr>
      </xdr:nvSpPr>
      <xdr:spPr bwMode="auto">
        <a:xfrm flipV="1">
          <a:off x="10210800" y="42148125"/>
          <a:ext cx="0" cy="1274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192</xdr:row>
      <xdr:rowOff>19050</xdr:rowOff>
    </xdr:from>
    <xdr:to>
      <xdr:col>11</xdr:col>
      <xdr:colOff>0</xdr:colOff>
      <xdr:row>245</xdr:row>
      <xdr:rowOff>0</xdr:rowOff>
    </xdr:to>
    <xdr:sp macro="" textlink="">
      <xdr:nvSpPr>
        <xdr:cNvPr id="2056" name="Line 8">
          <a:extLst>
            <a:ext uri="{FF2B5EF4-FFF2-40B4-BE49-F238E27FC236}">
              <a16:creationId xmlns:a16="http://schemas.microsoft.com/office/drawing/2014/main" id="{CA169C16-4AA8-EE8E-8A9D-7B38AA6239BE}"/>
            </a:ext>
          </a:extLst>
        </xdr:cNvPr>
        <xdr:cNvSpPr>
          <a:spLocks noChangeShapeType="1"/>
        </xdr:cNvSpPr>
      </xdr:nvSpPr>
      <xdr:spPr bwMode="auto">
        <a:xfrm>
          <a:off x="10210800" y="42167175"/>
          <a:ext cx="0" cy="1274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125</xdr:row>
      <xdr:rowOff>19050</xdr:rowOff>
    </xdr:from>
    <xdr:to>
      <xdr:col>11</xdr:col>
      <xdr:colOff>0</xdr:colOff>
      <xdr:row>184</xdr:row>
      <xdr:rowOff>0</xdr:rowOff>
    </xdr:to>
    <xdr:sp macro="" textlink="">
      <xdr:nvSpPr>
        <xdr:cNvPr id="2057" name="Line 9">
          <a:extLst>
            <a:ext uri="{FF2B5EF4-FFF2-40B4-BE49-F238E27FC236}">
              <a16:creationId xmlns:a16="http://schemas.microsoft.com/office/drawing/2014/main" id="{1C021C5A-DF25-01C6-D337-5BF03BC091B2}"/>
            </a:ext>
          </a:extLst>
        </xdr:cNvPr>
        <xdr:cNvSpPr>
          <a:spLocks noChangeShapeType="1"/>
        </xdr:cNvSpPr>
      </xdr:nvSpPr>
      <xdr:spPr bwMode="auto">
        <a:xfrm>
          <a:off x="10210800" y="26765250"/>
          <a:ext cx="0" cy="13449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0</xdr:colOff>
      <xdr:row>183</xdr:row>
      <xdr:rowOff>190500</xdr:rowOff>
    </xdr:to>
    <xdr:sp macro="" textlink="">
      <xdr:nvSpPr>
        <xdr:cNvPr id="2058" name="Line 10">
          <a:extLst>
            <a:ext uri="{FF2B5EF4-FFF2-40B4-BE49-F238E27FC236}">
              <a16:creationId xmlns:a16="http://schemas.microsoft.com/office/drawing/2014/main" id="{CAE2A966-59D7-16C2-7EFE-725CFDC4A18A}"/>
            </a:ext>
          </a:extLst>
        </xdr:cNvPr>
        <xdr:cNvSpPr>
          <a:spLocks noChangeShapeType="1"/>
        </xdr:cNvSpPr>
      </xdr:nvSpPr>
      <xdr:spPr bwMode="auto">
        <a:xfrm flipV="1">
          <a:off x="10210800" y="26746200"/>
          <a:ext cx="0" cy="1345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251</xdr:row>
      <xdr:rowOff>38100</xdr:rowOff>
    </xdr:from>
    <xdr:to>
      <xdr:col>11</xdr:col>
      <xdr:colOff>0</xdr:colOff>
      <xdr:row>296</xdr:row>
      <xdr:rowOff>0</xdr:rowOff>
    </xdr:to>
    <xdr:sp macro="" textlink="">
      <xdr:nvSpPr>
        <xdr:cNvPr id="2059" name="Line 11">
          <a:extLst>
            <a:ext uri="{FF2B5EF4-FFF2-40B4-BE49-F238E27FC236}">
              <a16:creationId xmlns:a16="http://schemas.microsoft.com/office/drawing/2014/main" id="{A83545E6-736D-E96C-B9E0-4C8B8E230D11}"/>
            </a:ext>
          </a:extLst>
        </xdr:cNvPr>
        <xdr:cNvSpPr>
          <a:spLocks noChangeShapeType="1"/>
        </xdr:cNvSpPr>
      </xdr:nvSpPr>
      <xdr:spPr bwMode="auto">
        <a:xfrm>
          <a:off x="10210800" y="56435625"/>
          <a:ext cx="0" cy="10515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251</xdr:row>
      <xdr:rowOff>0</xdr:rowOff>
    </xdr:from>
    <xdr:to>
      <xdr:col>11</xdr:col>
      <xdr:colOff>0</xdr:colOff>
      <xdr:row>295</xdr:row>
      <xdr:rowOff>247650</xdr:rowOff>
    </xdr:to>
    <xdr:sp macro="" textlink="">
      <xdr:nvSpPr>
        <xdr:cNvPr id="2060" name="Line 12">
          <a:extLst>
            <a:ext uri="{FF2B5EF4-FFF2-40B4-BE49-F238E27FC236}">
              <a16:creationId xmlns:a16="http://schemas.microsoft.com/office/drawing/2014/main" id="{71B4212C-2900-A255-FB09-A79ABF7FB51E}"/>
            </a:ext>
          </a:extLst>
        </xdr:cNvPr>
        <xdr:cNvSpPr>
          <a:spLocks noChangeShapeType="1"/>
        </xdr:cNvSpPr>
      </xdr:nvSpPr>
      <xdr:spPr bwMode="auto">
        <a:xfrm flipV="1">
          <a:off x="10210800" y="56397525"/>
          <a:ext cx="0" cy="10534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341</xdr:row>
      <xdr:rowOff>19050</xdr:rowOff>
    </xdr:from>
    <xdr:to>
      <xdr:col>11</xdr:col>
      <xdr:colOff>0</xdr:colOff>
      <xdr:row>372</xdr:row>
      <xdr:rowOff>209550</xdr:rowOff>
    </xdr:to>
    <xdr:sp macro="" textlink="">
      <xdr:nvSpPr>
        <xdr:cNvPr id="2062" name="Line 14">
          <a:extLst>
            <a:ext uri="{FF2B5EF4-FFF2-40B4-BE49-F238E27FC236}">
              <a16:creationId xmlns:a16="http://schemas.microsoft.com/office/drawing/2014/main" id="{D6B562F3-C0F5-E5EE-C5FF-F8A9441BB885}"/>
            </a:ext>
          </a:extLst>
        </xdr:cNvPr>
        <xdr:cNvSpPr>
          <a:spLocks noChangeShapeType="1"/>
        </xdr:cNvSpPr>
      </xdr:nvSpPr>
      <xdr:spPr bwMode="auto">
        <a:xfrm flipV="1">
          <a:off x="10210800" y="77200125"/>
          <a:ext cx="0" cy="1151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302</xdr:row>
      <xdr:rowOff>19050</xdr:rowOff>
    </xdr:from>
    <xdr:to>
      <xdr:col>11</xdr:col>
      <xdr:colOff>0</xdr:colOff>
      <xdr:row>334</xdr:row>
      <xdr:rowOff>209550</xdr:rowOff>
    </xdr:to>
    <xdr:sp macro="" textlink="">
      <xdr:nvSpPr>
        <xdr:cNvPr id="2063" name="Line 15">
          <a:extLst>
            <a:ext uri="{FF2B5EF4-FFF2-40B4-BE49-F238E27FC236}">
              <a16:creationId xmlns:a16="http://schemas.microsoft.com/office/drawing/2014/main" id="{211D74D8-0A18-79B1-A4AA-1425BD169055}"/>
            </a:ext>
          </a:extLst>
        </xdr:cNvPr>
        <xdr:cNvSpPr>
          <a:spLocks noChangeShapeType="1"/>
        </xdr:cNvSpPr>
      </xdr:nvSpPr>
      <xdr:spPr bwMode="auto">
        <a:xfrm flipH="1" flipV="1">
          <a:off x="10210800" y="68503800"/>
          <a:ext cx="0" cy="7153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302</xdr:row>
      <xdr:rowOff>19050</xdr:rowOff>
    </xdr:from>
    <xdr:to>
      <xdr:col>11</xdr:col>
      <xdr:colOff>0</xdr:colOff>
      <xdr:row>335</xdr:row>
      <xdr:rowOff>0</xdr:rowOff>
    </xdr:to>
    <xdr:sp macro="" textlink="">
      <xdr:nvSpPr>
        <xdr:cNvPr id="2064" name="Line 16">
          <a:extLst>
            <a:ext uri="{FF2B5EF4-FFF2-40B4-BE49-F238E27FC236}">
              <a16:creationId xmlns:a16="http://schemas.microsoft.com/office/drawing/2014/main" id="{0F0B8716-0344-5843-C0F6-D2FF2F9F896D}"/>
            </a:ext>
          </a:extLst>
        </xdr:cNvPr>
        <xdr:cNvSpPr>
          <a:spLocks noChangeShapeType="1"/>
        </xdr:cNvSpPr>
      </xdr:nvSpPr>
      <xdr:spPr bwMode="auto">
        <a:xfrm flipH="1">
          <a:off x="10210800" y="68503800"/>
          <a:ext cx="0" cy="7172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378</xdr:row>
      <xdr:rowOff>190500</xdr:rowOff>
    </xdr:from>
    <xdr:to>
      <xdr:col>11</xdr:col>
      <xdr:colOff>0</xdr:colOff>
      <xdr:row>419</xdr:row>
      <xdr:rowOff>171450</xdr:rowOff>
    </xdr:to>
    <xdr:sp macro="" textlink="">
      <xdr:nvSpPr>
        <xdr:cNvPr id="2065" name="Line 17">
          <a:extLst>
            <a:ext uri="{FF2B5EF4-FFF2-40B4-BE49-F238E27FC236}">
              <a16:creationId xmlns:a16="http://schemas.microsoft.com/office/drawing/2014/main" id="{3FC43D0C-4716-D1A1-7C24-0E25DC31D67B}"/>
            </a:ext>
          </a:extLst>
        </xdr:cNvPr>
        <xdr:cNvSpPr>
          <a:spLocks noChangeShapeType="1"/>
        </xdr:cNvSpPr>
      </xdr:nvSpPr>
      <xdr:spPr bwMode="auto">
        <a:xfrm flipH="1">
          <a:off x="10210800" y="90192225"/>
          <a:ext cx="0" cy="1172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379</xdr:row>
      <xdr:rowOff>19050</xdr:rowOff>
    </xdr:from>
    <xdr:to>
      <xdr:col>11</xdr:col>
      <xdr:colOff>0</xdr:colOff>
      <xdr:row>420</xdr:row>
      <xdr:rowOff>0</xdr:rowOff>
    </xdr:to>
    <xdr:sp macro="" textlink="">
      <xdr:nvSpPr>
        <xdr:cNvPr id="2066" name="Line 18">
          <a:extLst>
            <a:ext uri="{FF2B5EF4-FFF2-40B4-BE49-F238E27FC236}">
              <a16:creationId xmlns:a16="http://schemas.microsoft.com/office/drawing/2014/main" id="{978E7207-8C2A-0D97-9F1E-D18257089D3F}"/>
            </a:ext>
          </a:extLst>
        </xdr:cNvPr>
        <xdr:cNvSpPr>
          <a:spLocks noChangeShapeType="1"/>
        </xdr:cNvSpPr>
      </xdr:nvSpPr>
      <xdr:spPr bwMode="auto">
        <a:xfrm>
          <a:off x="10210800" y="90220800"/>
          <a:ext cx="0" cy="1171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hase%202%20for%20unbundling%20V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ase 2 total estimated"/>
      <sheetName val="Summary"/>
    </sheetNames>
    <sheetDataSet>
      <sheetData sheetId="0"/>
      <sheetData sheetId="1">
        <row r="16">
          <cell r="D16">
            <v>55230073</v>
          </cell>
        </row>
        <row r="19">
          <cell r="F19">
            <v>15669177.584754415</v>
          </cell>
          <cell r="G19">
            <v>3177430.7309383187</v>
          </cell>
          <cell r="H19">
            <v>6771832.3030465068</v>
          </cell>
          <cell r="I19">
            <v>18228766.132417869</v>
          </cell>
          <cell r="J19">
            <v>8395794.1947587132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29FDD-26A9-489B-B842-988E886C0C08}">
  <sheetPr>
    <pageSetUpPr fitToPage="1"/>
  </sheetPr>
  <dimension ref="A1:G45"/>
  <sheetViews>
    <sheetView tabSelected="1" zoomScale="75" workbookViewId="0">
      <selection activeCell="C14" sqref="C14"/>
    </sheetView>
  </sheetViews>
  <sheetFormatPr defaultRowHeight="12.75" x14ac:dyDescent="0.2"/>
  <cols>
    <col min="1" max="1" width="44.5" style="69" customWidth="1"/>
    <col min="2" max="2" width="18.33203125" style="69" customWidth="1"/>
    <col min="3" max="3" width="16.83203125" style="69" customWidth="1"/>
    <col min="4" max="4" width="18.33203125" style="69" customWidth="1"/>
    <col min="5" max="5" width="16.83203125" style="69" customWidth="1"/>
    <col min="6" max="6" width="17.83203125" style="69" customWidth="1"/>
    <col min="7" max="7" width="23.5" style="69" customWidth="1"/>
    <col min="8" max="16384" width="9.33203125" style="69"/>
  </cols>
  <sheetData>
    <row r="1" spans="1:7" ht="26.25" x14ac:dyDescent="0.4">
      <c r="A1" s="408" t="s">
        <v>218</v>
      </c>
      <c r="B1" s="315"/>
      <c r="C1" s="315"/>
      <c r="D1" s="316"/>
    </row>
    <row r="2" spans="1:7" ht="18.75" customHeight="1" x14ac:dyDescent="0.35">
      <c r="A2" s="317" t="s">
        <v>257</v>
      </c>
      <c r="B2" s="315"/>
      <c r="C2" s="315"/>
      <c r="D2" s="316"/>
    </row>
    <row r="3" spans="1:7" ht="21" customHeight="1" x14ac:dyDescent="0.35">
      <c r="A3" s="317" t="s">
        <v>258</v>
      </c>
      <c r="B3" s="315"/>
      <c r="C3" s="315"/>
      <c r="D3" s="316"/>
    </row>
    <row r="4" spans="1:7" x14ac:dyDescent="0.2">
      <c r="D4" s="409"/>
      <c r="E4" s="409"/>
      <c r="F4" s="409"/>
    </row>
    <row r="5" spans="1:7" s="377" customFormat="1" ht="51" x14ac:dyDescent="0.2">
      <c r="A5" s="389" t="s">
        <v>228</v>
      </c>
      <c r="B5" s="378"/>
      <c r="C5" s="378"/>
      <c r="D5" s="388" t="s">
        <v>264</v>
      </c>
      <c r="E5" s="388" t="s">
        <v>266</v>
      </c>
      <c r="F5" s="388" t="s">
        <v>265</v>
      </c>
    </row>
    <row r="6" spans="1:7" x14ac:dyDescent="0.2">
      <c r="A6" s="69" t="s">
        <v>196</v>
      </c>
      <c r="D6" s="302">
        <v>22800</v>
      </c>
      <c r="E6" s="302">
        <f>+D6/2</f>
        <v>11400</v>
      </c>
      <c r="F6" s="302">
        <f>+D6</f>
        <v>22800</v>
      </c>
      <c r="G6" s="69" t="s">
        <v>267</v>
      </c>
    </row>
    <row r="7" spans="1:7" x14ac:dyDescent="0.2">
      <c r="A7" s="69" t="s">
        <v>197</v>
      </c>
      <c r="D7" s="302">
        <v>2500</v>
      </c>
      <c r="E7" s="341">
        <v>0</v>
      </c>
      <c r="F7" s="302">
        <v>0</v>
      </c>
      <c r="G7" s="69" t="s">
        <v>268</v>
      </c>
    </row>
    <row r="8" spans="1:7" x14ac:dyDescent="0.2">
      <c r="A8" s="69" t="s">
        <v>198</v>
      </c>
      <c r="D8" s="342">
        <f>+E8</f>
        <v>192600</v>
      </c>
      <c r="E8" s="302">
        <v>192600</v>
      </c>
      <c r="F8" s="342">
        <f>+E8</f>
        <v>192600</v>
      </c>
    </row>
    <row r="9" spans="1:7" x14ac:dyDescent="0.2">
      <c r="A9" s="69" t="s">
        <v>199</v>
      </c>
      <c r="D9" s="302">
        <v>3500</v>
      </c>
      <c r="E9" s="302">
        <v>0</v>
      </c>
      <c r="F9" s="302">
        <v>0</v>
      </c>
      <c r="G9" s="69" t="s">
        <v>268</v>
      </c>
    </row>
    <row r="10" spans="1:7" ht="15" x14ac:dyDescent="0.35">
      <c r="A10" s="69" t="s">
        <v>200</v>
      </c>
      <c r="D10" s="303">
        <v>10000</v>
      </c>
      <c r="E10" s="303">
        <v>0</v>
      </c>
      <c r="F10" s="303">
        <v>0</v>
      </c>
      <c r="G10" s="69" t="s">
        <v>268</v>
      </c>
    </row>
    <row r="11" spans="1:7" x14ac:dyDescent="0.2">
      <c r="A11" s="69" t="s">
        <v>201</v>
      </c>
      <c r="D11" s="302">
        <f>SUM(D6:D10)</f>
        <v>231400</v>
      </c>
      <c r="E11" s="302">
        <f>SUM(E6:E10)</f>
        <v>204000</v>
      </c>
      <c r="F11" s="302">
        <f>SUM(F6:F10)</f>
        <v>215400</v>
      </c>
    </row>
    <row r="12" spans="1:7" ht="5.25" customHeight="1" x14ac:dyDescent="0.2">
      <c r="D12" s="302"/>
      <c r="E12" s="302"/>
      <c r="F12" s="302"/>
    </row>
    <row r="13" spans="1:7" x14ac:dyDescent="0.2">
      <c r="A13" s="69" t="s">
        <v>202</v>
      </c>
      <c r="E13" s="343">
        <v>158734</v>
      </c>
    </row>
    <row r="14" spans="1:7" x14ac:dyDescent="0.2">
      <c r="A14" s="69" t="s">
        <v>269</v>
      </c>
      <c r="E14" s="344">
        <v>0.77810000000000001</v>
      </c>
    </row>
    <row r="15" spans="1:7" ht="13.5" customHeight="1" x14ac:dyDescent="0.2">
      <c r="A15" s="69" t="s">
        <v>270</v>
      </c>
      <c r="E15" s="344">
        <f>+E14*0.5</f>
        <v>0.38905000000000001</v>
      </c>
    </row>
    <row r="16" spans="1:7" x14ac:dyDescent="0.2">
      <c r="C16" s="301"/>
    </row>
    <row r="17" spans="1:7" ht="13.5" thickBot="1" x14ac:dyDescent="0.25">
      <c r="A17" s="301" t="s">
        <v>203</v>
      </c>
      <c r="C17" s="301"/>
    </row>
    <row r="18" spans="1:7" s="382" customFormat="1" ht="38.25" customHeight="1" thickTop="1" x14ac:dyDescent="0.2">
      <c r="A18" s="379" t="s">
        <v>204</v>
      </c>
      <c r="B18" s="340" t="s">
        <v>254</v>
      </c>
      <c r="C18" s="380" t="s">
        <v>8</v>
      </c>
      <c r="D18" s="380" t="s">
        <v>9</v>
      </c>
      <c r="E18" s="340" t="s">
        <v>205</v>
      </c>
      <c r="F18" s="340" t="s">
        <v>215</v>
      </c>
      <c r="G18" s="381" t="s">
        <v>31</v>
      </c>
    </row>
    <row r="19" spans="1:7" ht="3.75" customHeight="1" x14ac:dyDescent="0.2">
      <c r="A19" s="345"/>
      <c r="B19" s="346"/>
      <c r="C19" s="346"/>
      <c r="D19" s="346"/>
      <c r="E19" s="346"/>
      <c r="F19" s="346"/>
      <c r="G19" s="347"/>
    </row>
    <row r="20" spans="1:7" x14ac:dyDescent="0.2">
      <c r="A20" s="318" t="s">
        <v>206</v>
      </c>
      <c r="B20" s="414">
        <f>+CostMatrix!N419</f>
        <v>0.35564202756345148</v>
      </c>
      <c r="C20" s="414">
        <f>+CostMatrix!O419</f>
        <v>0.1080455092712017</v>
      </c>
      <c r="D20" s="414">
        <f>+CostMatrix!P419</f>
        <v>6.8130425042288126E-2</v>
      </c>
      <c r="E20" s="414">
        <f>+CostMatrix!Q419</f>
        <v>0.22739815596674487</v>
      </c>
      <c r="F20" s="414">
        <f>+CostMatrix!R419</f>
        <v>0.24078124363702846</v>
      </c>
      <c r="G20" s="400">
        <f>SUM(B20:F20)</f>
        <v>0.99999736148071461</v>
      </c>
    </row>
    <row r="21" spans="1:7" x14ac:dyDescent="0.2">
      <c r="A21" s="345" t="s">
        <v>207</v>
      </c>
      <c r="B21" s="348">
        <f>+ROUND($E$13*B20,0)</f>
        <v>56452</v>
      </c>
      <c r="C21" s="348">
        <f>+ROUND($E$13*C20,0)</f>
        <v>17150</v>
      </c>
      <c r="D21" s="348">
        <f>+ROUND($E$13*D20,0)</f>
        <v>10815</v>
      </c>
      <c r="E21" s="348">
        <f>+ROUND($E$13*E20,0)</f>
        <v>36096</v>
      </c>
      <c r="F21" s="348">
        <f>+ROUND($E$13*F20,0)</f>
        <v>38220</v>
      </c>
      <c r="G21" s="349">
        <f>SUM(B21:F21)</f>
        <v>158733</v>
      </c>
    </row>
    <row r="22" spans="1:7" ht="14.25" x14ac:dyDescent="0.2">
      <c r="A22" s="345" t="s">
        <v>208</v>
      </c>
      <c r="B22" s="350">
        <f>+F11</f>
        <v>215400</v>
      </c>
      <c r="C22" s="350">
        <f>+F8+F6+F9+F10+F7</f>
        <v>215400</v>
      </c>
      <c r="D22" s="350">
        <f>+E8</f>
        <v>192600</v>
      </c>
      <c r="E22" s="350">
        <f>+E8</f>
        <v>192600</v>
      </c>
      <c r="F22" s="350">
        <f>+F8+F6*0.25</f>
        <v>198300</v>
      </c>
      <c r="G22" s="347"/>
    </row>
    <row r="23" spans="1:7" ht="13.5" thickBot="1" x14ac:dyDescent="0.25">
      <c r="A23" s="351" t="s">
        <v>209</v>
      </c>
      <c r="B23" s="352">
        <f>+B21/B22</f>
        <v>0.26207985143918294</v>
      </c>
      <c r="C23" s="352">
        <f>+C21/C22</f>
        <v>7.9619312906220985E-2</v>
      </c>
      <c r="D23" s="352">
        <f>+D21/D22</f>
        <v>5.615264797507788E-2</v>
      </c>
      <c r="E23" s="352">
        <f>+E21/E22</f>
        <v>0.18741433021806853</v>
      </c>
      <c r="F23" s="352">
        <f>+F21/F22</f>
        <v>0.19273827534039334</v>
      </c>
      <c r="G23" s="353">
        <f>SUM(B23:F23)</f>
        <v>0.7780044178789437</v>
      </c>
    </row>
    <row r="24" spans="1:7" ht="13.5" thickTop="1" x14ac:dyDescent="0.2">
      <c r="A24" s="319" t="s">
        <v>210</v>
      </c>
      <c r="B24" s="354"/>
      <c r="C24" s="354"/>
      <c r="D24" s="354"/>
      <c r="E24" s="354"/>
      <c r="F24" s="354"/>
      <c r="G24" s="354"/>
    </row>
    <row r="25" spans="1:7" x14ac:dyDescent="0.2">
      <c r="B25" s="354"/>
      <c r="C25" s="354"/>
      <c r="D25" s="354"/>
      <c r="E25" s="354"/>
      <c r="F25" s="354"/>
      <c r="G25" s="354"/>
    </row>
    <row r="26" spans="1:7" ht="13.5" thickBot="1" x14ac:dyDescent="0.25">
      <c r="A26" s="301" t="s">
        <v>227</v>
      </c>
      <c r="C26" s="301"/>
    </row>
    <row r="27" spans="1:7" s="377" customFormat="1" ht="40.5" thickTop="1" x14ac:dyDescent="0.2">
      <c r="A27" s="383"/>
      <c r="B27" s="384" t="s">
        <v>261</v>
      </c>
      <c r="C27" s="385" t="s">
        <v>262</v>
      </c>
      <c r="D27" s="384" t="s">
        <v>217</v>
      </c>
      <c r="E27" s="386" t="s">
        <v>216</v>
      </c>
      <c r="F27" s="387" t="s">
        <v>271</v>
      </c>
    </row>
    <row r="28" spans="1:7" x14ac:dyDescent="0.2">
      <c r="A28" s="355" t="s">
        <v>211</v>
      </c>
      <c r="B28" s="356">
        <f>+E8</f>
        <v>192600</v>
      </c>
      <c r="C28" s="357">
        <f>+F6</f>
        <v>22800</v>
      </c>
      <c r="D28" s="356"/>
      <c r="E28" s="358"/>
      <c r="F28" s="359">
        <f>SUM(B28:E28)</f>
        <v>215400</v>
      </c>
    </row>
    <row r="29" spans="1:7" x14ac:dyDescent="0.2">
      <c r="A29" s="355" t="s">
        <v>220</v>
      </c>
      <c r="B29" s="320">
        <f>+E14</f>
        <v>0.77810000000000001</v>
      </c>
      <c r="C29" s="407">
        <f>+E14/2</f>
        <v>0.38905000000000001</v>
      </c>
      <c r="D29" s="360"/>
      <c r="E29" s="322"/>
      <c r="F29" s="359"/>
    </row>
    <row r="30" spans="1:7" ht="6" customHeight="1" x14ac:dyDescent="0.2">
      <c r="A30" s="355"/>
      <c r="B30" s="320"/>
      <c r="C30" s="321"/>
      <c r="D30" s="360"/>
      <c r="E30" s="322"/>
      <c r="F30" s="359"/>
    </row>
    <row r="31" spans="1:7" x14ac:dyDescent="0.2">
      <c r="A31" s="323" t="s">
        <v>219</v>
      </c>
      <c r="B31" s="361"/>
      <c r="C31" s="238"/>
      <c r="D31" s="361"/>
      <c r="E31" s="362"/>
      <c r="F31" s="363"/>
    </row>
    <row r="32" spans="1:7" x14ac:dyDescent="0.2">
      <c r="A32" s="355" t="s">
        <v>221</v>
      </c>
      <c r="B32" s="364">
        <f>+B23</f>
        <v>0.26207985143918294</v>
      </c>
      <c r="C32" s="354">
        <f>+B23</f>
        <v>0.26207985143918294</v>
      </c>
      <c r="D32" s="365"/>
      <c r="E32" s="366"/>
      <c r="F32" s="363"/>
    </row>
    <row r="33" spans="1:6" x14ac:dyDescent="0.2">
      <c r="A33" s="355" t="s">
        <v>222</v>
      </c>
      <c r="B33" s="364">
        <f>+C23</f>
        <v>7.9619312906220985E-2</v>
      </c>
      <c r="C33" s="354">
        <f>+C23</f>
        <v>7.9619312906220985E-2</v>
      </c>
      <c r="D33" s="365"/>
      <c r="E33" s="366"/>
      <c r="F33" s="363"/>
    </row>
    <row r="34" spans="1:6" x14ac:dyDescent="0.2">
      <c r="A34" s="355" t="s">
        <v>223</v>
      </c>
      <c r="B34" s="364">
        <f>+D23</f>
        <v>5.615264797507788E-2</v>
      </c>
      <c r="C34" s="354"/>
      <c r="D34" s="361"/>
      <c r="E34" s="366"/>
      <c r="F34" s="363"/>
    </row>
    <row r="35" spans="1:6" x14ac:dyDescent="0.2">
      <c r="A35" s="355" t="s">
        <v>224</v>
      </c>
      <c r="B35" s="364">
        <f>+E23</f>
        <v>0.18741433021806853</v>
      </c>
      <c r="C35" s="354"/>
      <c r="D35" s="361"/>
      <c r="E35" s="366"/>
      <c r="F35" s="363"/>
    </row>
    <row r="36" spans="1:6" ht="15" x14ac:dyDescent="0.35">
      <c r="A36" s="355" t="s">
        <v>225</v>
      </c>
      <c r="B36" s="324">
        <f>+F23</f>
        <v>0.19273827534039334</v>
      </c>
      <c r="C36" s="324">
        <f>+F23*0.25</f>
        <v>4.8184568835098335E-2</v>
      </c>
      <c r="D36" s="324"/>
      <c r="E36" s="325"/>
      <c r="F36" s="367"/>
    </row>
    <row r="37" spans="1:6" x14ac:dyDescent="0.2">
      <c r="A37" s="355" t="s">
        <v>226</v>
      </c>
      <c r="B37" s="406">
        <f>SUM(B32:B36)</f>
        <v>0.7780044178789437</v>
      </c>
      <c r="C37" s="406">
        <f>SUM(C32:C36)</f>
        <v>0.38988373318050229</v>
      </c>
      <c r="D37" s="326"/>
      <c r="E37" s="327"/>
      <c r="F37" s="363"/>
    </row>
    <row r="38" spans="1:6" x14ac:dyDescent="0.2">
      <c r="A38" s="355" t="s">
        <v>212</v>
      </c>
      <c r="B38" s="328">
        <f>+(B37-B29)/B29</f>
        <v>-1.2284040747502194E-4</v>
      </c>
      <c r="C38" s="329">
        <f>+(C37-C29)/C29</f>
        <v>2.1429975080382545E-3</v>
      </c>
      <c r="D38" s="330"/>
      <c r="E38" s="331"/>
      <c r="F38" s="363"/>
    </row>
    <row r="39" spans="1:6" x14ac:dyDescent="0.2">
      <c r="A39" s="355" t="s">
        <v>263</v>
      </c>
      <c r="B39" s="332"/>
      <c r="C39" s="415">
        <f>1-C37/B37</f>
        <v>0.49886694185691938</v>
      </c>
      <c r="D39" s="330"/>
      <c r="E39" s="331"/>
      <c r="F39" s="363"/>
    </row>
    <row r="40" spans="1:6" x14ac:dyDescent="0.2">
      <c r="A40" s="355" t="s">
        <v>255</v>
      </c>
      <c r="B40" s="368">
        <f>+B37*B28</f>
        <v>149843.65088348454</v>
      </c>
      <c r="C40" s="369">
        <f>+C37*C28</f>
        <v>8889.3491165154519</v>
      </c>
      <c r="D40" s="368"/>
      <c r="E40" s="370"/>
      <c r="F40" s="371">
        <f>SUM(B40:E40)</f>
        <v>158733</v>
      </c>
    </row>
    <row r="41" spans="1:6" x14ac:dyDescent="0.2">
      <c r="A41" s="355" t="s">
        <v>229</v>
      </c>
      <c r="B41" s="333">
        <f>+E8*E14</f>
        <v>149862.06</v>
      </c>
      <c r="C41" s="334">
        <f>+E6*E14</f>
        <v>8870.34</v>
      </c>
      <c r="D41" s="333"/>
      <c r="E41" s="335"/>
      <c r="F41" s="371">
        <f>SUM(B41:E41)</f>
        <v>158732.4</v>
      </c>
    </row>
    <row r="42" spans="1:6" x14ac:dyDescent="0.2">
      <c r="A42" s="355" t="s">
        <v>213</v>
      </c>
      <c r="B42" s="372">
        <f>+B40-B41</f>
        <v>-18.409116515453206</v>
      </c>
      <c r="C42" s="373">
        <f>+C40-C41</f>
        <v>19.009116515451751</v>
      </c>
      <c r="D42" s="372"/>
      <c r="E42" s="374"/>
      <c r="F42" s="371">
        <f>ROUND(SUM(B42:E42),-1)</f>
        <v>0</v>
      </c>
    </row>
    <row r="43" spans="1:6" ht="6" customHeight="1" thickBot="1" x14ac:dyDescent="0.25">
      <c r="A43" s="375"/>
      <c r="B43" s="336"/>
      <c r="C43" s="337"/>
      <c r="D43" s="376"/>
      <c r="E43" s="338"/>
      <c r="F43" s="339"/>
    </row>
    <row r="44" spans="1:6" ht="13.5" thickTop="1" x14ac:dyDescent="0.2">
      <c r="A44" s="319" t="s">
        <v>214</v>
      </c>
    </row>
    <row r="45" spans="1:6" x14ac:dyDescent="0.2">
      <c r="A45" s="319" t="s">
        <v>256</v>
      </c>
    </row>
  </sheetData>
  <pageMargins left="0.4" right="0.48" top="0.42" bottom="0.39" header="0.23" footer="0.28000000000000003"/>
  <pageSetup scale="80" orientation="landscape" r:id="rId1"/>
  <headerFooter alignWithMargins="0">
    <oddHeader>&amp;LPage 67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E1A01-33CD-41A9-9E3B-2DBDCB42E0AB}">
  <dimension ref="A1:IT428"/>
  <sheetViews>
    <sheetView view="pageBreakPreview" zoomScale="50" zoomScaleNormal="50" workbookViewId="0">
      <selection activeCell="R336" sqref="R336"/>
    </sheetView>
  </sheetViews>
  <sheetFormatPr defaultColWidth="14.5" defaultRowHeight="15" x14ac:dyDescent="0.2"/>
  <cols>
    <col min="1" max="1" width="9" style="4" customWidth="1"/>
    <col min="2" max="2" width="11" style="269" customWidth="1"/>
    <col min="3" max="3" width="31.6640625" style="4" customWidth="1"/>
    <col min="4" max="4" width="9.5" style="4" customWidth="1"/>
    <col min="5" max="5" width="20.1640625" style="4" customWidth="1"/>
    <col min="6" max="6" width="16.33203125" style="4" customWidth="1"/>
    <col min="7" max="7" width="15.83203125" style="4" customWidth="1"/>
    <col min="8" max="8" width="16" style="4" customWidth="1"/>
    <col min="9" max="9" width="16.6640625" style="4" customWidth="1"/>
    <col min="10" max="10" width="15.1640625" style="4" customWidth="1"/>
    <col min="11" max="11" width="17.33203125" style="4" customWidth="1"/>
    <col min="12" max="12" width="23" style="269" customWidth="1"/>
    <col min="13" max="13" width="28.83203125" style="269" customWidth="1"/>
    <col min="14" max="14" width="18.6640625" style="4" customWidth="1"/>
    <col min="15" max="15" width="18.1640625" style="4" customWidth="1"/>
    <col min="16" max="17" width="18" style="4" customWidth="1"/>
    <col min="18" max="18" width="19.33203125" style="4" customWidth="1"/>
    <col min="19" max="19" width="2.5" style="4" customWidth="1"/>
    <col min="20" max="20" width="14.5" style="4" customWidth="1"/>
    <col min="21" max="21" width="19.5" style="4" customWidth="1"/>
    <col min="22" max="16384" width="14.5" style="4"/>
  </cols>
  <sheetData>
    <row r="1" spans="1:22" ht="45" x14ac:dyDescent="0.6">
      <c r="A1" s="1" t="s">
        <v>272</v>
      </c>
      <c r="B1" s="2" t="s">
        <v>218</v>
      </c>
      <c r="C1" s="2"/>
      <c r="D1" s="2"/>
      <c r="E1" s="2"/>
      <c r="F1" s="2"/>
      <c r="G1" s="2"/>
      <c r="H1" s="2"/>
      <c r="I1" s="2"/>
      <c r="J1" s="2"/>
      <c r="K1" s="270"/>
      <c r="L1" s="2"/>
      <c r="M1" s="2"/>
      <c r="N1" s="2"/>
      <c r="O1" s="2"/>
      <c r="P1" s="2"/>
      <c r="Q1" s="2"/>
      <c r="R1" s="2"/>
      <c r="S1" s="3"/>
    </row>
    <row r="2" spans="1:22" ht="30" x14ac:dyDescent="0.4">
      <c r="B2" s="2" t="s">
        <v>253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 spans="1:22" ht="30" x14ac:dyDescent="0.4">
      <c r="B3" s="2" t="s">
        <v>106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</row>
    <row r="4" spans="1:22" ht="12.75" customHeight="1" x14ac:dyDescent="0.35">
      <c r="A4" s="1"/>
      <c r="B4" s="7"/>
      <c r="C4" s="3"/>
      <c r="D4" s="3"/>
      <c r="E4" s="3"/>
      <c r="F4" s="3"/>
      <c r="G4" s="3"/>
      <c r="H4" s="3"/>
      <c r="I4" s="3"/>
      <c r="J4" s="3"/>
      <c r="K4" s="3"/>
      <c r="L4" s="6"/>
      <c r="M4" s="5"/>
      <c r="N4" s="3"/>
      <c r="O4" s="3"/>
      <c r="P4" s="3"/>
      <c r="Q4" s="3"/>
      <c r="R4" s="3"/>
      <c r="S4" s="3"/>
    </row>
    <row r="5" spans="1:22" ht="13.5" customHeight="1" x14ac:dyDescent="0.35">
      <c r="A5" s="1"/>
      <c r="B5" s="7"/>
      <c r="C5" s="3"/>
      <c r="D5" s="3"/>
      <c r="E5" s="3"/>
      <c r="F5" s="3"/>
      <c r="G5" s="3"/>
      <c r="H5" s="3"/>
      <c r="I5" s="3"/>
      <c r="J5" s="3"/>
      <c r="K5" s="3"/>
      <c r="L5" s="6"/>
      <c r="M5" s="5"/>
      <c r="N5" s="3"/>
      <c r="O5" s="3"/>
      <c r="P5" s="3"/>
      <c r="Q5" s="3"/>
      <c r="R5" s="3"/>
      <c r="S5" s="3"/>
    </row>
    <row r="6" spans="1:22" ht="15.75" x14ac:dyDescent="0.25">
      <c r="B6" s="8"/>
      <c r="C6" s="9"/>
      <c r="D6" s="9"/>
      <c r="E6" s="9"/>
      <c r="F6" s="9"/>
      <c r="G6" s="10" t="s">
        <v>0</v>
      </c>
      <c r="H6" s="10"/>
      <c r="I6" s="10"/>
      <c r="J6" s="11"/>
      <c r="K6" s="11"/>
      <c r="L6" s="310"/>
      <c r="M6" s="307"/>
      <c r="N6" s="12" t="s">
        <v>183</v>
      </c>
      <c r="O6" s="13"/>
      <c r="P6" s="13"/>
      <c r="Q6" s="14"/>
      <c r="R6" s="13"/>
      <c r="S6" s="15"/>
    </row>
    <row r="7" spans="1:22" ht="15.75" x14ac:dyDescent="0.25">
      <c r="B7" s="16" t="s">
        <v>1</v>
      </c>
      <c r="C7" s="9"/>
      <c r="D7" s="9"/>
      <c r="E7" s="17" t="s">
        <v>176</v>
      </c>
      <c r="F7" s="18" t="s">
        <v>2</v>
      </c>
      <c r="G7" s="18" t="s">
        <v>159</v>
      </c>
      <c r="H7" s="18"/>
      <c r="I7" s="18"/>
      <c r="J7" s="18" t="s">
        <v>3</v>
      </c>
      <c r="K7" s="18" t="s">
        <v>4</v>
      </c>
      <c r="L7" s="311"/>
      <c r="M7" s="308"/>
      <c r="N7" s="18" t="s">
        <v>159</v>
      </c>
      <c r="O7" s="18"/>
      <c r="P7" s="18"/>
      <c r="Q7" s="18" t="s">
        <v>3</v>
      </c>
      <c r="R7" s="18" t="s">
        <v>4</v>
      </c>
      <c r="S7" s="15"/>
    </row>
    <row r="8" spans="1:22" ht="15.75" x14ac:dyDescent="0.25">
      <c r="B8" s="19" t="s">
        <v>5</v>
      </c>
      <c r="C8" s="20" t="s">
        <v>132</v>
      </c>
      <c r="D8" s="21"/>
      <c r="E8" s="22" t="s">
        <v>133</v>
      </c>
      <c r="F8" s="23" t="s">
        <v>7</v>
      </c>
      <c r="G8" s="23" t="s">
        <v>160</v>
      </c>
      <c r="H8" s="23" t="s">
        <v>8</v>
      </c>
      <c r="I8" s="23" t="s">
        <v>9</v>
      </c>
      <c r="J8" s="23" t="s">
        <v>10</v>
      </c>
      <c r="K8" s="23" t="s">
        <v>184</v>
      </c>
      <c r="L8" s="293" t="s">
        <v>107</v>
      </c>
      <c r="M8" s="75" t="s">
        <v>12</v>
      </c>
      <c r="N8" s="23" t="s">
        <v>160</v>
      </c>
      <c r="O8" s="23" t="s">
        <v>8</v>
      </c>
      <c r="P8" s="23" t="s">
        <v>9</v>
      </c>
      <c r="Q8" s="23" t="s">
        <v>10</v>
      </c>
      <c r="R8" s="23" t="s">
        <v>11</v>
      </c>
      <c r="S8" s="15"/>
    </row>
    <row r="9" spans="1:22" ht="15.75" x14ac:dyDescent="0.25">
      <c r="B9" s="19"/>
      <c r="C9" s="24"/>
      <c r="D9" s="21"/>
      <c r="E9" s="25"/>
      <c r="F9" s="23"/>
      <c r="G9" s="23" t="s">
        <v>234</v>
      </c>
      <c r="H9" s="23"/>
      <c r="I9" s="23"/>
      <c r="J9" s="23"/>
      <c r="K9" s="23" t="s">
        <v>113</v>
      </c>
      <c r="L9" s="78"/>
      <c r="M9" s="309"/>
      <c r="N9" s="23" t="s">
        <v>234</v>
      </c>
      <c r="O9" s="23"/>
      <c r="P9" s="23"/>
      <c r="Q9" s="23"/>
      <c r="R9" s="23" t="s">
        <v>113</v>
      </c>
      <c r="S9" s="15"/>
    </row>
    <row r="10" spans="1:22" ht="15.75" x14ac:dyDescent="0.25">
      <c r="B10" s="9"/>
      <c r="D10" s="3"/>
      <c r="E10" s="26"/>
      <c r="F10" s="27"/>
      <c r="G10" s="28"/>
      <c r="H10" s="28"/>
      <c r="I10" s="28"/>
      <c r="J10" s="28"/>
      <c r="K10" s="28"/>
      <c r="L10" s="29"/>
      <c r="M10" s="29"/>
      <c r="N10" s="27"/>
      <c r="O10" s="27"/>
      <c r="P10" s="27"/>
      <c r="Q10" s="27"/>
      <c r="R10" s="27"/>
      <c r="S10" s="15"/>
    </row>
    <row r="11" spans="1:22" ht="15.75" x14ac:dyDescent="0.25">
      <c r="B11" s="1">
        <v>1500</v>
      </c>
      <c r="C11" s="30" t="s">
        <v>13</v>
      </c>
      <c r="D11" s="3"/>
      <c r="E11" s="26"/>
      <c r="F11" s="15"/>
      <c r="G11" s="31"/>
      <c r="H11" s="31"/>
      <c r="I11" s="31"/>
      <c r="J11" s="31"/>
      <c r="K11" s="31"/>
      <c r="L11" s="32"/>
      <c r="M11" s="32"/>
      <c r="N11" s="15"/>
      <c r="O11" s="15"/>
      <c r="P11" s="15"/>
      <c r="Q11" s="15"/>
      <c r="R11" s="15"/>
      <c r="S11" s="15"/>
    </row>
    <row r="12" spans="1:22" ht="6" customHeight="1" x14ac:dyDescent="0.2">
      <c r="B12" s="33"/>
      <c r="C12" s="3"/>
      <c r="D12" s="3"/>
      <c r="E12" s="26"/>
      <c r="F12" s="15"/>
      <c r="G12" s="31"/>
      <c r="H12" s="31"/>
      <c r="I12" s="31"/>
      <c r="J12" s="31"/>
      <c r="K12" s="31"/>
      <c r="L12" s="32"/>
      <c r="M12" s="32"/>
      <c r="N12" s="15"/>
      <c r="O12" s="15"/>
      <c r="P12" s="15"/>
      <c r="Q12" s="15"/>
      <c r="R12" s="15"/>
      <c r="S12" s="15"/>
    </row>
    <row r="13" spans="1:22" ht="18" x14ac:dyDescent="0.25">
      <c r="B13" s="33">
        <v>1521</v>
      </c>
      <c r="C13" s="9" t="s">
        <v>14</v>
      </c>
      <c r="D13" s="3"/>
      <c r="E13" s="34">
        <v>8</v>
      </c>
      <c r="F13" s="35"/>
      <c r="G13" s="36">
        <v>1</v>
      </c>
      <c r="H13" s="36"/>
      <c r="I13" s="36"/>
      <c r="J13" s="36"/>
      <c r="K13" s="36"/>
      <c r="L13" s="32"/>
      <c r="M13" s="32"/>
      <c r="N13" s="35">
        <f>+$E13*G13</f>
        <v>8</v>
      </c>
      <c r="O13" s="35">
        <f>+$E13*H13</f>
        <v>0</v>
      </c>
      <c r="P13" s="35">
        <f>+$E13*I13</f>
        <v>0</v>
      </c>
      <c r="Q13" s="35">
        <f>+$E13*J13</f>
        <v>0</v>
      </c>
      <c r="R13" s="35">
        <f>+$E13*K13</f>
        <v>0</v>
      </c>
      <c r="S13" s="15"/>
      <c r="U13" s="64">
        <f>SUM(G13:K13)</f>
        <v>1</v>
      </c>
      <c r="V13" s="4">
        <f>SUM(N13:R13)</f>
        <v>8</v>
      </c>
    </row>
    <row r="14" spans="1:22" ht="18" x14ac:dyDescent="0.25">
      <c r="B14" s="33"/>
      <c r="C14" s="3" t="s">
        <v>15</v>
      </c>
      <c r="D14" s="3"/>
      <c r="E14" s="37"/>
      <c r="F14" s="38">
        <v>1002.3</v>
      </c>
      <c r="G14" s="36"/>
      <c r="H14" s="36"/>
      <c r="I14" s="36"/>
      <c r="J14" s="36"/>
      <c r="K14" s="36"/>
      <c r="L14" s="32"/>
      <c r="M14" s="32"/>
      <c r="N14" s="35"/>
      <c r="O14" s="35"/>
      <c r="P14" s="35"/>
      <c r="Q14" s="35"/>
      <c r="R14" s="35"/>
      <c r="S14" s="15"/>
    </row>
    <row r="15" spans="1:22" ht="18" x14ac:dyDescent="0.25">
      <c r="B15" s="33"/>
      <c r="C15" s="3" t="s">
        <v>16</v>
      </c>
      <c r="D15" s="3"/>
      <c r="E15" s="34"/>
      <c r="F15" s="39">
        <f>1213.976-F14</f>
        <v>211.67600000000016</v>
      </c>
      <c r="G15" s="36"/>
      <c r="H15" s="36"/>
      <c r="I15" s="36"/>
      <c r="J15" s="36"/>
      <c r="K15" s="36"/>
      <c r="L15" s="32"/>
      <c r="M15" s="32"/>
      <c r="N15" s="35"/>
      <c r="O15" s="35"/>
      <c r="P15" s="35"/>
      <c r="Q15" s="35"/>
      <c r="R15" s="35"/>
      <c r="S15" s="15"/>
    </row>
    <row r="16" spans="1:22" ht="15.75" customHeight="1" x14ac:dyDescent="0.25">
      <c r="B16" s="33"/>
      <c r="C16" s="3" t="s">
        <v>17</v>
      </c>
      <c r="D16" s="40"/>
      <c r="E16" s="41"/>
      <c r="F16" s="38">
        <f>F14+F15</f>
        <v>1213.9760000000001</v>
      </c>
      <c r="G16" s="36">
        <v>1</v>
      </c>
      <c r="H16" s="36"/>
      <c r="I16" s="36"/>
      <c r="J16" s="36"/>
      <c r="K16" s="36"/>
      <c r="L16" s="32" t="s">
        <v>108</v>
      </c>
      <c r="M16" s="32" t="s">
        <v>18</v>
      </c>
      <c r="N16" s="42">
        <f>$F16*G16</f>
        <v>1213.9760000000001</v>
      </c>
      <c r="O16" s="42">
        <f>$F16*H16</f>
        <v>0</v>
      </c>
      <c r="P16" s="42">
        <f>$F16*I16</f>
        <v>0</v>
      </c>
      <c r="Q16" s="42">
        <f>$F16*J16</f>
        <v>0</v>
      </c>
      <c r="R16" s="42">
        <f>$F16*K16</f>
        <v>0</v>
      </c>
      <c r="S16" s="15"/>
    </row>
    <row r="17" spans="2:22" ht="18" x14ac:dyDescent="0.25">
      <c r="B17" s="33"/>
      <c r="C17" s="3"/>
      <c r="D17" s="3"/>
      <c r="E17" s="34"/>
      <c r="F17" s="43"/>
      <c r="G17" s="44"/>
      <c r="H17" s="44"/>
      <c r="I17" s="44"/>
      <c r="J17" s="44"/>
      <c r="K17" s="44"/>
      <c r="L17" s="29"/>
      <c r="M17" s="29"/>
      <c r="N17" s="43"/>
      <c r="O17" s="43"/>
      <c r="P17" s="43"/>
      <c r="Q17" s="43"/>
      <c r="R17" s="43"/>
      <c r="S17" s="15"/>
    </row>
    <row r="18" spans="2:22" ht="15.75" customHeight="1" x14ac:dyDescent="0.25">
      <c r="B18" s="33">
        <v>1551</v>
      </c>
      <c r="C18" s="9" t="s">
        <v>127</v>
      </c>
      <c r="D18" s="3"/>
      <c r="E18" s="45">
        <v>5</v>
      </c>
      <c r="F18" s="46"/>
      <c r="G18" s="124">
        <v>0.1</v>
      </c>
      <c r="H18" s="124">
        <v>0.1</v>
      </c>
      <c r="I18" s="124">
        <v>0.2</v>
      </c>
      <c r="J18" s="124">
        <v>0.5</v>
      </c>
      <c r="K18" s="124">
        <v>0.1</v>
      </c>
      <c r="L18" s="47"/>
      <c r="M18" s="47" t="s">
        <v>19</v>
      </c>
      <c r="N18" s="35">
        <f>+$E18*G18</f>
        <v>0.5</v>
      </c>
      <c r="O18" s="35">
        <f>+$E18*H18</f>
        <v>0.5</v>
      </c>
      <c r="P18" s="35">
        <f>+$E18*I18</f>
        <v>1</v>
      </c>
      <c r="Q18" s="35">
        <f>+$E18*J18</f>
        <v>2.5</v>
      </c>
      <c r="R18" s="35">
        <f>+$E18*K18</f>
        <v>0.5</v>
      </c>
      <c r="S18" s="15"/>
      <c r="U18" s="64">
        <f>SUM(G18:K18)</f>
        <v>1</v>
      </c>
      <c r="V18" s="4">
        <f>SUM(N18:R18)</f>
        <v>5</v>
      </c>
    </row>
    <row r="19" spans="2:22" ht="15.75" customHeight="1" x14ac:dyDescent="0.25">
      <c r="B19" s="33"/>
      <c r="C19" s="3" t="s">
        <v>15</v>
      </c>
      <c r="D19" s="40"/>
      <c r="E19" s="37"/>
      <c r="F19" s="38">
        <v>809.4</v>
      </c>
      <c r="G19" s="124"/>
      <c r="H19" s="124"/>
      <c r="I19" s="124"/>
      <c r="J19" s="124"/>
      <c r="K19" s="124"/>
      <c r="L19" s="47"/>
      <c r="M19" s="47" t="s">
        <v>169</v>
      </c>
      <c r="N19" s="38"/>
      <c r="O19" s="38"/>
      <c r="P19" s="38"/>
      <c r="Q19" s="38"/>
      <c r="R19" s="38"/>
      <c r="S19" s="15"/>
    </row>
    <row r="20" spans="2:22" ht="15.75" customHeight="1" x14ac:dyDescent="0.25">
      <c r="B20" s="33"/>
      <c r="C20" s="3" t="s">
        <v>16</v>
      </c>
      <c r="D20" s="40"/>
      <c r="E20" s="50"/>
      <c r="F20" s="39">
        <v>969</v>
      </c>
      <c r="G20" s="124"/>
      <c r="H20" s="124"/>
      <c r="I20" s="124"/>
      <c r="J20" s="124"/>
      <c r="K20" s="124"/>
      <c r="L20" s="32"/>
      <c r="M20" s="32" t="s">
        <v>168</v>
      </c>
      <c r="N20" s="51"/>
      <c r="O20" s="51"/>
      <c r="P20" s="51"/>
      <c r="Q20" s="51"/>
      <c r="R20" s="51"/>
      <c r="S20" s="15"/>
    </row>
    <row r="21" spans="2:22" ht="15.75" customHeight="1" x14ac:dyDescent="0.25">
      <c r="B21" s="33"/>
      <c r="C21" s="3" t="s">
        <v>17</v>
      </c>
      <c r="D21" s="3"/>
      <c r="E21" s="34"/>
      <c r="F21" s="38">
        <f>F19+F20</f>
        <v>1778.4</v>
      </c>
      <c r="G21" s="124">
        <v>0.1</v>
      </c>
      <c r="H21" s="124">
        <v>0.1</v>
      </c>
      <c r="I21" s="124">
        <v>0.2</v>
      </c>
      <c r="J21" s="124">
        <v>0.5</v>
      </c>
      <c r="K21" s="124">
        <v>0.1</v>
      </c>
      <c r="L21" s="32" t="s">
        <v>127</v>
      </c>
      <c r="M21" s="32"/>
      <c r="N21" s="38">
        <f>G21*$F21</f>
        <v>177.84000000000003</v>
      </c>
      <c r="O21" s="38">
        <f>H21*$F21</f>
        <v>177.84000000000003</v>
      </c>
      <c r="P21" s="38">
        <f>I21*$F21</f>
        <v>355.68000000000006</v>
      </c>
      <c r="Q21" s="38">
        <f>J21*$F21</f>
        <v>889.2</v>
      </c>
      <c r="R21" s="38">
        <f>K21*$F21</f>
        <v>177.84000000000003</v>
      </c>
      <c r="S21" s="15"/>
    </row>
    <row r="22" spans="2:22" ht="15.75" customHeight="1" x14ac:dyDescent="0.25">
      <c r="B22" s="33"/>
      <c r="C22" s="3"/>
      <c r="D22" s="3"/>
      <c r="E22" s="34"/>
      <c r="F22" s="38"/>
      <c r="G22" s="124"/>
      <c r="H22" s="124"/>
      <c r="I22" s="124"/>
      <c r="J22" s="124"/>
      <c r="K22" s="124"/>
      <c r="L22" s="32"/>
      <c r="M22" s="32"/>
      <c r="N22" s="46"/>
      <c r="O22" s="46"/>
      <c r="P22" s="46"/>
      <c r="Q22" s="35"/>
      <c r="R22" s="35"/>
      <c r="S22" s="15"/>
    </row>
    <row r="23" spans="2:22" ht="15.75" customHeight="1" x14ac:dyDescent="0.25">
      <c r="B23" s="33">
        <v>1552</v>
      </c>
      <c r="C23" s="9" t="s">
        <v>128</v>
      </c>
      <c r="D23" s="3"/>
      <c r="E23" s="34">
        <v>14</v>
      </c>
      <c r="F23" s="46"/>
      <c r="G23" s="124">
        <v>0.1</v>
      </c>
      <c r="H23" s="124">
        <v>0.1</v>
      </c>
      <c r="I23" s="124">
        <v>0.2</v>
      </c>
      <c r="J23" s="124">
        <v>0.5</v>
      </c>
      <c r="K23" s="124">
        <v>0.1</v>
      </c>
      <c r="L23" s="47"/>
      <c r="M23" s="47" t="s">
        <v>19</v>
      </c>
      <c r="N23" s="35">
        <f>+$E23*G23</f>
        <v>1.4000000000000001</v>
      </c>
      <c r="O23" s="35">
        <f>+$E23*H23</f>
        <v>1.4000000000000001</v>
      </c>
      <c r="P23" s="35">
        <f>+$E23*I23</f>
        <v>2.8000000000000003</v>
      </c>
      <c r="Q23" s="35">
        <f>+$E23*J23</f>
        <v>7</v>
      </c>
      <c r="R23" s="35">
        <f>+$E23*K23</f>
        <v>1.4000000000000001</v>
      </c>
      <c r="S23" s="15"/>
      <c r="V23" s="4">
        <f>SUM(N23:R23)</f>
        <v>14.000000000000002</v>
      </c>
    </row>
    <row r="24" spans="2:22" ht="15.75" customHeight="1" x14ac:dyDescent="0.25">
      <c r="B24" s="33"/>
      <c r="C24" s="3" t="s">
        <v>15</v>
      </c>
      <c r="D24" s="40"/>
      <c r="E24" s="50"/>
      <c r="F24" s="38">
        <v>1601.4</v>
      </c>
      <c r="G24" s="124"/>
      <c r="H24" s="124"/>
      <c r="I24" s="124"/>
      <c r="J24" s="124"/>
      <c r="K24" s="124"/>
      <c r="L24" s="47"/>
      <c r="M24" s="47" t="s">
        <v>170</v>
      </c>
      <c r="N24" s="38"/>
      <c r="O24" s="38"/>
      <c r="P24" s="38"/>
      <c r="Q24" s="38"/>
      <c r="R24" s="38"/>
      <c r="S24" s="15"/>
    </row>
    <row r="25" spans="2:22" ht="15.75" customHeight="1" x14ac:dyDescent="0.25">
      <c r="B25" s="33"/>
      <c r="C25" s="3" t="s">
        <v>16</v>
      </c>
      <c r="D25" s="40"/>
      <c r="E25" s="50"/>
      <c r="F25" s="39">
        <v>0</v>
      </c>
      <c r="G25" s="124"/>
      <c r="H25" s="124"/>
      <c r="I25" s="124"/>
      <c r="J25" s="124"/>
      <c r="K25" s="124"/>
      <c r="L25" s="32"/>
      <c r="M25" s="32"/>
      <c r="N25" s="51"/>
      <c r="O25" s="51"/>
      <c r="P25" s="51"/>
      <c r="Q25" s="51"/>
      <c r="R25" s="51"/>
      <c r="S25" s="15"/>
    </row>
    <row r="26" spans="2:22" ht="15.75" customHeight="1" x14ac:dyDescent="0.25">
      <c r="B26" s="33"/>
      <c r="C26" s="3" t="s">
        <v>17</v>
      </c>
      <c r="D26" s="3"/>
      <c r="E26" s="34"/>
      <c r="F26" s="38">
        <f>F24+F25</f>
        <v>1601.4</v>
      </c>
      <c r="G26" s="124">
        <v>0.1</v>
      </c>
      <c r="H26" s="124">
        <v>0.1</v>
      </c>
      <c r="I26" s="124">
        <v>0.2</v>
      </c>
      <c r="J26" s="124">
        <v>0.5</v>
      </c>
      <c r="K26" s="124">
        <v>0.1</v>
      </c>
      <c r="L26" s="32" t="s">
        <v>127</v>
      </c>
      <c r="M26" s="32"/>
      <c r="N26" s="38">
        <f>G26*$F26</f>
        <v>160.14000000000001</v>
      </c>
      <c r="O26" s="38">
        <f>H26*$F26</f>
        <v>160.14000000000001</v>
      </c>
      <c r="P26" s="38">
        <f>I26*$F26</f>
        <v>320.28000000000003</v>
      </c>
      <c r="Q26" s="38">
        <f>J26*$F26</f>
        <v>800.7</v>
      </c>
      <c r="R26" s="38">
        <f>K26*$F26</f>
        <v>160.14000000000001</v>
      </c>
      <c r="S26" s="15"/>
      <c r="U26" s="64">
        <f>SUM(G26:K26)</f>
        <v>1</v>
      </c>
    </row>
    <row r="27" spans="2:22" ht="15.75" customHeight="1" x14ac:dyDescent="0.25">
      <c r="B27" s="33"/>
      <c r="C27" s="3"/>
      <c r="D27" s="3"/>
      <c r="E27" s="34"/>
      <c r="F27" s="38"/>
      <c r="G27" s="124"/>
      <c r="H27" s="124"/>
      <c r="I27" s="124"/>
      <c r="J27" s="124"/>
      <c r="K27" s="124"/>
      <c r="L27" s="32"/>
      <c r="M27" s="32"/>
      <c r="N27" s="46"/>
      <c r="O27" s="46"/>
      <c r="P27" s="46"/>
      <c r="Q27" s="35"/>
      <c r="R27" s="35"/>
      <c r="S27" s="15"/>
    </row>
    <row r="28" spans="2:22" ht="15.75" customHeight="1" x14ac:dyDescent="0.25">
      <c r="B28" s="33">
        <v>1553</v>
      </c>
      <c r="C28" s="9" t="s">
        <v>129</v>
      </c>
      <c r="D28" s="3"/>
      <c r="E28" s="34">
        <v>7</v>
      </c>
      <c r="F28" s="46"/>
      <c r="G28" s="124">
        <v>0.1</v>
      </c>
      <c r="H28" s="124">
        <v>0.1</v>
      </c>
      <c r="I28" s="124">
        <v>0.2</v>
      </c>
      <c r="J28" s="124">
        <v>0.5</v>
      </c>
      <c r="K28" s="124">
        <v>0.1</v>
      </c>
      <c r="L28" s="47"/>
      <c r="M28" s="47" t="s">
        <v>19</v>
      </c>
      <c r="N28" s="35">
        <f>+$E28*G28</f>
        <v>0.70000000000000007</v>
      </c>
      <c r="O28" s="35">
        <f>+$E28*H28</f>
        <v>0.70000000000000007</v>
      </c>
      <c r="P28" s="35">
        <f>+$E28*I28</f>
        <v>1.4000000000000001</v>
      </c>
      <c r="Q28" s="35">
        <f>+$E28*J28</f>
        <v>3.5</v>
      </c>
      <c r="R28" s="35">
        <f>+$E28*K28</f>
        <v>0.70000000000000007</v>
      </c>
      <c r="S28" s="15"/>
      <c r="V28" s="4">
        <f>SUM(N28:R28)</f>
        <v>7.0000000000000009</v>
      </c>
    </row>
    <row r="29" spans="2:22" ht="15.75" customHeight="1" x14ac:dyDescent="0.25">
      <c r="B29" s="33"/>
      <c r="C29" s="3" t="s">
        <v>15</v>
      </c>
      <c r="D29" s="40"/>
      <c r="E29" s="50"/>
      <c r="F29" s="38">
        <v>828.4</v>
      </c>
      <c r="G29" s="124"/>
      <c r="H29" s="124"/>
      <c r="I29" s="124"/>
      <c r="J29" s="124"/>
      <c r="K29" s="124"/>
      <c r="L29" s="47"/>
      <c r="M29" s="47" t="s">
        <v>170</v>
      </c>
      <c r="N29" s="38"/>
      <c r="O29" s="38"/>
      <c r="P29" s="38"/>
      <c r="Q29" s="38"/>
      <c r="R29" s="38"/>
      <c r="S29" s="15"/>
    </row>
    <row r="30" spans="2:22" ht="15.75" customHeight="1" x14ac:dyDescent="0.25">
      <c r="B30" s="33"/>
      <c r="C30" s="3" t="s">
        <v>16</v>
      </c>
      <c r="D30" s="40"/>
      <c r="E30" s="50"/>
      <c r="F30" s="39">
        <v>0</v>
      </c>
      <c r="G30" s="124"/>
      <c r="H30" s="124"/>
      <c r="I30" s="124"/>
      <c r="J30" s="124"/>
      <c r="K30" s="124"/>
      <c r="L30" s="32"/>
      <c r="M30" s="32"/>
      <c r="N30" s="51">
        <f>+$F30*G30</f>
        <v>0</v>
      </c>
      <c r="O30" s="51">
        <f>+$F30*H30</f>
        <v>0</v>
      </c>
      <c r="P30" s="51">
        <f>+$F30*I30</f>
        <v>0</v>
      </c>
      <c r="Q30" s="51">
        <f>+$F30*J30</f>
        <v>0</v>
      </c>
      <c r="R30" s="51">
        <f>+$F30*K30</f>
        <v>0</v>
      </c>
      <c r="S30" s="15"/>
    </row>
    <row r="31" spans="2:22" ht="15.75" customHeight="1" x14ac:dyDescent="0.25">
      <c r="B31" s="33"/>
      <c r="C31" s="3" t="s">
        <v>17</v>
      </c>
      <c r="D31" s="3"/>
      <c r="E31" s="34"/>
      <c r="F31" s="38">
        <f>F29+F30</f>
        <v>828.4</v>
      </c>
      <c r="G31" s="124">
        <v>0.1</v>
      </c>
      <c r="H31" s="124">
        <v>0.1</v>
      </c>
      <c r="I31" s="124">
        <v>0.2</v>
      </c>
      <c r="J31" s="124">
        <v>0.5</v>
      </c>
      <c r="K31" s="124">
        <v>0.1</v>
      </c>
      <c r="L31" s="32" t="s">
        <v>127</v>
      </c>
      <c r="M31" s="32"/>
      <c r="N31" s="38">
        <f>G31*$F31</f>
        <v>82.84</v>
      </c>
      <c r="O31" s="38">
        <f>H31*$F31</f>
        <v>82.84</v>
      </c>
      <c r="P31" s="38">
        <f>I31*$F31</f>
        <v>165.68</v>
      </c>
      <c r="Q31" s="38">
        <f>J31*$F31</f>
        <v>414.2</v>
      </c>
      <c r="R31" s="38">
        <f>K31*$F31</f>
        <v>82.84</v>
      </c>
      <c r="S31" s="15"/>
      <c r="U31" s="64">
        <f>SUM(G31:K31)</f>
        <v>1</v>
      </c>
    </row>
    <row r="32" spans="2:22" ht="15.75" customHeight="1" x14ac:dyDescent="0.25">
      <c r="B32" s="33"/>
      <c r="C32" s="3"/>
      <c r="D32" s="3"/>
      <c r="E32" s="52"/>
      <c r="F32" s="38"/>
      <c r="G32" s="36"/>
      <c r="H32" s="36"/>
      <c r="I32" s="36"/>
      <c r="J32" s="36"/>
      <c r="K32" s="36"/>
      <c r="L32" s="32"/>
      <c r="M32" s="32"/>
      <c r="N32" s="46"/>
      <c r="O32" s="46"/>
      <c r="P32" s="46"/>
      <c r="Q32" s="35"/>
      <c r="R32" s="35"/>
      <c r="S32" s="15"/>
    </row>
    <row r="33" spans="2:22" ht="15.75" customHeight="1" x14ac:dyDescent="0.25">
      <c r="B33" s="33"/>
      <c r="C33" s="3"/>
      <c r="D33" s="3"/>
      <c r="E33" s="34"/>
      <c r="F33" s="53"/>
      <c r="G33" s="44"/>
      <c r="H33" s="44"/>
      <c r="I33" s="44"/>
      <c r="J33" s="44"/>
      <c r="K33" s="44"/>
      <c r="L33" s="29"/>
      <c r="M33" s="29"/>
      <c r="N33" s="43"/>
      <c r="O33" s="43"/>
      <c r="P33" s="43"/>
      <c r="Q33" s="43"/>
      <c r="R33" s="43"/>
      <c r="S33" s="15"/>
    </row>
    <row r="34" spans="2:22" ht="15.75" customHeight="1" x14ac:dyDescent="0.25">
      <c r="B34" s="33">
        <v>1542</v>
      </c>
      <c r="C34" s="9" t="s">
        <v>20</v>
      </c>
      <c r="D34" s="3"/>
      <c r="E34" s="34">
        <v>8</v>
      </c>
      <c r="F34" s="46"/>
      <c r="G34" s="124">
        <v>0.83</v>
      </c>
      <c r="H34" s="124">
        <v>0.05</v>
      </c>
      <c r="I34" s="124">
        <v>0.12</v>
      </c>
      <c r="J34" s="124"/>
      <c r="K34" s="124"/>
      <c r="L34" s="32"/>
      <c r="M34" s="32"/>
      <c r="N34" s="35">
        <f>+$E34*G34</f>
        <v>6.64</v>
      </c>
      <c r="O34" s="35">
        <f>+$E34*H34</f>
        <v>0.4</v>
      </c>
      <c r="P34" s="35">
        <f>+$E34*I34</f>
        <v>0.96</v>
      </c>
      <c r="Q34" s="35">
        <f>+$E34*J34</f>
        <v>0</v>
      </c>
      <c r="R34" s="35">
        <f>+$E34*K34</f>
        <v>0</v>
      </c>
      <c r="S34" s="15"/>
      <c r="V34" s="4">
        <f>SUM(N34:R34)</f>
        <v>8</v>
      </c>
    </row>
    <row r="35" spans="2:22" ht="15.75" customHeight="1" x14ac:dyDescent="0.25">
      <c r="B35" s="33"/>
      <c r="C35" s="3" t="s">
        <v>15</v>
      </c>
      <c r="D35" s="3"/>
      <c r="E35" s="34"/>
      <c r="F35" s="38">
        <v>1041.4000000000001</v>
      </c>
      <c r="G35" s="124"/>
      <c r="H35" s="124"/>
      <c r="I35" s="124"/>
      <c r="J35" s="124"/>
      <c r="K35" s="124"/>
      <c r="L35" s="32"/>
      <c r="M35" s="32"/>
      <c r="N35" s="35"/>
      <c r="O35" s="35"/>
      <c r="P35" s="35"/>
      <c r="Q35" s="35"/>
      <c r="R35" s="35"/>
      <c r="S35" s="15"/>
    </row>
    <row r="36" spans="2:22" ht="15.75" customHeight="1" x14ac:dyDescent="0.25">
      <c r="B36" s="33"/>
      <c r="C36" s="3" t="s">
        <v>16</v>
      </c>
      <c r="D36" s="3"/>
      <c r="E36" s="34"/>
      <c r="F36" s="39">
        <v>56</v>
      </c>
      <c r="G36" s="124"/>
      <c r="H36" s="124"/>
      <c r="I36" s="124"/>
      <c r="J36" s="124"/>
      <c r="K36" s="124"/>
      <c r="L36" s="32" t="s">
        <v>191</v>
      </c>
      <c r="M36" s="32"/>
      <c r="N36" s="35"/>
      <c r="O36" s="35"/>
      <c r="P36" s="35"/>
      <c r="Q36" s="35"/>
      <c r="R36" s="35"/>
      <c r="S36" s="15"/>
    </row>
    <row r="37" spans="2:22" ht="15.75" customHeight="1" x14ac:dyDescent="0.25">
      <c r="B37" s="33"/>
      <c r="C37" s="3" t="s">
        <v>17</v>
      </c>
      <c r="D37" s="40"/>
      <c r="E37" s="41"/>
      <c r="F37" s="38">
        <f>F35+F36</f>
        <v>1097.4000000000001</v>
      </c>
      <c r="G37" s="124">
        <v>0.83</v>
      </c>
      <c r="H37" s="124">
        <v>0.05</v>
      </c>
      <c r="I37" s="124">
        <v>0.12</v>
      </c>
      <c r="J37" s="124"/>
      <c r="K37" s="124"/>
      <c r="L37" s="32" t="s">
        <v>192</v>
      </c>
      <c r="M37" s="32" t="s">
        <v>18</v>
      </c>
      <c r="N37" s="42">
        <f>+$F37*G37</f>
        <v>910.84199999999998</v>
      </c>
      <c r="O37" s="42">
        <f>+$F37*H37</f>
        <v>54.870000000000005</v>
      </c>
      <c r="P37" s="42">
        <f>+F37*I37</f>
        <v>131.68800000000002</v>
      </c>
      <c r="Q37" s="42">
        <f>+J37*F37</f>
        <v>0</v>
      </c>
      <c r="R37" s="46">
        <f>+F37*K37</f>
        <v>0</v>
      </c>
      <c r="S37" s="15"/>
      <c r="U37" s="64">
        <f>SUM(G37:K37)</f>
        <v>1</v>
      </c>
    </row>
    <row r="38" spans="2:22" ht="15.75" customHeight="1" x14ac:dyDescent="0.25">
      <c r="B38" s="33"/>
      <c r="C38" s="3"/>
      <c r="D38" s="3"/>
      <c r="E38" s="34"/>
      <c r="F38" s="53"/>
      <c r="G38" s="286"/>
      <c r="H38" s="286"/>
      <c r="I38" s="286"/>
      <c r="J38" s="286"/>
      <c r="K38" s="286"/>
      <c r="L38" s="29"/>
      <c r="M38" s="29"/>
      <c r="N38" s="43"/>
      <c r="O38" s="43"/>
      <c r="P38" s="43"/>
      <c r="Q38" s="43"/>
      <c r="R38" s="43"/>
      <c r="S38" s="15"/>
    </row>
    <row r="39" spans="2:22" ht="15.75" customHeight="1" x14ac:dyDescent="0.25">
      <c r="B39" s="33">
        <v>1543</v>
      </c>
      <c r="C39" s="9" t="s">
        <v>21</v>
      </c>
      <c r="D39" s="3"/>
      <c r="E39" s="34">
        <v>13</v>
      </c>
      <c r="F39" s="46"/>
      <c r="G39" s="124">
        <v>0.83</v>
      </c>
      <c r="H39" s="124">
        <v>0.02</v>
      </c>
      <c r="I39" s="124">
        <v>0.03</v>
      </c>
      <c r="J39" s="124">
        <v>7.0000000000000007E-2</v>
      </c>
      <c r="K39" s="124">
        <v>0.05</v>
      </c>
      <c r="L39" s="32"/>
      <c r="M39" s="32"/>
      <c r="N39" s="35">
        <f>+$E39*G39</f>
        <v>10.79</v>
      </c>
      <c r="O39" s="35">
        <f>+$E39*H39</f>
        <v>0.26</v>
      </c>
      <c r="P39" s="35">
        <f>+$E39*I39</f>
        <v>0.39</v>
      </c>
      <c r="Q39" s="35">
        <f>+$E39*J39</f>
        <v>0.91000000000000014</v>
      </c>
      <c r="R39" s="35">
        <f>+$E39*K39</f>
        <v>0.65</v>
      </c>
      <c r="S39" s="15"/>
      <c r="V39" s="4">
        <f>SUM(N39:R39)</f>
        <v>13</v>
      </c>
    </row>
    <row r="40" spans="2:22" ht="15.75" customHeight="1" x14ac:dyDescent="0.25">
      <c r="B40" s="33"/>
      <c r="C40" s="3" t="s">
        <v>15</v>
      </c>
      <c r="D40" s="3"/>
      <c r="E40" s="34"/>
      <c r="F40" s="38">
        <v>1511</v>
      </c>
      <c r="G40" s="124"/>
      <c r="H40" s="124"/>
      <c r="I40" s="124"/>
      <c r="J40" s="124"/>
      <c r="K40" s="124"/>
      <c r="L40" s="32"/>
      <c r="M40" s="32"/>
      <c r="N40" s="35"/>
      <c r="O40" s="35"/>
      <c r="P40" s="35"/>
      <c r="Q40" s="35"/>
      <c r="R40" s="35"/>
      <c r="S40" s="15"/>
    </row>
    <row r="41" spans="2:22" ht="15.75" customHeight="1" x14ac:dyDescent="0.25">
      <c r="B41" s="33"/>
      <c r="C41" s="3" t="s">
        <v>16</v>
      </c>
      <c r="D41" s="3"/>
      <c r="E41" s="34"/>
      <c r="F41" s="39">
        <v>349</v>
      </c>
      <c r="G41" s="124"/>
      <c r="H41" s="124"/>
      <c r="I41" s="124"/>
      <c r="J41" s="124"/>
      <c r="K41" s="124"/>
      <c r="L41" s="32"/>
      <c r="M41" s="32"/>
      <c r="N41" s="35"/>
      <c r="O41" s="35"/>
      <c r="P41" s="35"/>
      <c r="Q41" s="35"/>
      <c r="R41" s="35"/>
      <c r="S41" s="15"/>
    </row>
    <row r="42" spans="2:22" ht="15.75" customHeight="1" x14ac:dyDescent="0.25">
      <c r="B42" s="33"/>
      <c r="C42" s="3" t="s">
        <v>17</v>
      </c>
      <c r="D42" s="40"/>
      <c r="E42" s="41"/>
      <c r="F42" s="38">
        <f>F40+F41</f>
        <v>1860</v>
      </c>
      <c r="G42" s="124">
        <v>0.83</v>
      </c>
      <c r="H42" s="124">
        <v>0.02</v>
      </c>
      <c r="I42" s="124">
        <v>0.03</v>
      </c>
      <c r="J42" s="124">
        <v>7.0000000000000007E-2</v>
      </c>
      <c r="K42" s="124">
        <v>0.05</v>
      </c>
      <c r="L42" s="32" t="s">
        <v>109</v>
      </c>
      <c r="M42" s="32" t="s">
        <v>18</v>
      </c>
      <c r="N42" s="42">
        <f>+$F42*G42</f>
        <v>1543.8</v>
      </c>
      <c r="O42" s="42">
        <f>+$F42*H42</f>
        <v>37.200000000000003</v>
      </c>
      <c r="P42" s="42">
        <f>+F42*I42</f>
        <v>55.8</v>
      </c>
      <c r="Q42" s="42">
        <f>+J42*F42</f>
        <v>130.20000000000002</v>
      </c>
      <c r="R42" s="42">
        <f>+F42*K42</f>
        <v>93</v>
      </c>
      <c r="S42" s="15"/>
      <c r="U42" s="64">
        <f>SUM(G42:K42)</f>
        <v>1</v>
      </c>
    </row>
    <row r="43" spans="2:22" ht="15.75" customHeight="1" x14ac:dyDescent="0.25">
      <c r="B43" s="33"/>
      <c r="C43" s="3"/>
      <c r="D43" s="3"/>
      <c r="E43" s="34"/>
      <c r="F43" s="53"/>
      <c r="G43" s="44"/>
      <c r="H43" s="44"/>
      <c r="I43" s="44"/>
      <c r="J43" s="44"/>
      <c r="K43" s="44"/>
      <c r="L43" s="29"/>
      <c r="M43" s="29"/>
      <c r="N43" s="43"/>
      <c r="O43" s="43"/>
      <c r="P43" s="43"/>
      <c r="Q43" s="43"/>
      <c r="R43" s="43"/>
      <c r="S43" s="15"/>
    </row>
    <row r="44" spans="2:22" ht="15.75" customHeight="1" x14ac:dyDescent="0.25">
      <c r="B44" s="33">
        <v>1547</v>
      </c>
      <c r="C44" s="9" t="s">
        <v>173</v>
      </c>
      <c r="D44" s="3"/>
      <c r="E44" s="34">
        <v>3</v>
      </c>
      <c r="F44" s="46"/>
      <c r="G44" s="124">
        <f>+(N39+N34)/(SUM($N$39:$R$39)+SUM($N$34:$R$34))</f>
        <v>0.83</v>
      </c>
      <c r="H44" s="124">
        <f>+(O39+O34)/(SUM($N$39:$R$39)+SUM($N$34:$R$34))</f>
        <v>3.1428571428571431E-2</v>
      </c>
      <c r="I44" s="124">
        <f>+(P39+P34)/(SUM($N$39:$R$39)+SUM($N$34:$R$34))</f>
        <v>6.4285714285714293E-2</v>
      </c>
      <c r="J44" s="124">
        <f>+(Q39+Q34)/(SUM($N$39:$R$39)+SUM($N$34:$R$34))</f>
        <v>4.3333333333333342E-2</v>
      </c>
      <c r="K44" s="124">
        <f>+(R39+R34)/(SUM($N$39:$R$39)+SUM($N$34:$R$34))</f>
        <v>3.0952380952380953E-2</v>
      </c>
      <c r="L44" s="32"/>
      <c r="M44" s="32"/>
      <c r="N44" s="287">
        <f>+$E44*G44</f>
        <v>2.4899999999999998</v>
      </c>
      <c r="O44" s="287">
        <f>+$E44*H44</f>
        <v>9.4285714285714292E-2</v>
      </c>
      <c r="P44" s="287">
        <f>+$E44*I44</f>
        <v>0.19285714285714289</v>
      </c>
      <c r="Q44" s="287">
        <f>+$E44*J44</f>
        <v>0.13000000000000003</v>
      </c>
      <c r="R44" s="287">
        <f>+$E44*K44</f>
        <v>9.285714285714286E-2</v>
      </c>
      <c r="S44" s="15"/>
      <c r="V44" s="4">
        <f>SUM(N44:R44)</f>
        <v>3</v>
      </c>
    </row>
    <row r="45" spans="2:22" ht="15.75" customHeight="1" x14ac:dyDescent="0.25">
      <c r="B45" s="33"/>
      <c r="C45" s="3" t="s">
        <v>15</v>
      </c>
      <c r="D45" s="3"/>
      <c r="E45" s="34"/>
      <c r="F45" s="38">
        <v>345</v>
      </c>
      <c r="G45" s="124"/>
      <c r="H45" s="124"/>
      <c r="I45" s="124"/>
      <c r="J45" s="124"/>
      <c r="K45" s="124"/>
      <c r="L45" s="32"/>
      <c r="M45" s="32" t="s">
        <v>177</v>
      </c>
      <c r="N45" s="35"/>
      <c r="O45" s="35"/>
      <c r="P45" s="35"/>
      <c r="Q45" s="35"/>
      <c r="R45" s="35"/>
      <c r="S45" s="15"/>
    </row>
    <row r="46" spans="2:22" ht="15.75" customHeight="1" x14ac:dyDescent="0.25">
      <c r="B46" s="33"/>
      <c r="C46" s="3" t="s">
        <v>16</v>
      </c>
      <c r="D46" s="3"/>
      <c r="E46" s="34"/>
      <c r="F46" s="39">
        <f>50+27.5+4.3</f>
        <v>81.8</v>
      </c>
      <c r="G46" s="124"/>
      <c r="H46" s="124"/>
      <c r="I46" s="124"/>
      <c r="J46" s="124"/>
      <c r="K46" s="124"/>
      <c r="L46" s="32"/>
      <c r="M46" s="32" t="s">
        <v>178</v>
      </c>
      <c r="N46" s="35"/>
      <c r="O46" s="35"/>
      <c r="P46" s="35"/>
      <c r="Q46" s="35"/>
      <c r="R46" s="35"/>
      <c r="S46" s="15"/>
    </row>
    <row r="47" spans="2:22" ht="15.75" customHeight="1" x14ac:dyDescent="0.25">
      <c r="B47" s="33"/>
      <c r="C47" s="3" t="s">
        <v>17</v>
      </c>
      <c r="D47" s="40"/>
      <c r="E47" s="41"/>
      <c r="F47" s="38">
        <f>F45+F46</f>
        <v>426.8</v>
      </c>
      <c r="G47" s="124">
        <f>+G44</f>
        <v>0.83</v>
      </c>
      <c r="H47" s="124">
        <f>+H44</f>
        <v>3.1428571428571431E-2</v>
      </c>
      <c r="I47" s="124">
        <f>+I44</f>
        <v>6.4285714285714293E-2</v>
      </c>
      <c r="J47" s="124">
        <f>+J44</f>
        <v>4.3333333333333342E-2</v>
      </c>
      <c r="K47" s="124">
        <f>+K44</f>
        <v>3.0952380952380953E-2</v>
      </c>
      <c r="L47" s="32" t="s">
        <v>109</v>
      </c>
      <c r="M47" s="32">
        <v>1543</v>
      </c>
      <c r="N47" s="42">
        <f>+$F47*G47</f>
        <v>354.24399999999997</v>
      </c>
      <c r="O47" s="42">
        <f>+$F47*H47</f>
        <v>13.413714285714287</v>
      </c>
      <c r="P47" s="42">
        <f>+F47*I47</f>
        <v>27.437142857142859</v>
      </c>
      <c r="Q47" s="42">
        <f>+J47*F47</f>
        <v>18.494666666666671</v>
      </c>
      <c r="R47" s="42">
        <f>+F47*K47</f>
        <v>13.210476190476191</v>
      </c>
      <c r="S47" s="15"/>
      <c r="U47" s="64">
        <f>SUM(G47:K47)</f>
        <v>1</v>
      </c>
    </row>
    <row r="48" spans="2:22" ht="15.75" customHeight="1" x14ac:dyDescent="0.25">
      <c r="B48" s="33"/>
      <c r="C48" s="3"/>
      <c r="D48" s="3"/>
      <c r="E48" s="34"/>
      <c r="F48" s="53"/>
      <c r="G48" s="44"/>
      <c r="H48" s="44"/>
      <c r="I48" s="44"/>
      <c r="J48" s="44"/>
      <c r="K48" s="44"/>
      <c r="L48" s="29"/>
      <c r="M48" s="29"/>
      <c r="N48" s="43"/>
      <c r="O48" s="43"/>
      <c r="P48" s="43"/>
      <c r="Q48" s="43"/>
      <c r="R48" s="43"/>
      <c r="S48" s="15"/>
    </row>
    <row r="49" spans="2:22" ht="15.75" customHeight="1" x14ac:dyDescent="0.25">
      <c r="B49" s="33">
        <v>1544</v>
      </c>
      <c r="C49" s="9" t="s">
        <v>22</v>
      </c>
      <c r="D49" s="3"/>
      <c r="E49" s="34">
        <v>26</v>
      </c>
      <c r="F49" s="46"/>
      <c r="G49" s="124">
        <v>0.12</v>
      </c>
      <c r="H49" s="124">
        <v>0.7</v>
      </c>
      <c r="I49" s="124">
        <v>0.11</v>
      </c>
      <c r="J49" s="124">
        <v>0.03</v>
      </c>
      <c r="K49" s="124">
        <v>0.04</v>
      </c>
      <c r="L49" s="32"/>
      <c r="M49" s="32"/>
      <c r="N49" s="35">
        <f>+$E49*G49</f>
        <v>3.12</v>
      </c>
      <c r="O49" s="35">
        <f>+$E49*H49</f>
        <v>18.2</v>
      </c>
      <c r="P49" s="35">
        <f>+$E49*I49</f>
        <v>2.86</v>
      </c>
      <c r="Q49" s="35">
        <f>+$E49*J49</f>
        <v>0.78</v>
      </c>
      <c r="R49" s="35">
        <f>+$E49*K49</f>
        <v>1.04</v>
      </c>
      <c r="S49" s="15"/>
      <c r="V49" s="4">
        <f>SUM(N49:R49)</f>
        <v>26</v>
      </c>
    </row>
    <row r="50" spans="2:22" ht="15.75" customHeight="1" x14ac:dyDescent="0.25">
      <c r="B50" s="33"/>
      <c r="C50" s="3" t="s">
        <v>15</v>
      </c>
      <c r="D50" s="3"/>
      <c r="E50" s="34"/>
      <c r="F50" s="38">
        <v>3310</v>
      </c>
      <c r="G50" s="124"/>
      <c r="H50" s="124"/>
      <c r="I50" s="124"/>
      <c r="J50" s="124"/>
      <c r="K50" s="124"/>
      <c r="L50" s="32"/>
      <c r="M50" s="32"/>
      <c r="N50" s="35"/>
      <c r="O50" s="35"/>
      <c r="P50" s="35"/>
      <c r="Q50" s="35"/>
      <c r="R50" s="35"/>
      <c r="S50" s="15"/>
    </row>
    <row r="51" spans="2:22" ht="15.75" customHeight="1" x14ac:dyDescent="0.25">
      <c r="B51" s="33"/>
      <c r="C51" s="3" t="s">
        <v>16</v>
      </c>
      <c r="D51" s="3"/>
      <c r="E51" s="34"/>
      <c r="F51" s="39">
        <v>74</v>
      </c>
      <c r="G51" s="124"/>
      <c r="H51" s="124"/>
      <c r="I51" s="124"/>
      <c r="J51" s="124"/>
      <c r="K51" s="124"/>
      <c r="L51" s="32"/>
      <c r="M51" s="32"/>
      <c r="N51" s="35"/>
      <c r="O51" s="35"/>
      <c r="P51" s="35"/>
      <c r="Q51" s="35"/>
      <c r="R51" s="35"/>
      <c r="S51" s="15"/>
    </row>
    <row r="52" spans="2:22" ht="15.75" customHeight="1" x14ac:dyDescent="0.25">
      <c r="B52" s="33"/>
      <c r="C52" s="3" t="s">
        <v>17</v>
      </c>
      <c r="D52" s="40"/>
      <c r="E52" s="41"/>
      <c r="F52" s="38">
        <f>F50+F51</f>
        <v>3384</v>
      </c>
      <c r="G52" s="124">
        <v>0.12</v>
      </c>
      <c r="H52" s="124">
        <v>0.7</v>
      </c>
      <c r="I52" s="124">
        <v>0.11</v>
      </c>
      <c r="J52" s="124">
        <v>0.03</v>
      </c>
      <c r="K52" s="124">
        <v>0.04</v>
      </c>
      <c r="L52" s="32" t="s">
        <v>8</v>
      </c>
      <c r="M52" s="32" t="s">
        <v>18</v>
      </c>
      <c r="N52" s="46">
        <f>$F52*G52</f>
        <v>406.08</v>
      </c>
      <c r="O52" s="46">
        <f>$F52*H52</f>
        <v>2368.7999999999997</v>
      </c>
      <c r="P52" s="46">
        <f>$F52*I52</f>
        <v>372.24</v>
      </c>
      <c r="Q52" s="46">
        <f>$F52*J52</f>
        <v>101.52</v>
      </c>
      <c r="R52" s="46">
        <f>$F52*K52</f>
        <v>135.36000000000001</v>
      </c>
      <c r="S52" s="15"/>
      <c r="U52" s="64">
        <f>SUM(G52:K52)</f>
        <v>1</v>
      </c>
    </row>
    <row r="53" spans="2:22" ht="15.75" customHeight="1" x14ac:dyDescent="0.25">
      <c r="B53" s="33"/>
      <c r="C53" s="3"/>
      <c r="D53" s="3"/>
      <c r="E53" s="34"/>
      <c r="F53" s="53"/>
      <c r="G53" s="44"/>
      <c r="H53" s="44"/>
      <c r="I53" s="44"/>
      <c r="J53" s="44"/>
      <c r="K53" s="44"/>
      <c r="L53" s="29"/>
      <c r="M53" s="29"/>
      <c r="N53" s="43"/>
      <c r="O53" s="43"/>
      <c r="P53" s="43"/>
      <c r="Q53" s="43"/>
      <c r="R53" s="43"/>
      <c r="S53" s="15"/>
    </row>
    <row r="54" spans="2:22" ht="15.75" customHeight="1" x14ac:dyDescent="0.25">
      <c r="B54" s="33">
        <v>1545</v>
      </c>
      <c r="C54" s="9" t="s">
        <v>186</v>
      </c>
      <c r="D54" s="3"/>
      <c r="E54" s="34">
        <v>42</v>
      </c>
      <c r="F54" s="46"/>
      <c r="G54" s="124">
        <v>0.75</v>
      </c>
      <c r="H54" s="124"/>
      <c r="I54" s="124">
        <v>0.05</v>
      </c>
      <c r="J54" s="124">
        <v>0.15</v>
      </c>
      <c r="K54" s="124">
        <v>0.05</v>
      </c>
      <c r="L54" s="32"/>
      <c r="M54" s="32"/>
      <c r="N54" s="35">
        <f>+$E54*G54</f>
        <v>31.5</v>
      </c>
      <c r="O54" s="35">
        <f>+$E54*H54</f>
        <v>0</v>
      </c>
      <c r="P54" s="35">
        <f>+$E54*I54</f>
        <v>2.1</v>
      </c>
      <c r="Q54" s="35">
        <f>+$E54*J54</f>
        <v>6.3</v>
      </c>
      <c r="R54" s="35">
        <f>+$E54*K54</f>
        <v>2.1</v>
      </c>
      <c r="S54" s="15"/>
      <c r="V54" s="4">
        <f>SUM(N54:R54)</f>
        <v>42</v>
      </c>
    </row>
    <row r="55" spans="2:22" ht="15.75" customHeight="1" x14ac:dyDescent="0.25">
      <c r="B55" s="33"/>
      <c r="C55" s="3" t="s">
        <v>15</v>
      </c>
      <c r="D55" s="3"/>
      <c r="E55" s="34"/>
      <c r="F55" s="38">
        <v>5533</v>
      </c>
      <c r="G55" s="124"/>
      <c r="H55" s="124"/>
      <c r="I55" s="124"/>
      <c r="J55" s="124"/>
      <c r="K55" s="124"/>
      <c r="L55" s="32"/>
      <c r="M55" s="32"/>
      <c r="N55" s="35"/>
      <c r="O55" s="35"/>
      <c r="P55" s="35"/>
      <c r="Q55" s="35"/>
      <c r="R55" s="35"/>
      <c r="S55" s="15"/>
    </row>
    <row r="56" spans="2:22" ht="15.75" customHeight="1" x14ac:dyDescent="0.25">
      <c r="B56" s="33"/>
      <c r="C56" s="3" t="s">
        <v>16</v>
      </c>
      <c r="D56" s="3"/>
      <c r="E56" s="34"/>
      <c r="F56" s="39">
        <v>198</v>
      </c>
      <c r="G56" s="124"/>
      <c r="H56" s="124"/>
      <c r="I56" s="124"/>
      <c r="J56" s="124"/>
      <c r="K56" s="124"/>
      <c r="L56" s="32"/>
      <c r="M56" s="32"/>
      <c r="N56" s="35"/>
      <c r="O56" s="35"/>
      <c r="P56" s="35"/>
      <c r="Q56" s="35"/>
      <c r="R56" s="35"/>
      <c r="S56" s="15"/>
    </row>
    <row r="57" spans="2:22" ht="15.75" customHeight="1" x14ac:dyDescent="0.25">
      <c r="B57" s="33"/>
      <c r="C57" s="3" t="s">
        <v>17</v>
      </c>
      <c r="D57" s="40"/>
      <c r="E57" s="41"/>
      <c r="F57" s="38">
        <f>F55+F56</f>
        <v>5731</v>
      </c>
      <c r="G57" s="124">
        <v>0.75</v>
      </c>
      <c r="H57" s="124"/>
      <c r="I57" s="124">
        <v>0.05</v>
      </c>
      <c r="J57" s="124">
        <v>0.15</v>
      </c>
      <c r="K57" s="124">
        <v>0.05</v>
      </c>
      <c r="L57" s="32" t="s">
        <v>110</v>
      </c>
      <c r="M57" s="32" t="s">
        <v>18</v>
      </c>
      <c r="N57" s="46">
        <f>F57*G57</f>
        <v>4298.25</v>
      </c>
      <c r="O57" s="46">
        <f>$F57*H57</f>
        <v>0</v>
      </c>
      <c r="P57" s="46">
        <f>$F57*I57</f>
        <v>286.55</v>
      </c>
      <c r="Q57" s="46">
        <f>$F57*J57</f>
        <v>859.65</v>
      </c>
      <c r="R57" s="46">
        <f>$F57*K57</f>
        <v>286.55</v>
      </c>
      <c r="S57" s="15"/>
      <c r="U57" s="64">
        <f>SUM(G57:K57)</f>
        <v>1</v>
      </c>
    </row>
    <row r="58" spans="2:22" ht="15.75" customHeight="1" x14ac:dyDescent="0.25">
      <c r="B58" s="33"/>
      <c r="C58" s="3"/>
      <c r="D58" s="3"/>
      <c r="E58" s="34"/>
      <c r="F58" s="53"/>
      <c r="G58" s="54"/>
      <c r="H58" s="54"/>
      <c r="I58" s="54"/>
      <c r="J58" s="54"/>
      <c r="K58" s="54"/>
      <c r="L58" s="29"/>
      <c r="M58" s="29"/>
      <c r="N58" s="43"/>
      <c r="O58" s="43"/>
      <c r="P58" s="43"/>
      <c r="Q58" s="43"/>
      <c r="R58" s="43"/>
      <c r="S58" s="15"/>
    </row>
    <row r="59" spans="2:22" ht="15.75" customHeight="1" x14ac:dyDescent="0.25">
      <c r="B59" s="33">
        <v>1546</v>
      </c>
      <c r="C59" s="9" t="s">
        <v>23</v>
      </c>
      <c r="D59" s="3"/>
      <c r="E59" s="34"/>
      <c r="F59" s="46"/>
      <c r="G59" s="55"/>
      <c r="H59" s="55"/>
      <c r="I59" s="55"/>
      <c r="J59" s="55"/>
      <c r="K59" s="55"/>
      <c r="L59" s="32"/>
      <c r="M59" s="32"/>
      <c r="N59" s="35"/>
      <c r="O59" s="35"/>
      <c r="P59" s="35"/>
      <c r="Q59" s="35"/>
      <c r="R59" s="35"/>
      <c r="S59" s="15"/>
    </row>
    <row r="60" spans="2:22" ht="15.75" customHeight="1" x14ac:dyDescent="0.25">
      <c r="B60" s="33"/>
      <c r="C60" s="3" t="s">
        <v>15</v>
      </c>
      <c r="D60" s="56"/>
      <c r="E60" s="57"/>
      <c r="F60" s="38"/>
      <c r="G60" s="55"/>
      <c r="H60" s="55"/>
      <c r="I60" s="55"/>
      <c r="J60" s="55"/>
      <c r="K60" s="55"/>
      <c r="L60" s="32" t="s">
        <v>171</v>
      </c>
      <c r="M60" s="32" t="s">
        <v>94</v>
      </c>
      <c r="N60" s="35"/>
      <c r="O60" s="35"/>
      <c r="P60" s="35"/>
      <c r="Q60" s="35"/>
      <c r="R60" s="35"/>
      <c r="S60" s="15"/>
    </row>
    <row r="61" spans="2:22" ht="15.75" customHeight="1" x14ac:dyDescent="0.25">
      <c r="B61" s="33"/>
      <c r="C61" s="3" t="s">
        <v>16</v>
      </c>
      <c r="D61" s="58"/>
      <c r="E61" s="59"/>
      <c r="F61" s="60"/>
      <c r="G61" s="55"/>
      <c r="H61" s="55"/>
      <c r="I61" s="55"/>
      <c r="J61" s="55"/>
      <c r="K61" s="55"/>
      <c r="L61" s="32"/>
      <c r="M61" s="32" t="s">
        <v>194</v>
      </c>
      <c r="N61" s="35"/>
      <c r="O61" s="35"/>
      <c r="P61" s="35"/>
      <c r="Q61" s="35"/>
      <c r="R61" s="35"/>
      <c r="S61" s="15"/>
    </row>
    <row r="62" spans="2:22" ht="15.75" customHeight="1" x14ac:dyDescent="0.25">
      <c r="B62" s="33"/>
      <c r="C62" s="3" t="s">
        <v>17</v>
      </c>
      <c r="D62" s="58"/>
      <c r="E62" s="61"/>
      <c r="F62" s="38"/>
      <c r="G62" s="55"/>
      <c r="H62" s="55"/>
      <c r="I62" s="55"/>
      <c r="J62" s="55"/>
      <c r="K62" s="55"/>
      <c r="L62" s="32"/>
      <c r="M62" s="32" t="s">
        <v>195</v>
      </c>
      <c r="N62" s="46"/>
      <c r="O62" s="46"/>
      <c r="P62" s="46"/>
      <c r="Q62" s="35"/>
      <c r="R62" s="35"/>
      <c r="S62" s="15"/>
    </row>
    <row r="63" spans="2:22" ht="15.75" customHeight="1" x14ac:dyDescent="0.25">
      <c r="B63" s="33"/>
      <c r="C63" s="3"/>
      <c r="D63" s="3"/>
      <c r="E63" s="34"/>
      <c r="F63" s="53"/>
      <c r="G63" s="54"/>
      <c r="H63" s="54"/>
      <c r="I63" s="54"/>
      <c r="J63" s="54"/>
      <c r="K63" s="54"/>
      <c r="L63" s="29"/>
      <c r="M63" s="29"/>
      <c r="N63" s="43"/>
      <c r="O63" s="43"/>
      <c r="P63" s="43"/>
      <c r="Q63" s="43"/>
      <c r="R63" s="43"/>
      <c r="S63" s="15"/>
    </row>
    <row r="64" spans="2:22" ht="15.75" customHeight="1" x14ac:dyDescent="0.25">
      <c r="B64" s="33"/>
      <c r="C64" s="3" t="s">
        <v>134</v>
      </c>
      <c r="D64" s="40"/>
      <c r="E64" s="50"/>
      <c r="F64" s="38">
        <f>F16+F37+F42+F47+F52+F57+F62+F31+F26+F21</f>
        <v>17921.376</v>
      </c>
      <c r="G64" s="55"/>
      <c r="H64" s="55"/>
      <c r="I64" s="55"/>
      <c r="J64" s="55"/>
      <c r="K64" s="55"/>
      <c r="L64" s="32"/>
      <c r="M64" s="32"/>
      <c r="N64" s="42">
        <f>+N16+N21+N26+N31+N37+N42+N47+N52+N57</f>
        <v>9148.0119999999988</v>
      </c>
      <c r="O64" s="42">
        <f>+O16+O21+O26+O31+O37+O42+O47+O52+O57</f>
        <v>2895.103714285714</v>
      </c>
      <c r="P64" s="42">
        <f>+P16+P21+P26+P31+P37+P42+P47+P52+P57</f>
        <v>1715.3551428571429</v>
      </c>
      <c r="Q64" s="42">
        <f>+Q16+Q21+Q26+Q31+Q37+Q42+Q47+Q52+Q57</f>
        <v>3213.9646666666663</v>
      </c>
      <c r="R64" s="42">
        <f>+R16+R21+R26+R31+R37+R42+R47+R52+R57</f>
        <v>948.94047619047637</v>
      </c>
      <c r="S64" s="15"/>
      <c r="U64" s="391">
        <f>SUM(N64:R64)</f>
        <v>17921.375999999997</v>
      </c>
    </row>
    <row r="65" spans="1:254" ht="15.75" customHeight="1" x14ac:dyDescent="0.25">
      <c r="B65" s="33"/>
      <c r="C65" s="3" t="s">
        <v>137</v>
      </c>
      <c r="D65" s="40"/>
      <c r="E65" s="45">
        <f>SUM(E13:E54)</f>
        <v>126</v>
      </c>
      <c r="F65" s="38"/>
      <c r="G65" s="55"/>
      <c r="H65" s="55"/>
      <c r="I65" s="55"/>
      <c r="J65" s="55"/>
      <c r="K65" s="55"/>
      <c r="L65" s="32"/>
      <c r="M65" s="32"/>
      <c r="N65" s="62">
        <f>+N54+N49+N39+N44+N34+N28+N23+N18+N13</f>
        <v>65.14</v>
      </c>
      <c r="O65" s="62">
        <f>+O54+O49+O39+O44+O34+O28+O23+O18+O13</f>
        <v>21.554285714285712</v>
      </c>
      <c r="P65" s="62">
        <f>+P54+P49+P39+P44+P34+P28+P23+P18+P13</f>
        <v>11.702857142857143</v>
      </c>
      <c r="Q65" s="62">
        <f>+Q54+Q49+Q39+Q44+Q34+Q28+Q23+Q18+Q13</f>
        <v>21.12</v>
      </c>
      <c r="R65" s="62">
        <f>+R54+R49+R39+R44+R34+R28+R23+R18+R13</f>
        <v>6.4828571428571431</v>
      </c>
      <c r="S65" s="15"/>
      <c r="U65" s="391">
        <f>SUM(N65:R65)</f>
        <v>126</v>
      </c>
      <c r="V65" s="4">
        <f>SUM(V1:V64)</f>
        <v>126</v>
      </c>
    </row>
    <row r="66" spans="1:254" ht="15.75" customHeight="1" x14ac:dyDescent="0.25">
      <c r="B66" s="33"/>
      <c r="C66" s="3"/>
      <c r="D66" s="40"/>
      <c r="E66" s="50"/>
      <c r="F66" s="38"/>
      <c r="G66" s="55"/>
      <c r="H66" s="55"/>
      <c r="I66" s="55"/>
      <c r="J66" s="55"/>
      <c r="K66" s="55"/>
      <c r="L66" s="32"/>
      <c r="M66" s="32"/>
      <c r="N66" s="38"/>
      <c r="O66" s="38"/>
      <c r="P66" s="38"/>
      <c r="Q66" s="38"/>
      <c r="R66" s="38"/>
      <c r="S66" s="15"/>
    </row>
    <row r="67" spans="1:254" ht="15.75" customHeight="1" x14ac:dyDescent="0.25">
      <c r="B67" s="33"/>
      <c r="C67" s="3" t="s">
        <v>135</v>
      </c>
      <c r="D67" s="3"/>
      <c r="E67" s="34"/>
      <c r="F67" s="38"/>
      <c r="G67" s="55"/>
      <c r="H67" s="55"/>
      <c r="I67" s="55"/>
      <c r="J67" s="55"/>
      <c r="K67" s="55"/>
      <c r="L67" s="32"/>
      <c r="M67" s="32"/>
      <c r="N67" s="63">
        <f>N64/$F64</f>
        <v>0.51045254560810505</v>
      </c>
      <c r="O67" s="63">
        <f>O64/$F64</f>
        <v>0.16154472258635241</v>
      </c>
      <c r="P67" s="63">
        <f>P64/$F64</f>
        <v>9.5715593649569261E-2</v>
      </c>
      <c r="Q67" s="63">
        <f>Q64/F64</f>
        <v>0.17933693633048411</v>
      </c>
      <c r="R67" s="63">
        <f>R64/$F64</f>
        <v>5.2950201825489089E-2</v>
      </c>
      <c r="S67" s="15"/>
      <c r="T67" s="64"/>
      <c r="U67" s="64"/>
    </row>
    <row r="68" spans="1:254" ht="15.75" customHeight="1" x14ac:dyDescent="0.25">
      <c r="B68" s="33"/>
      <c r="C68" s="3" t="s">
        <v>136</v>
      </c>
      <c r="D68" s="3"/>
      <c r="E68" s="52"/>
      <c r="F68" s="38"/>
      <c r="G68" s="55"/>
      <c r="H68" s="55"/>
      <c r="I68" s="55"/>
      <c r="J68" s="55"/>
      <c r="K68" s="55"/>
      <c r="L68" s="32"/>
      <c r="M68" s="32"/>
      <c r="N68" s="63">
        <f>+N65/$E65</f>
        <v>0.51698412698412699</v>
      </c>
      <c r="O68" s="63">
        <f>+O65/$E65</f>
        <v>0.17106575963718818</v>
      </c>
      <c r="P68" s="63">
        <f>+P65/$E65</f>
        <v>9.287981859410431E-2</v>
      </c>
      <c r="Q68" s="63">
        <f>+Q65/$E65</f>
        <v>0.16761904761904764</v>
      </c>
      <c r="R68" s="63">
        <f>+R65/$E65</f>
        <v>5.1451247165532885E-2</v>
      </c>
      <c r="S68" s="15"/>
      <c r="T68" s="64"/>
      <c r="U68" s="64">
        <f>SUM(G68:K68)</f>
        <v>0</v>
      </c>
      <c r="V68" s="390">
        <f>SUM(N68:R68)</f>
        <v>1</v>
      </c>
    </row>
    <row r="69" spans="1:254" x14ac:dyDescent="0.2">
      <c r="B69" s="6"/>
      <c r="C69" s="3"/>
      <c r="D69" s="3"/>
      <c r="E69" s="3"/>
      <c r="F69" s="65"/>
      <c r="G69" s="66"/>
      <c r="H69" s="66"/>
      <c r="I69" s="66"/>
      <c r="J69" s="67"/>
      <c r="K69" s="67"/>
      <c r="L69" s="68"/>
      <c r="M69" s="68"/>
      <c r="N69" s="65"/>
      <c r="O69" s="65"/>
      <c r="P69" s="65"/>
      <c r="Q69" s="65"/>
      <c r="R69" s="65"/>
      <c r="S69" s="3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</row>
    <row r="70" spans="1:254" ht="30" x14ac:dyDescent="0.4">
      <c r="A70" s="405" t="s">
        <v>273</v>
      </c>
      <c r="B70" s="2"/>
      <c r="C70" s="3"/>
      <c r="D70" s="3"/>
      <c r="E70" s="3"/>
      <c r="F70" s="3"/>
      <c r="G70" s="70"/>
      <c r="H70" s="70"/>
      <c r="I70" s="70"/>
      <c r="J70" s="2"/>
      <c r="K70" s="2" t="s">
        <v>218</v>
      </c>
      <c r="L70" s="2"/>
      <c r="M70" s="6"/>
      <c r="N70" s="3"/>
      <c r="O70" s="3"/>
      <c r="P70" s="3"/>
      <c r="Q70" s="3"/>
      <c r="R70" s="3"/>
      <c r="S70" s="3"/>
    </row>
    <row r="71" spans="1:254" ht="30" x14ac:dyDescent="0.4">
      <c r="A71" s="69"/>
      <c r="B71" s="2"/>
      <c r="C71" s="3"/>
      <c r="D71" s="3"/>
      <c r="E71" s="3"/>
      <c r="F71" s="3"/>
      <c r="G71" s="70"/>
      <c r="H71" s="70"/>
      <c r="I71" s="70"/>
      <c r="J71" s="2"/>
      <c r="K71" s="2" t="s">
        <v>253</v>
      </c>
      <c r="L71" s="2"/>
      <c r="M71" s="6"/>
      <c r="N71" s="3"/>
      <c r="O71" s="3"/>
      <c r="P71" s="3"/>
      <c r="Q71" s="3"/>
      <c r="R71" s="3"/>
      <c r="S71" s="3"/>
    </row>
    <row r="72" spans="1:254" x14ac:dyDescent="0.2">
      <c r="A72" s="69"/>
      <c r="B72" s="6"/>
      <c r="C72" s="3"/>
      <c r="D72" s="3"/>
      <c r="E72" s="3"/>
      <c r="F72" s="3"/>
      <c r="G72" s="70"/>
      <c r="H72" s="70"/>
      <c r="J72" s="3"/>
      <c r="K72" s="70"/>
      <c r="L72" s="6"/>
      <c r="M72" s="6"/>
      <c r="N72" s="3"/>
      <c r="O72" s="3"/>
      <c r="P72" s="3"/>
      <c r="Q72" s="3"/>
      <c r="R72" s="3"/>
      <c r="S72" s="3"/>
    </row>
    <row r="73" spans="1:254" ht="12" customHeight="1" x14ac:dyDescent="0.35">
      <c r="A73" s="5"/>
      <c r="B73" s="6"/>
      <c r="C73" s="3"/>
      <c r="D73" s="3"/>
      <c r="E73" s="3"/>
      <c r="F73" s="3"/>
      <c r="G73" s="3"/>
      <c r="H73" s="3"/>
      <c r="I73" s="3"/>
      <c r="J73" s="3"/>
      <c r="K73" s="3"/>
      <c r="L73" s="6"/>
      <c r="M73" s="5"/>
      <c r="N73" s="3"/>
      <c r="O73" s="3"/>
      <c r="P73" s="3"/>
      <c r="Q73" s="3"/>
      <c r="R73" s="3"/>
      <c r="S73" s="3"/>
    </row>
    <row r="74" spans="1:254" ht="18" customHeight="1" x14ac:dyDescent="0.25">
      <c r="B74" s="8"/>
      <c r="C74" s="9"/>
      <c r="D74" s="9"/>
      <c r="E74" s="9"/>
      <c r="F74" s="9"/>
      <c r="G74" s="71" t="s">
        <v>0</v>
      </c>
      <c r="H74" s="71"/>
      <c r="I74" s="71"/>
      <c r="J74" s="72"/>
      <c r="K74" s="72"/>
      <c r="L74" s="310"/>
      <c r="M74" s="307"/>
      <c r="N74" s="12" t="s">
        <v>183</v>
      </c>
      <c r="O74" s="13"/>
      <c r="P74" s="13"/>
      <c r="Q74" s="14"/>
      <c r="R74" s="13"/>
      <c r="S74" s="15"/>
    </row>
    <row r="75" spans="1:254" ht="15.75" x14ac:dyDescent="0.25">
      <c r="B75" s="16" t="s">
        <v>1</v>
      </c>
      <c r="C75" s="9"/>
      <c r="D75" s="9"/>
      <c r="E75" s="17" t="s">
        <v>176</v>
      </c>
      <c r="F75" s="73" t="s">
        <v>2</v>
      </c>
      <c r="G75" s="18" t="s">
        <v>159</v>
      </c>
      <c r="H75" s="74"/>
      <c r="I75" s="74"/>
      <c r="J75" s="74" t="s">
        <v>3</v>
      </c>
      <c r="K75" s="74" t="s">
        <v>4</v>
      </c>
      <c r="L75" s="311"/>
      <c r="M75" s="308"/>
      <c r="N75" s="18" t="s">
        <v>159</v>
      </c>
      <c r="O75" s="18"/>
      <c r="P75" s="18"/>
      <c r="Q75" s="18" t="s">
        <v>3</v>
      </c>
      <c r="R75" s="18" t="s">
        <v>4</v>
      </c>
      <c r="S75" s="15"/>
    </row>
    <row r="76" spans="1:254" ht="15.75" x14ac:dyDescent="0.25">
      <c r="B76" s="19" t="s">
        <v>5</v>
      </c>
      <c r="C76" s="24" t="s">
        <v>6</v>
      </c>
      <c r="D76" s="21"/>
      <c r="E76" s="22" t="s">
        <v>133</v>
      </c>
      <c r="F76" s="75" t="s">
        <v>7</v>
      </c>
      <c r="G76" s="23" t="s">
        <v>160</v>
      </c>
      <c r="H76" s="292" t="s">
        <v>8</v>
      </c>
      <c r="I76" s="292" t="s">
        <v>9</v>
      </c>
      <c r="J76" s="292" t="s">
        <v>10</v>
      </c>
      <c r="K76" s="292" t="s">
        <v>11</v>
      </c>
      <c r="L76" s="293" t="s">
        <v>107</v>
      </c>
      <c r="M76" s="75" t="s">
        <v>12</v>
      </c>
      <c r="N76" s="23" t="s">
        <v>160</v>
      </c>
      <c r="O76" s="23" t="s">
        <v>8</v>
      </c>
      <c r="P76" s="23" t="s">
        <v>9</v>
      </c>
      <c r="Q76" s="23" t="s">
        <v>10</v>
      </c>
      <c r="R76" s="293" t="s">
        <v>184</v>
      </c>
      <c r="S76" s="15"/>
    </row>
    <row r="77" spans="1:254" ht="23.25" x14ac:dyDescent="0.35">
      <c r="B77" s="79"/>
      <c r="C77" s="3"/>
      <c r="D77" s="3"/>
      <c r="E77" s="128"/>
      <c r="F77" s="285"/>
      <c r="G77" s="23" t="s">
        <v>234</v>
      </c>
      <c r="H77" s="76"/>
      <c r="I77" s="76"/>
      <c r="J77" s="76"/>
      <c r="K77" s="77" t="s">
        <v>113</v>
      </c>
      <c r="L77" s="78"/>
      <c r="M77" s="309"/>
      <c r="N77" s="23" t="s">
        <v>234</v>
      </c>
      <c r="O77" s="77"/>
      <c r="P77" s="77"/>
      <c r="Q77" s="77"/>
      <c r="R77" s="78" t="s">
        <v>113</v>
      </c>
      <c r="S77" s="15"/>
    </row>
    <row r="78" spans="1:254" ht="23.25" x14ac:dyDescent="0.35">
      <c r="B78" s="79"/>
      <c r="C78" s="30" t="s">
        <v>193</v>
      </c>
      <c r="D78" s="137"/>
      <c r="E78" s="26"/>
      <c r="F78" s="167"/>
      <c r="G78" s="292"/>
      <c r="H78" s="292"/>
      <c r="I78" s="292"/>
      <c r="J78" s="292"/>
      <c r="K78" s="23"/>
      <c r="L78" s="23"/>
      <c r="M78" s="23"/>
      <c r="N78" s="23"/>
      <c r="O78" s="23"/>
      <c r="P78" s="23"/>
      <c r="Q78" s="23"/>
      <c r="R78" s="293"/>
      <c r="S78" s="15"/>
    </row>
    <row r="79" spans="1:254" ht="15.75" customHeight="1" x14ac:dyDescent="0.25">
      <c r="B79" s="33">
        <v>1541</v>
      </c>
      <c r="C79" s="30" t="s">
        <v>130</v>
      </c>
      <c r="D79" s="3"/>
      <c r="E79" s="34">
        <v>1</v>
      </c>
      <c r="F79" s="35"/>
      <c r="G79" s="55"/>
      <c r="H79" s="55"/>
      <c r="I79" s="55"/>
      <c r="J79" s="55"/>
      <c r="K79" s="55"/>
      <c r="L79" s="32"/>
      <c r="M79" s="32"/>
      <c r="N79" s="62">
        <f>+$E79*N68</f>
        <v>0.51698412698412699</v>
      </c>
      <c r="O79" s="62">
        <f>+$E79*O68</f>
        <v>0.17106575963718818</v>
      </c>
      <c r="P79" s="62">
        <f>+$E79*P68</f>
        <v>9.287981859410431E-2</v>
      </c>
      <c r="Q79" s="62">
        <f>+$E79*Q68</f>
        <v>0.16761904761904764</v>
      </c>
      <c r="R79" s="62">
        <f>+$E79*R68</f>
        <v>5.1451247165532885E-2</v>
      </c>
      <c r="S79" s="15"/>
      <c r="T79" s="64"/>
    </row>
    <row r="80" spans="1:254" ht="15.75" customHeight="1" x14ac:dyDescent="0.25">
      <c r="B80" s="33"/>
      <c r="C80" s="3" t="s">
        <v>15</v>
      </c>
      <c r="D80" s="3"/>
      <c r="E80" s="34"/>
      <c r="F80" s="38">
        <v>262.39999999999998</v>
      </c>
      <c r="G80" s="55"/>
      <c r="H80" s="55"/>
      <c r="I80" s="55"/>
      <c r="J80" s="55"/>
      <c r="K80" s="55"/>
      <c r="L80" s="32"/>
      <c r="M80" s="32"/>
      <c r="N80" s="80"/>
      <c r="O80" s="80"/>
      <c r="P80" s="80"/>
      <c r="Q80" s="80"/>
      <c r="R80" s="80"/>
      <c r="S80" s="15"/>
      <c r="T80" s="64"/>
    </row>
    <row r="81" spans="2:21" ht="15.75" customHeight="1" x14ac:dyDescent="0.25">
      <c r="B81" s="33"/>
      <c r="C81" s="3" t="s">
        <v>26</v>
      </c>
      <c r="D81" s="3"/>
      <c r="E81" s="34"/>
      <c r="F81" s="46">
        <v>1200</v>
      </c>
      <c r="G81" s="55"/>
      <c r="H81" s="55"/>
      <c r="I81" s="55"/>
      <c r="J81" s="55"/>
      <c r="K81" s="55"/>
      <c r="L81" s="32"/>
      <c r="M81" s="32"/>
      <c r="N81" s="80"/>
      <c r="O81" s="80"/>
      <c r="P81" s="80"/>
      <c r="Q81" s="80"/>
      <c r="R81" s="80"/>
      <c r="S81" s="15"/>
      <c r="T81" s="64"/>
    </row>
    <row r="82" spans="2:21" ht="15.75" customHeight="1" x14ac:dyDescent="0.25">
      <c r="B82" s="33"/>
      <c r="C82" s="3" t="s">
        <v>27</v>
      </c>
      <c r="D82" s="3"/>
      <c r="E82" s="34"/>
      <c r="F82" s="80">
        <v>651</v>
      </c>
      <c r="G82" s="55"/>
      <c r="H82" s="55"/>
      <c r="I82" s="55"/>
      <c r="J82" s="55"/>
      <c r="K82" s="55"/>
      <c r="L82" s="32"/>
      <c r="M82" s="32"/>
      <c r="N82" s="80"/>
      <c r="O82" s="80"/>
      <c r="P82" s="80"/>
      <c r="Q82" s="80"/>
      <c r="R82" s="80"/>
      <c r="S82" s="15"/>
      <c r="T82" s="64"/>
    </row>
    <row r="83" spans="2:21" ht="15.75" customHeight="1" x14ac:dyDescent="0.25">
      <c r="B83" s="33"/>
      <c r="C83" s="3" t="s">
        <v>17</v>
      </c>
      <c r="D83" s="40"/>
      <c r="E83" s="50"/>
      <c r="F83" s="38">
        <f>SUM(F80:F82)</f>
        <v>2113.4</v>
      </c>
      <c r="G83" s="55">
        <f>+N67</f>
        <v>0.51045254560810505</v>
      </c>
      <c r="H83" s="55">
        <f>+O67</f>
        <v>0.16154472258635241</v>
      </c>
      <c r="I83" s="55">
        <f>+P67</f>
        <v>9.5715593649569261E-2</v>
      </c>
      <c r="J83" s="55">
        <f>+Q67</f>
        <v>0.17933693633048411</v>
      </c>
      <c r="K83" s="55">
        <f>+R67</f>
        <v>5.2950201825489089E-2</v>
      </c>
      <c r="L83" s="32" t="s">
        <v>111</v>
      </c>
      <c r="M83" s="32" t="s">
        <v>138</v>
      </c>
      <c r="N83" s="81">
        <f>G83*$F83</f>
        <v>1078.7904098881693</v>
      </c>
      <c r="O83" s="81">
        <f>H83*$F83</f>
        <v>341.40861671399722</v>
      </c>
      <c r="P83" s="81">
        <f>I83*$F83</f>
        <v>202.28533561899968</v>
      </c>
      <c r="Q83" s="81">
        <f>J83*$F83</f>
        <v>379.01068124084514</v>
      </c>
      <c r="R83" s="81">
        <f>K83*$F83</f>
        <v>111.90495653798864</v>
      </c>
      <c r="S83" s="15"/>
      <c r="T83" s="64"/>
      <c r="U83" s="64">
        <f>SUM(G83:K83)</f>
        <v>0.99999999999999989</v>
      </c>
    </row>
    <row r="84" spans="2:21" ht="15.75" customHeight="1" x14ac:dyDescent="0.25">
      <c r="B84" s="33"/>
      <c r="C84" s="3"/>
      <c r="D84" s="40"/>
      <c r="E84" s="41"/>
      <c r="F84" s="38"/>
      <c r="G84" s="55"/>
      <c r="H84" s="55"/>
      <c r="I84" s="55"/>
      <c r="J84" s="55"/>
      <c r="K84" s="55"/>
      <c r="L84" s="32"/>
      <c r="M84" s="32" t="s">
        <v>179</v>
      </c>
      <c r="N84" s="80"/>
      <c r="O84" s="80"/>
      <c r="P84" s="80"/>
      <c r="Q84" s="80"/>
      <c r="R84" s="80"/>
      <c r="S84" s="15"/>
      <c r="T84" s="64"/>
    </row>
    <row r="85" spans="2:21" ht="15.75" customHeight="1" x14ac:dyDescent="0.25">
      <c r="B85" s="33">
        <v>1548</v>
      </c>
      <c r="C85" s="30" t="s">
        <v>131</v>
      </c>
      <c r="D85" s="3"/>
      <c r="E85" s="34">
        <v>5</v>
      </c>
      <c r="F85" s="43"/>
      <c r="G85" s="54"/>
      <c r="H85" s="54"/>
      <c r="I85" s="54"/>
      <c r="J85" s="54"/>
      <c r="K85" s="54"/>
      <c r="L85" s="29"/>
      <c r="M85" s="29"/>
      <c r="N85" s="82">
        <f>+$E85*N68</f>
        <v>2.5849206349206351</v>
      </c>
      <c r="O85" s="82">
        <f>+$E85*O68</f>
        <v>0.85532879818594088</v>
      </c>
      <c r="P85" s="82">
        <f>+$E85*P68</f>
        <v>0.46439909297052157</v>
      </c>
      <c r="Q85" s="82">
        <f>+$E85*Q68</f>
        <v>0.83809523809523823</v>
      </c>
      <c r="R85" s="82">
        <f>+$E85*R68</f>
        <v>0.25725623582766444</v>
      </c>
      <c r="S85" s="15"/>
      <c r="T85" s="64"/>
    </row>
    <row r="86" spans="2:21" ht="15.75" customHeight="1" x14ac:dyDescent="0.25">
      <c r="B86" s="33"/>
      <c r="C86" s="3" t="s">
        <v>15</v>
      </c>
      <c r="D86" s="3"/>
      <c r="E86" s="34"/>
      <c r="F86" s="38">
        <v>562.4</v>
      </c>
      <c r="G86" s="55"/>
      <c r="H86" s="55"/>
      <c r="I86" s="55"/>
      <c r="J86" s="55"/>
      <c r="K86" s="55"/>
      <c r="L86" s="32"/>
      <c r="M86" s="32"/>
      <c r="N86" s="80"/>
      <c r="O86" s="80"/>
      <c r="P86" s="80"/>
      <c r="Q86" s="80"/>
      <c r="R86" s="80"/>
      <c r="S86" s="15"/>
      <c r="T86" s="64"/>
    </row>
    <row r="87" spans="2:21" ht="15.75" customHeight="1" x14ac:dyDescent="0.25">
      <c r="B87" s="33"/>
      <c r="C87" s="3" t="s">
        <v>26</v>
      </c>
      <c r="D87" s="3"/>
      <c r="E87" s="34"/>
      <c r="F87" s="46">
        <v>0</v>
      </c>
      <c r="G87" s="55"/>
      <c r="H87" s="55"/>
      <c r="I87" s="55"/>
      <c r="J87" s="55"/>
      <c r="K87" s="55"/>
      <c r="L87" s="32"/>
      <c r="M87" s="32"/>
      <c r="N87" s="80"/>
      <c r="O87" s="80"/>
      <c r="P87" s="80"/>
      <c r="Q87" s="80"/>
      <c r="R87" s="80"/>
      <c r="S87" s="15"/>
      <c r="T87" s="64"/>
    </row>
    <row r="88" spans="2:21" ht="15.75" customHeight="1" x14ac:dyDescent="0.25">
      <c r="B88" s="33"/>
      <c r="C88" s="3" t="s">
        <v>27</v>
      </c>
      <c r="D88" s="3"/>
      <c r="E88" s="34"/>
      <c r="F88" s="80">
        <v>106</v>
      </c>
      <c r="G88" s="55"/>
      <c r="H88" s="55"/>
      <c r="I88" s="55"/>
      <c r="J88" s="55"/>
      <c r="K88" s="55"/>
      <c r="L88" s="32"/>
      <c r="M88" s="32" t="s">
        <v>138</v>
      </c>
      <c r="N88" s="80"/>
      <c r="O88" s="80"/>
      <c r="P88" s="80"/>
      <c r="Q88" s="80"/>
      <c r="R88" s="80"/>
      <c r="S88" s="15"/>
      <c r="T88" s="64"/>
    </row>
    <row r="89" spans="2:21" ht="15.75" customHeight="1" x14ac:dyDescent="0.25">
      <c r="B89" s="33"/>
      <c r="C89" s="3" t="s">
        <v>17</v>
      </c>
      <c r="D89" s="40"/>
      <c r="E89" s="50"/>
      <c r="F89" s="38">
        <f>SUM(F86:F88)</f>
        <v>668.4</v>
      </c>
      <c r="G89" s="55">
        <f>+N68</f>
        <v>0.51698412698412699</v>
      </c>
      <c r="H89" s="55">
        <f>+O68</f>
        <v>0.17106575963718818</v>
      </c>
      <c r="I89" s="55">
        <f>+P68</f>
        <v>9.287981859410431E-2</v>
      </c>
      <c r="J89" s="55">
        <f>+Q68</f>
        <v>0.16761904761904764</v>
      </c>
      <c r="K89" s="55">
        <f>+R68</f>
        <v>5.1451247165532885E-2</v>
      </c>
      <c r="L89" s="83" t="s">
        <v>111</v>
      </c>
      <c r="M89" s="4" t="s">
        <v>133</v>
      </c>
      <c r="N89" s="81">
        <f>G89*$F89</f>
        <v>345.55219047619045</v>
      </c>
      <c r="O89" s="81">
        <f>H89*$F89</f>
        <v>114.34035374149657</v>
      </c>
      <c r="P89" s="81">
        <f>I89*$F89</f>
        <v>62.080870748299319</v>
      </c>
      <c r="Q89" s="81">
        <f>J89*$F89</f>
        <v>112.03657142857143</v>
      </c>
      <c r="R89" s="81">
        <f>K89*$F89</f>
        <v>34.390013605442178</v>
      </c>
      <c r="S89" s="15"/>
      <c r="T89" s="64"/>
      <c r="U89" s="64">
        <f>SUM(G89:K89)</f>
        <v>1</v>
      </c>
    </row>
    <row r="90" spans="2:21" ht="15.75" customHeight="1" x14ac:dyDescent="0.25">
      <c r="B90" s="33"/>
      <c r="C90" s="3"/>
      <c r="D90" s="40"/>
      <c r="E90" s="50"/>
      <c r="F90" s="38"/>
      <c r="G90" s="55"/>
      <c r="H90" s="55"/>
      <c r="I90" s="55"/>
      <c r="J90" s="55"/>
      <c r="K90" s="55"/>
      <c r="L90" s="83"/>
      <c r="M90" s="4"/>
      <c r="N90" s="80"/>
      <c r="O90" s="80"/>
      <c r="P90" s="80"/>
      <c r="Q90" s="80"/>
      <c r="R90" s="80"/>
      <c r="S90" s="15"/>
      <c r="T90" s="64"/>
    </row>
    <row r="91" spans="2:21" ht="15.75" customHeight="1" x14ac:dyDescent="0.25">
      <c r="B91" s="33">
        <v>1549</v>
      </c>
      <c r="C91" s="30" t="s">
        <v>172</v>
      </c>
      <c r="D91" s="3"/>
      <c r="E91" s="298">
        <v>9</v>
      </c>
      <c r="F91" s="43"/>
      <c r="G91" s="54"/>
      <c r="H91" s="54"/>
      <c r="I91" s="54"/>
      <c r="J91" s="54"/>
      <c r="K91" s="54"/>
      <c r="L91" s="29"/>
      <c r="M91" s="29"/>
      <c r="N91" s="82">
        <f>+$E91*N68</f>
        <v>4.652857142857143</v>
      </c>
      <c r="O91" s="82">
        <f>+$E91*O68</f>
        <v>1.5395918367346937</v>
      </c>
      <c r="P91" s="82">
        <f>+$E91*P68</f>
        <v>0.83591836734693881</v>
      </c>
      <c r="Q91" s="82">
        <f>+$E91*Q68</f>
        <v>1.5085714285714287</v>
      </c>
      <c r="R91" s="82">
        <f>+$E91*R68</f>
        <v>0.46306122448979598</v>
      </c>
      <c r="S91" s="15"/>
      <c r="T91" s="64"/>
    </row>
    <row r="92" spans="2:21" ht="15.75" customHeight="1" x14ac:dyDescent="0.25">
      <c r="B92" s="33"/>
      <c r="C92" s="3" t="s">
        <v>15</v>
      </c>
      <c r="D92" s="3"/>
      <c r="E92" s="34"/>
      <c r="F92" s="38">
        <v>1195.4000000000001</v>
      </c>
      <c r="G92" s="55"/>
      <c r="H92" s="55"/>
      <c r="I92" s="55"/>
      <c r="J92" s="55"/>
      <c r="K92" s="55"/>
      <c r="L92" s="32"/>
      <c r="M92" s="32"/>
      <c r="N92" s="80"/>
      <c r="O92" s="80"/>
      <c r="P92" s="80"/>
      <c r="Q92" s="80"/>
      <c r="R92" s="80"/>
      <c r="S92" s="15"/>
      <c r="T92" s="64"/>
    </row>
    <row r="93" spans="2:21" ht="15.75" customHeight="1" x14ac:dyDescent="0.25">
      <c r="B93" s="33"/>
      <c r="C93" s="3" t="s">
        <v>26</v>
      </c>
      <c r="D93" s="3"/>
      <c r="E93" s="34"/>
      <c r="F93" s="46"/>
      <c r="G93" s="55"/>
      <c r="H93" s="55"/>
      <c r="I93" s="55"/>
      <c r="J93" s="55"/>
      <c r="K93" s="55"/>
      <c r="L93" s="32"/>
      <c r="M93" s="32"/>
      <c r="N93" s="80"/>
      <c r="O93" s="80"/>
      <c r="P93" s="80"/>
      <c r="Q93" s="80"/>
      <c r="R93" s="80"/>
      <c r="S93" s="15"/>
      <c r="T93" s="64"/>
    </row>
    <row r="94" spans="2:21" ht="15.75" customHeight="1" x14ac:dyDescent="0.25">
      <c r="B94" s="33"/>
      <c r="C94" s="3" t="s">
        <v>27</v>
      </c>
      <c r="D94" s="3"/>
      <c r="E94" s="34"/>
      <c r="F94" s="46"/>
      <c r="G94" s="55"/>
      <c r="H94" s="55"/>
      <c r="I94" s="55"/>
      <c r="J94" s="55"/>
      <c r="K94" s="55"/>
      <c r="L94" s="32"/>
      <c r="M94" s="32" t="s">
        <v>138</v>
      </c>
      <c r="N94" s="80"/>
      <c r="O94" s="80"/>
      <c r="P94" s="80"/>
      <c r="Q94" s="80"/>
      <c r="R94" s="80"/>
      <c r="S94" s="15"/>
      <c r="T94" s="64"/>
    </row>
    <row r="95" spans="2:21" ht="15.75" customHeight="1" x14ac:dyDescent="0.25">
      <c r="B95" s="33"/>
      <c r="C95" s="3" t="s">
        <v>17</v>
      </c>
      <c r="D95" s="40"/>
      <c r="E95" s="50"/>
      <c r="F95" s="38">
        <f>SUM(F92:F94)</f>
        <v>1195.4000000000001</v>
      </c>
      <c r="G95" s="55">
        <f>+N68</f>
        <v>0.51698412698412699</v>
      </c>
      <c r="H95" s="55">
        <f>+O68</f>
        <v>0.17106575963718818</v>
      </c>
      <c r="I95" s="55">
        <f>+P68</f>
        <v>9.287981859410431E-2</v>
      </c>
      <c r="J95" s="55">
        <f>+Q68</f>
        <v>0.16761904761904764</v>
      </c>
      <c r="K95" s="55">
        <f>+R68</f>
        <v>5.1451247165532885E-2</v>
      </c>
      <c r="L95" s="83" t="s">
        <v>111</v>
      </c>
      <c r="M95" s="4" t="s">
        <v>133</v>
      </c>
      <c r="N95" s="81">
        <f>G95*$F95</f>
        <v>618.00282539682541</v>
      </c>
      <c r="O95" s="81">
        <f>H95*$F95</f>
        <v>204.49200907029476</v>
      </c>
      <c r="P95" s="81">
        <f>I95*$F95</f>
        <v>111.0285351473923</v>
      </c>
      <c r="Q95" s="81">
        <f>J95*$F95</f>
        <v>200.37180952380956</v>
      </c>
      <c r="R95" s="81">
        <f>K95*$F95</f>
        <v>61.504820861678013</v>
      </c>
      <c r="S95" s="15"/>
      <c r="T95" s="64"/>
      <c r="U95" s="64">
        <f>SUM(G95:K95)</f>
        <v>1</v>
      </c>
    </row>
    <row r="96" spans="2:21" ht="15.75" customHeight="1" x14ac:dyDescent="0.25">
      <c r="B96" s="6"/>
      <c r="C96" s="16"/>
      <c r="D96" s="3"/>
      <c r="E96" s="52"/>
      <c r="F96" s="86"/>
      <c r="G96" s="55"/>
      <c r="H96" s="55"/>
      <c r="I96" s="55"/>
      <c r="J96" s="55"/>
      <c r="K96" s="55"/>
      <c r="L96" s="87"/>
      <c r="M96" s="87"/>
      <c r="N96" s="88"/>
      <c r="O96" s="88"/>
      <c r="P96" s="88"/>
      <c r="Q96" s="88"/>
      <c r="R96" s="88"/>
      <c r="S96" s="15"/>
      <c r="T96" s="64"/>
    </row>
    <row r="97" spans="2:21" ht="15.75" customHeight="1" x14ac:dyDescent="0.25">
      <c r="B97" s="33">
        <v>1554</v>
      </c>
      <c r="C97" s="30" t="s">
        <v>260</v>
      </c>
      <c r="D97" s="3"/>
      <c r="E97" s="34"/>
      <c r="F97" s="43"/>
      <c r="G97" s="54"/>
      <c r="H97" s="54"/>
      <c r="I97" s="54"/>
      <c r="J97" s="54"/>
      <c r="K97" s="54"/>
      <c r="L97" s="29"/>
      <c r="M97" s="29"/>
      <c r="N97" s="82"/>
      <c r="O97" s="82"/>
      <c r="P97" s="82"/>
      <c r="Q97" s="82"/>
      <c r="R97" s="82"/>
      <c r="S97" s="15"/>
      <c r="T97" s="64"/>
    </row>
    <row r="98" spans="2:21" ht="15.75" customHeight="1" x14ac:dyDescent="0.25">
      <c r="B98" s="33"/>
      <c r="C98" s="3" t="s">
        <v>15</v>
      </c>
      <c r="D98" s="3"/>
      <c r="E98" s="34"/>
      <c r="F98" s="38"/>
      <c r="G98" s="55"/>
      <c r="H98" s="55"/>
      <c r="I98" s="55"/>
      <c r="J98" s="55"/>
      <c r="K98" s="55"/>
      <c r="L98" s="32"/>
      <c r="M98" s="32"/>
      <c r="N98" s="80"/>
      <c r="O98" s="80"/>
      <c r="P98" s="80"/>
      <c r="Q98" s="80"/>
      <c r="R98" s="80"/>
      <c r="S98" s="15"/>
      <c r="T98" s="64"/>
    </row>
    <row r="99" spans="2:21" ht="15.75" customHeight="1" x14ac:dyDescent="0.25">
      <c r="B99" s="33"/>
      <c r="C99" s="3" t="s">
        <v>26</v>
      </c>
      <c r="D99" s="3"/>
      <c r="E99" s="34"/>
      <c r="F99" s="46"/>
      <c r="G99" s="55"/>
      <c r="H99" s="55"/>
      <c r="I99" s="55"/>
      <c r="J99" s="55"/>
      <c r="K99" s="55"/>
      <c r="L99" s="32"/>
      <c r="M99" s="32" t="s">
        <v>187</v>
      </c>
      <c r="N99" s="80"/>
      <c r="O99" s="80"/>
      <c r="P99" s="80"/>
      <c r="Q99" s="80"/>
      <c r="R99" s="80"/>
      <c r="S99" s="15"/>
      <c r="T99" s="64"/>
    </row>
    <row r="100" spans="2:21" ht="15.75" customHeight="1" x14ac:dyDescent="0.25">
      <c r="B100" s="33"/>
      <c r="C100" s="3" t="s">
        <v>27</v>
      </c>
      <c r="D100" s="3"/>
      <c r="E100" s="34"/>
      <c r="F100" s="80"/>
      <c r="G100" s="55"/>
      <c r="H100" s="55"/>
      <c r="I100" s="55"/>
      <c r="J100" s="55"/>
      <c r="K100" s="55"/>
      <c r="L100" s="32"/>
      <c r="M100" s="32" t="s">
        <v>188</v>
      </c>
      <c r="N100" s="80"/>
      <c r="O100" s="80"/>
      <c r="P100" s="80"/>
      <c r="Q100" s="80"/>
      <c r="R100" s="80"/>
      <c r="S100" s="15"/>
      <c r="T100" s="64"/>
    </row>
    <row r="101" spans="2:21" ht="15.75" customHeight="1" x14ac:dyDescent="0.25">
      <c r="B101" s="33"/>
      <c r="C101" s="3" t="s">
        <v>17</v>
      </c>
      <c r="D101" s="40"/>
      <c r="E101" s="50"/>
      <c r="F101" s="38"/>
      <c r="G101" s="55"/>
      <c r="H101" s="55"/>
      <c r="I101" s="55"/>
      <c r="J101" s="55"/>
      <c r="K101" s="55"/>
      <c r="L101" s="83"/>
      <c r="M101" s="4"/>
      <c r="N101" s="81"/>
      <c r="O101" s="81"/>
      <c r="P101" s="81"/>
      <c r="Q101" s="81"/>
      <c r="R101" s="81"/>
      <c r="S101" s="15"/>
      <c r="T101" s="64"/>
    </row>
    <row r="102" spans="2:21" ht="15.75" customHeight="1" x14ac:dyDescent="0.25">
      <c r="B102" s="33"/>
      <c r="C102" s="3"/>
      <c r="D102" s="40"/>
      <c r="E102" s="299"/>
      <c r="F102" s="120"/>
      <c r="G102" s="54"/>
      <c r="H102" s="54"/>
      <c r="I102" s="54"/>
      <c r="J102" s="54"/>
      <c r="K102" s="54"/>
      <c r="L102" s="300"/>
      <c r="M102" s="304"/>
      <c r="N102" s="305"/>
      <c r="O102" s="305"/>
      <c r="P102" s="305"/>
      <c r="Q102" s="305"/>
      <c r="R102" s="306"/>
      <c r="S102" s="15"/>
      <c r="T102" s="64"/>
    </row>
    <row r="103" spans="2:21" ht="15.75" customHeight="1" x14ac:dyDescent="0.25">
      <c r="B103" s="6"/>
      <c r="C103" s="9" t="s">
        <v>152</v>
      </c>
      <c r="D103" s="3"/>
      <c r="E103" s="84">
        <f>+E97+E91+E85+E79+E65</f>
        <v>141</v>
      </c>
      <c r="F103" s="85">
        <f>+F89+F83+F64+F95</f>
        <v>21898.576000000001</v>
      </c>
      <c r="G103" s="55"/>
      <c r="H103" s="55"/>
      <c r="I103" s="55"/>
      <c r="J103" s="55"/>
      <c r="K103" s="55"/>
      <c r="L103" s="32"/>
      <c r="M103" s="83"/>
      <c r="N103" s="396">
        <f>+N89+N83+N64+N95</f>
        <v>11190.357425761184</v>
      </c>
      <c r="O103" s="396">
        <f>+O89+O83+O64+O95</f>
        <v>3555.3446938115026</v>
      </c>
      <c r="P103" s="396">
        <f>+P89+P83+P64+P95</f>
        <v>2090.749884371834</v>
      </c>
      <c r="Q103" s="396">
        <f>+Q89+Q83+Q64+Q95</f>
        <v>3905.3837288598925</v>
      </c>
      <c r="R103" s="396">
        <f>+R89+R83+R64+R95</f>
        <v>1156.7402671955851</v>
      </c>
      <c r="S103" s="15"/>
      <c r="T103" s="64"/>
      <c r="U103" s="393">
        <f>SUM(N103:R103)</f>
        <v>21898.575999999997</v>
      </c>
    </row>
    <row r="104" spans="2:21" ht="15.75" customHeight="1" x14ac:dyDescent="0.25">
      <c r="B104" s="6"/>
      <c r="C104" s="16" t="s">
        <v>29</v>
      </c>
      <c r="D104" s="3"/>
      <c r="E104" s="34"/>
      <c r="F104" s="86">
        <v>1</v>
      </c>
      <c r="G104" s="55"/>
      <c r="H104" s="55"/>
      <c r="I104" s="55"/>
      <c r="J104" s="55"/>
      <c r="K104" s="55"/>
      <c r="L104" s="87"/>
      <c r="M104" s="87"/>
      <c r="N104" s="88">
        <f>N103/$F103</f>
        <v>0.51100845213685053</v>
      </c>
      <c r="O104" s="88">
        <f>O103/$F103</f>
        <v>0.16235506335258978</v>
      </c>
      <c r="P104" s="88">
        <f>P103/$F103</f>
        <v>9.5474239255184168E-2</v>
      </c>
      <c r="Q104" s="88">
        <f>Q103/F103</f>
        <v>0.1783396202958536</v>
      </c>
      <c r="R104" s="88">
        <f>R103/$F103</f>
        <v>5.2822624959521801E-2</v>
      </c>
      <c r="S104" s="15"/>
      <c r="T104" s="64"/>
      <c r="U104" s="64">
        <f>SUM(N104:R104)</f>
        <v>0.99999999999999989</v>
      </c>
    </row>
    <row r="105" spans="2:21" ht="15.75" customHeight="1" x14ac:dyDescent="0.25">
      <c r="B105" s="6"/>
      <c r="C105" s="16"/>
      <c r="D105" s="3"/>
      <c r="E105" s="52"/>
      <c r="F105" s="86"/>
      <c r="G105" s="55"/>
      <c r="H105" s="55"/>
      <c r="I105" s="55"/>
      <c r="J105" s="55"/>
      <c r="K105" s="55"/>
      <c r="L105" s="87"/>
      <c r="M105" s="87"/>
      <c r="N105" s="88"/>
      <c r="O105" s="88"/>
      <c r="P105" s="88"/>
      <c r="Q105" s="88"/>
      <c r="R105" s="88"/>
      <c r="S105" s="15"/>
      <c r="T105" s="64"/>
    </row>
    <row r="106" spans="2:21" ht="18" x14ac:dyDescent="0.25">
      <c r="B106" s="6"/>
      <c r="C106" s="3"/>
      <c r="D106" s="3"/>
      <c r="E106" s="34"/>
      <c r="F106" s="54"/>
      <c r="G106" s="54"/>
      <c r="H106" s="54"/>
      <c r="I106" s="54"/>
      <c r="J106" s="54"/>
      <c r="K106" s="54"/>
      <c r="L106" s="89"/>
      <c r="M106" s="89"/>
      <c r="N106" s="90"/>
      <c r="O106" s="90"/>
      <c r="P106" s="90"/>
      <c r="Q106" s="90"/>
      <c r="R106" s="90"/>
      <c r="S106" s="15"/>
    </row>
    <row r="107" spans="2:21" ht="18" x14ac:dyDescent="0.25">
      <c r="B107" s="33">
        <v>1511</v>
      </c>
      <c r="C107" s="9" t="s">
        <v>259</v>
      </c>
      <c r="D107" s="3"/>
      <c r="E107" s="34">
        <v>1.5</v>
      </c>
      <c r="F107" s="91"/>
      <c r="G107" s="55"/>
      <c r="H107" s="55"/>
      <c r="I107" s="55"/>
      <c r="J107" s="55"/>
      <c r="K107" s="55"/>
      <c r="L107" s="32"/>
      <c r="M107" s="32"/>
      <c r="N107" s="62">
        <f>$E107*N68</f>
        <v>0.77547619047619043</v>
      </c>
      <c r="O107" s="62">
        <f>$E107*O68</f>
        <v>0.25659863945578226</v>
      </c>
      <c r="P107" s="62">
        <f>$E107*P68</f>
        <v>0.13931972789115646</v>
      </c>
      <c r="Q107" s="62">
        <f>$E107*Q68</f>
        <v>0.25142857142857145</v>
      </c>
      <c r="R107" s="62">
        <f>$E107*R68</f>
        <v>7.717687074829932E-2</v>
      </c>
      <c r="S107" s="15"/>
    </row>
    <row r="108" spans="2:21" ht="18" x14ac:dyDescent="0.25">
      <c r="B108" s="6"/>
      <c r="C108" s="3" t="s">
        <v>30</v>
      </c>
      <c r="D108" s="3"/>
      <c r="E108" s="34"/>
      <c r="F108" s="91">
        <v>423.6</v>
      </c>
      <c r="G108" s="55"/>
      <c r="H108" s="55"/>
      <c r="I108" s="55"/>
      <c r="J108" s="55"/>
      <c r="K108" s="55"/>
      <c r="L108" s="32"/>
      <c r="M108" s="32"/>
      <c r="N108" s="35"/>
      <c r="O108" s="35"/>
      <c r="P108" s="35"/>
      <c r="Q108" s="35"/>
      <c r="R108" s="35"/>
      <c r="S108" s="15"/>
    </row>
    <row r="109" spans="2:21" ht="18" x14ac:dyDescent="0.25">
      <c r="B109" s="6"/>
      <c r="C109" s="3" t="s">
        <v>27</v>
      </c>
      <c r="D109" s="3"/>
      <c r="E109" s="34"/>
      <c r="F109" s="92">
        <v>35</v>
      </c>
      <c r="G109" s="55"/>
      <c r="H109" s="55"/>
      <c r="I109" s="55"/>
      <c r="J109" s="55"/>
      <c r="K109" s="55"/>
      <c r="L109" s="32"/>
      <c r="M109" s="32" t="s">
        <v>161</v>
      </c>
      <c r="N109" s="35"/>
      <c r="O109" s="35"/>
      <c r="P109" s="35"/>
      <c r="Q109" s="35"/>
      <c r="R109" s="35"/>
      <c r="S109" s="15"/>
    </row>
    <row r="110" spans="2:21" ht="15.75" customHeight="1" x14ac:dyDescent="0.25">
      <c r="B110" s="6"/>
      <c r="C110" s="3" t="s">
        <v>31</v>
      </c>
      <c r="D110" s="3"/>
      <c r="E110" s="34"/>
      <c r="F110" s="93">
        <f>SUM(F108:F109)</f>
        <v>458.6</v>
      </c>
      <c r="G110" s="55">
        <f>N104</f>
        <v>0.51100845213685053</v>
      </c>
      <c r="H110" s="55">
        <f>O104</f>
        <v>0.16235506335258978</v>
      </c>
      <c r="I110" s="55">
        <f>P104</f>
        <v>9.5474239255184168E-2</v>
      </c>
      <c r="J110" s="55">
        <f>Q104</f>
        <v>0.1783396202958536</v>
      </c>
      <c r="K110" s="55">
        <f>R104</f>
        <v>5.2822624959521801E-2</v>
      </c>
      <c r="L110" s="32" t="s">
        <v>111</v>
      </c>
      <c r="M110" s="32" t="s">
        <v>162</v>
      </c>
      <c r="N110" s="81">
        <f>$F110*N104</f>
        <v>234.34847614995968</v>
      </c>
      <c r="O110" s="81">
        <f>$F110*O104</f>
        <v>74.45603205349768</v>
      </c>
      <c r="P110" s="81">
        <f>$F110*P104</f>
        <v>43.78448612242746</v>
      </c>
      <c r="Q110" s="81">
        <f>F110*Q104</f>
        <v>81.78654986767846</v>
      </c>
      <c r="R110" s="81">
        <f>$F110*R104</f>
        <v>24.224455806436698</v>
      </c>
      <c r="S110" s="15"/>
      <c r="U110" s="64">
        <f>SUM(G110:K110)</f>
        <v>0.99999999999999989</v>
      </c>
    </row>
    <row r="111" spans="2:21" ht="18" x14ac:dyDescent="0.25">
      <c r="B111" s="6"/>
      <c r="C111" s="3"/>
      <c r="D111" s="3"/>
      <c r="E111" s="34"/>
      <c r="F111" s="91"/>
      <c r="G111" s="55"/>
      <c r="H111" s="55"/>
      <c r="I111" s="55"/>
      <c r="J111" s="55"/>
      <c r="K111" s="55"/>
      <c r="L111" s="32"/>
      <c r="M111" s="32"/>
      <c r="N111" s="35"/>
      <c r="O111" s="35"/>
      <c r="P111" s="35"/>
      <c r="Q111" s="35"/>
      <c r="R111" s="35"/>
      <c r="S111" s="15"/>
    </row>
    <row r="112" spans="2:21" ht="18" x14ac:dyDescent="0.25">
      <c r="B112" s="94" t="s">
        <v>32</v>
      </c>
      <c r="C112" s="1"/>
      <c r="D112" s="95"/>
      <c r="E112" s="37"/>
      <c r="F112" s="93">
        <f>F103+F110</f>
        <v>22357.175999999999</v>
      </c>
      <c r="G112" s="96">
        <f>N112/$F112</f>
        <v>0.51100845213685053</v>
      </c>
      <c r="H112" s="96">
        <f>O112/$F112</f>
        <v>0.16235506335258981</v>
      </c>
      <c r="I112" s="96">
        <f>P112/$F112</f>
        <v>9.5474239255184182E-2</v>
      </c>
      <c r="J112" s="96">
        <f>Q112/$F112</f>
        <v>0.1783396202958536</v>
      </c>
      <c r="K112" s="96">
        <f>R112/$F112</f>
        <v>5.2822624959521808E-2</v>
      </c>
      <c r="L112" s="97"/>
      <c r="M112" s="97"/>
      <c r="N112" s="39">
        <f>N103+N110</f>
        <v>11424.705901911144</v>
      </c>
      <c r="O112" s="39">
        <f>O103+O110</f>
        <v>3629.8007258650005</v>
      </c>
      <c r="P112" s="39">
        <f>P103+P110</f>
        <v>2134.5343704942616</v>
      </c>
      <c r="Q112" s="39">
        <f>Q103+Q110</f>
        <v>3987.1702787275708</v>
      </c>
      <c r="R112" s="39">
        <f>R103+R110</f>
        <v>1180.9647230020219</v>
      </c>
      <c r="S112" s="15"/>
    </row>
    <row r="113" spans="1:254" ht="18" x14ac:dyDescent="0.25">
      <c r="B113" s="94"/>
      <c r="C113" s="1"/>
      <c r="D113" s="95"/>
      <c r="E113" s="98"/>
      <c r="F113" s="93"/>
      <c r="G113" s="96"/>
      <c r="H113" s="96"/>
      <c r="I113" s="96"/>
      <c r="J113" s="96"/>
      <c r="K113" s="96"/>
      <c r="L113" s="97"/>
      <c r="M113" s="97"/>
      <c r="N113" s="39"/>
      <c r="O113" s="39"/>
      <c r="P113" s="39"/>
      <c r="Q113" s="39"/>
      <c r="R113" s="39"/>
      <c r="S113" s="15"/>
    </row>
    <row r="114" spans="1:254" ht="18" x14ac:dyDescent="0.25">
      <c r="B114" s="94" t="s">
        <v>141</v>
      </c>
      <c r="C114" s="1"/>
      <c r="D114" s="95"/>
      <c r="E114" s="98">
        <f>+E103+E107</f>
        <v>142.5</v>
      </c>
      <c r="F114" s="93"/>
      <c r="G114" s="96"/>
      <c r="H114" s="96"/>
      <c r="I114" s="96"/>
      <c r="J114" s="96"/>
      <c r="K114" s="96"/>
      <c r="L114" s="97"/>
      <c r="M114" s="97"/>
      <c r="N114" s="99">
        <f>+N107+N91+N85+N79+N65</f>
        <v>73.670238095238091</v>
      </c>
      <c r="O114" s="99">
        <f>+O107+O91+O85+O79+O65</f>
        <v>24.376870748299318</v>
      </c>
      <c r="P114" s="99">
        <f>+P107+P91+P85+P79+P65</f>
        <v>13.235374149659863</v>
      </c>
      <c r="Q114" s="99">
        <f>+Q107+Q91+Q85+Q79+Q65</f>
        <v>23.885714285714286</v>
      </c>
      <c r="R114" s="99">
        <f>+R107+R91+R85+R79+R65</f>
        <v>7.3318027210884358</v>
      </c>
      <c r="S114" s="15"/>
      <c r="V114" s="391">
        <f>SUM(N114:R114)</f>
        <v>142.5</v>
      </c>
      <c r="W114" s="392"/>
    </row>
    <row r="115" spans="1:254" ht="18" x14ac:dyDescent="0.25">
      <c r="B115" s="6"/>
      <c r="C115" s="3"/>
      <c r="D115" s="3"/>
      <c r="E115" s="34"/>
      <c r="F115" s="91"/>
      <c r="G115" s="55"/>
      <c r="H115" s="55"/>
      <c r="I115" s="55"/>
      <c r="J115" s="55"/>
      <c r="K115" s="55"/>
      <c r="L115" s="32"/>
      <c r="M115" s="32"/>
      <c r="N115" s="35"/>
      <c r="O115" s="35"/>
      <c r="P115" s="35"/>
      <c r="Q115" s="35"/>
      <c r="R115" s="35"/>
      <c r="S115" s="15"/>
    </row>
    <row r="116" spans="1:254" ht="18" x14ac:dyDescent="0.25">
      <c r="B116" s="94" t="s">
        <v>33</v>
      </c>
      <c r="C116" s="1"/>
      <c r="D116" s="1"/>
      <c r="E116" s="100"/>
      <c r="F116" s="93">
        <f>+F14+F19+F24+F29+F35+F40+F45+F50+F55+F80+F86+F92+F98+F108</f>
        <v>18425.7</v>
      </c>
      <c r="G116" s="55"/>
      <c r="H116" s="55"/>
      <c r="I116" s="55"/>
      <c r="J116" s="55"/>
      <c r="K116" s="55"/>
      <c r="L116" s="32"/>
      <c r="M116" s="32"/>
      <c r="N116" s="35"/>
      <c r="O116" s="35"/>
      <c r="P116" s="35"/>
      <c r="Q116" s="35"/>
      <c r="R116" s="35"/>
      <c r="S116" s="15"/>
    </row>
    <row r="117" spans="1:254" ht="18" x14ac:dyDescent="0.25">
      <c r="B117" s="8"/>
      <c r="C117" s="3"/>
      <c r="D117" s="3"/>
      <c r="E117" s="34"/>
      <c r="F117" s="93"/>
      <c r="G117" s="55"/>
      <c r="H117" s="55"/>
      <c r="I117" s="55"/>
      <c r="J117" s="55"/>
      <c r="K117" s="55"/>
      <c r="L117" s="32"/>
      <c r="M117" s="32"/>
      <c r="N117" s="35"/>
      <c r="O117" s="35"/>
      <c r="P117" s="35"/>
      <c r="Q117" s="35"/>
      <c r="R117" s="35"/>
      <c r="S117" s="15"/>
    </row>
    <row r="118" spans="1:254" ht="18" x14ac:dyDescent="0.25">
      <c r="B118" s="94" t="s">
        <v>139</v>
      </c>
      <c r="C118" s="1"/>
      <c r="D118" s="1"/>
      <c r="E118" s="101"/>
      <c r="F118" s="102">
        <f>(F83+F110+F89)/F112</f>
        <v>0.14493780430945305</v>
      </c>
      <c r="G118" s="103"/>
      <c r="H118" s="103"/>
      <c r="I118" s="103"/>
      <c r="J118" s="103"/>
      <c r="K118" s="103"/>
      <c r="L118" s="104"/>
      <c r="M118" s="104"/>
      <c r="N118" s="105"/>
      <c r="O118" s="105"/>
      <c r="P118" s="105"/>
      <c r="Q118" s="105"/>
      <c r="R118" s="105"/>
      <c r="S118" s="106"/>
    </row>
    <row r="119" spans="1:254" x14ac:dyDescent="0.2">
      <c r="B119" s="6"/>
      <c r="C119" s="3"/>
      <c r="D119" s="107"/>
      <c r="E119" s="107"/>
      <c r="F119" s="108"/>
      <c r="G119" s="109"/>
      <c r="H119" s="109"/>
      <c r="I119" s="109"/>
      <c r="J119" s="109"/>
      <c r="K119" s="109"/>
      <c r="L119" s="6"/>
      <c r="M119" s="6"/>
      <c r="N119" s="3"/>
      <c r="O119" s="3"/>
      <c r="P119" s="3"/>
      <c r="Q119" s="3"/>
      <c r="R119" s="3"/>
      <c r="S119" s="3"/>
    </row>
    <row r="120" spans="1:254" ht="30" x14ac:dyDescent="0.4">
      <c r="A120" s="1" t="s">
        <v>274</v>
      </c>
      <c r="B120" s="69"/>
      <c r="C120" s="3"/>
      <c r="D120" s="3"/>
      <c r="E120" s="3"/>
      <c r="F120" s="3"/>
      <c r="G120" s="110"/>
      <c r="H120" s="110"/>
      <c r="I120" s="110"/>
      <c r="J120" s="2"/>
      <c r="K120" s="2" t="s">
        <v>218</v>
      </c>
      <c r="L120" s="2"/>
      <c r="M120" s="6"/>
      <c r="N120" s="3"/>
      <c r="O120" s="3"/>
      <c r="P120" s="3"/>
      <c r="Q120" s="3"/>
      <c r="R120" s="3"/>
      <c r="S120" s="3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  <c r="IS120" s="7"/>
      <c r="IT120" s="7"/>
    </row>
    <row r="121" spans="1:254" ht="30" x14ac:dyDescent="0.4">
      <c r="A121" s="1"/>
      <c r="B121" s="69"/>
      <c r="C121" s="3"/>
      <c r="D121" s="3"/>
      <c r="E121" s="3"/>
      <c r="F121" s="3"/>
      <c r="G121" s="110"/>
      <c r="H121" s="110"/>
      <c r="I121" s="110"/>
      <c r="J121" s="2"/>
      <c r="K121" s="2" t="s">
        <v>253</v>
      </c>
      <c r="L121" s="2"/>
      <c r="M121" s="6"/>
      <c r="N121" s="3"/>
      <c r="O121" s="3"/>
      <c r="P121" s="3"/>
      <c r="Q121" s="3"/>
      <c r="R121" s="3"/>
      <c r="S121" s="3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  <c r="IS121" s="7"/>
      <c r="IT121" s="7"/>
    </row>
    <row r="122" spans="1:254" x14ac:dyDescent="0.2">
      <c r="A122" s="1"/>
      <c r="B122" s="69"/>
      <c r="C122" s="3"/>
      <c r="D122" s="3"/>
      <c r="E122" s="3"/>
      <c r="F122" s="3"/>
      <c r="G122" s="110"/>
      <c r="H122" s="110"/>
      <c r="I122" s="110"/>
      <c r="J122" s="3"/>
      <c r="K122" s="70"/>
      <c r="L122" s="6"/>
      <c r="M122" s="6"/>
      <c r="N122" s="3"/>
      <c r="O122" s="3"/>
      <c r="P122" s="3"/>
      <c r="Q122" s="3"/>
      <c r="R122" s="3"/>
      <c r="S122" s="3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  <c r="IS122" s="7"/>
      <c r="IT122" s="7"/>
    </row>
    <row r="123" spans="1:254" x14ac:dyDescent="0.2">
      <c r="A123" s="1"/>
      <c r="B123" s="69"/>
      <c r="C123" s="3"/>
      <c r="D123" s="3"/>
      <c r="E123" s="3"/>
      <c r="F123" s="3"/>
      <c r="G123" s="110"/>
      <c r="H123" s="110"/>
      <c r="I123" s="110"/>
      <c r="J123" s="111"/>
      <c r="K123" s="111"/>
      <c r="L123" s="6"/>
      <c r="M123" s="6"/>
      <c r="N123" s="3"/>
      <c r="O123" s="3"/>
      <c r="P123" s="3"/>
      <c r="Q123" s="3"/>
      <c r="R123" s="3"/>
      <c r="S123" s="3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</row>
    <row r="124" spans="1:254" ht="7.5" customHeight="1" x14ac:dyDescent="0.35">
      <c r="B124" s="4"/>
      <c r="C124" s="5"/>
      <c r="D124" s="6"/>
      <c r="E124" s="6"/>
      <c r="F124" s="3"/>
      <c r="G124" s="3"/>
      <c r="H124" s="3"/>
      <c r="I124" s="3"/>
      <c r="J124" s="3"/>
      <c r="K124" s="3"/>
      <c r="L124" s="3"/>
      <c r="M124" s="5"/>
      <c r="N124" s="6"/>
      <c r="O124" s="5"/>
      <c r="P124" s="5"/>
      <c r="Q124" s="3"/>
      <c r="R124" s="3"/>
      <c r="S124" s="3"/>
    </row>
    <row r="125" spans="1:254" ht="15.75" x14ac:dyDescent="0.25">
      <c r="B125" s="8"/>
      <c r="C125" s="9"/>
      <c r="D125" s="9"/>
      <c r="E125" s="9"/>
      <c r="F125" s="9"/>
      <c r="G125" s="71" t="s">
        <v>0</v>
      </c>
      <c r="H125" s="71"/>
      <c r="I125" s="71"/>
      <c r="J125" s="72"/>
      <c r="K125" s="72"/>
      <c r="L125" s="310"/>
      <c r="M125" s="307"/>
      <c r="N125" s="12" t="s">
        <v>183</v>
      </c>
      <c r="O125" s="13"/>
      <c r="P125" s="13"/>
      <c r="Q125" s="14"/>
      <c r="R125" s="13"/>
      <c r="S125" s="15"/>
    </row>
    <row r="126" spans="1:254" ht="15.75" x14ac:dyDescent="0.25">
      <c r="B126" s="16" t="s">
        <v>1</v>
      </c>
      <c r="C126" s="9"/>
      <c r="D126" s="9"/>
      <c r="E126" s="17" t="s">
        <v>176</v>
      </c>
      <c r="F126" s="18" t="s">
        <v>2</v>
      </c>
      <c r="G126" s="18" t="s">
        <v>159</v>
      </c>
      <c r="H126" s="74"/>
      <c r="I126" s="74"/>
      <c r="J126" s="74" t="s">
        <v>3</v>
      </c>
      <c r="K126" s="74" t="s">
        <v>4</v>
      </c>
      <c r="L126" s="311"/>
      <c r="M126" s="308"/>
      <c r="N126" s="18" t="s">
        <v>159</v>
      </c>
      <c r="O126" s="18"/>
      <c r="P126" s="18"/>
      <c r="Q126" s="18" t="s">
        <v>3</v>
      </c>
      <c r="R126" s="18" t="s">
        <v>4</v>
      </c>
      <c r="S126" s="15"/>
    </row>
    <row r="127" spans="1:254" ht="15.75" x14ac:dyDescent="0.25">
      <c r="B127" s="19" t="s">
        <v>5</v>
      </c>
      <c r="C127" s="24" t="s">
        <v>6</v>
      </c>
      <c r="D127" s="21"/>
      <c r="E127" s="22" t="s">
        <v>133</v>
      </c>
      <c r="F127" s="23" t="s">
        <v>7</v>
      </c>
      <c r="G127" s="23" t="s">
        <v>160</v>
      </c>
      <c r="H127" s="292" t="s">
        <v>8</v>
      </c>
      <c r="I127" s="292" t="s">
        <v>9</v>
      </c>
      <c r="J127" s="292" t="s">
        <v>10</v>
      </c>
      <c r="K127" s="292" t="s">
        <v>184</v>
      </c>
      <c r="L127" s="293" t="s">
        <v>107</v>
      </c>
      <c r="M127" s="75" t="s">
        <v>12</v>
      </c>
      <c r="N127" s="23" t="s">
        <v>160</v>
      </c>
      <c r="O127" s="23" t="s">
        <v>8</v>
      </c>
      <c r="P127" s="23" t="s">
        <v>9</v>
      </c>
      <c r="Q127" s="293" t="s">
        <v>10</v>
      </c>
      <c r="R127" s="23" t="s">
        <v>11</v>
      </c>
      <c r="S127" s="15"/>
    </row>
    <row r="128" spans="1:254" ht="15.75" x14ac:dyDescent="0.25">
      <c r="B128" s="6"/>
      <c r="C128" s="3"/>
      <c r="D128" s="3"/>
      <c r="E128" s="128"/>
      <c r="F128" s="294"/>
      <c r="G128" s="23" t="s">
        <v>234</v>
      </c>
      <c r="H128" s="76"/>
      <c r="I128" s="76"/>
      <c r="J128" s="76"/>
      <c r="K128" s="76" t="s">
        <v>113</v>
      </c>
      <c r="L128" s="78"/>
      <c r="M128" s="309"/>
      <c r="N128" s="23" t="s">
        <v>234</v>
      </c>
      <c r="O128" s="77"/>
      <c r="P128" s="77"/>
      <c r="Q128" s="77"/>
      <c r="R128" s="76" t="s">
        <v>113</v>
      </c>
      <c r="S128" s="15"/>
    </row>
    <row r="129" spans="2:21" ht="15.75" x14ac:dyDescent="0.25">
      <c r="B129" s="1">
        <v>1700</v>
      </c>
      <c r="C129" s="30" t="s">
        <v>34</v>
      </c>
      <c r="D129" s="3"/>
      <c r="E129" s="26"/>
      <c r="F129" s="112"/>
      <c r="G129" s="31"/>
      <c r="H129" s="31"/>
      <c r="I129" s="31"/>
      <c r="J129" s="31"/>
      <c r="K129" s="31"/>
      <c r="L129" s="32"/>
      <c r="M129" s="32"/>
      <c r="N129" s="15"/>
      <c r="O129" s="15"/>
      <c r="P129" s="15"/>
      <c r="Q129" s="15"/>
      <c r="R129" s="15"/>
      <c r="S129" s="15"/>
    </row>
    <row r="130" spans="2:21" x14ac:dyDescent="0.2">
      <c r="B130" s="33"/>
      <c r="C130" s="3"/>
      <c r="D130" s="3"/>
      <c r="E130" s="26"/>
      <c r="F130" s="112"/>
      <c r="G130" s="31"/>
      <c r="H130" s="31"/>
      <c r="I130" s="31"/>
      <c r="J130" s="31"/>
      <c r="K130" s="31"/>
      <c r="L130" s="32"/>
      <c r="M130" s="32"/>
      <c r="N130" s="15"/>
      <c r="O130" s="15"/>
      <c r="P130" s="15"/>
      <c r="Q130" s="15"/>
      <c r="R130" s="15"/>
      <c r="S130" s="15"/>
    </row>
    <row r="131" spans="2:21" ht="18" x14ac:dyDescent="0.25">
      <c r="B131" s="33">
        <v>1721</v>
      </c>
      <c r="C131" s="9" t="s">
        <v>35</v>
      </c>
      <c r="D131" s="3"/>
      <c r="E131" s="34">
        <v>4</v>
      </c>
      <c r="F131" s="46"/>
      <c r="G131" s="124">
        <f>+G134</f>
        <v>3.2213902669541203E-2</v>
      </c>
      <c r="H131" s="124">
        <f>+H134</f>
        <v>0</v>
      </c>
      <c r="I131" s="124">
        <f>+I134</f>
        <v>0</v>
      </c>
      <c r="J131" s="124">
        <f>+J134</f>
        <v>3.2208209647487163E-2</v>
      </c>
      <c r="K131" s="124">
        <f>+K134</f>
        <v>0.93540685508092358</v>
      </c>
      <c r="L131" s="32"/>
      <c r="M131" s="32"/>
      <c r="N131" s="62">
        <f>+$E131*G131</f>
        <v>0.12885561067816481</v>
      </c>
      <c r="O131" s="62">
        <f>+$E131*H131</f>
        <v>0</v>
      </c>
      <c r="P131" s="62">
        <f>+$E131*I131</f>
        <v>0</v>
      </c>
      <c r="Q131" s="62">
        <f>+$E131*J131</f>
        <v>0.12883283858994865</v>
      </c>
      <c r="R131" s="62">
        <f>+$E131*K131</f>
        <v>3.7416274203236943</v>
      </c>
      <c r="S131" s="15"/>
      <c r="U131" s="64">
        <f>SUM(G131:K131)</f>
        <v>0.99982896739795191</v>
      </c>
    </row>
    <row r="132" spans="2:21" ht="18" x14ac:dyDescent="0.25">
      <c r="B132" s="33"/>
      <c r="C132" s="3" t="s">
        <v>15</v>
      </c>
      <c r="D132" s="3"/>
      <c r="E132" s="34"/>
      <c r="F132" s="38">
        <v>452.4</v>
      </c>
      <c r="G132" s="124"/>
      <c r="H132" s="124"/>
      <c r="I132" s="124"/>
      <c r="J132" s="124"/>
      <c r="K132" s="124"/>
      <c r="L132" s="32"/>
      <c r="M132" s="32" t="s">
        <v>177</v>
      </c>
      <c r="N132" s="35"/>
      <c r="O132" s="35"/>
      <c r="P132" s="35"/>
      <c r="Q132" s="35"/>
      <c r="R132" s="35"/>
      <c r="S132" s="15"/>
    </row>
    <row r="133" spans="2:21" ht="18" x14ac:dyDescent="0.25">
      <c r="B133" s="33"/>
      <c r="C133" s="3" t="s">
        <v>16</v>
      </c>
      <c r="D133" s="3"/>
      <c r="E133" s="34"/>
      <c r="F133" s="80">
        <f>989.9-F132</f>
        <v>537.5</v>
      </c>
      <c r="G133" s="124"/>
      <c r="H133" s="124"/>
      <c r="I133" s="124"/>
      <c r="J133" s="124"/>
      <c r="K133" s="124"/>
      <c r="L133" s="32" t="s">
        <v>151</v>
      </c>
      <c r="M133" s="32" t="s">
        <v>181</v>
      </c>
      <c r="N133" s="35"/>
      <c r="O133" s="35"/>
      <c r="P133" s="35"/>
      <c r="Q133" s="35"/>
      <c r="R133" s="35"/>
      <c r="S133" s="15"/>
    </row>
    <row r="134" spans="2:21" ht="18" x14ac:dyDescent="0.25">
      <c r="B134" s="3"/>
      <c r="C134" s="3" t="s">
        <v>17</v>
      </c>
      <c r="D134" s="107"/>
      <c r="E134" s="113"/>
      <c r="F134" s="38">
        <f>F132+F133</f>
        <v>989.9</v>
      </c>
      <c r="G134" s="124">
        <f>+(N139+N144+N149+N154)/(SUM(N139:R139)+SUM($N144:$R144)+SUM($N149:$R149)+SUM($N154:$R154))</f>
        <v>3.2213902669541203E-2</v>
      </c>
      <c r="H134" s="124">
        <f>+(O139+O144+O149+O154)/(SUM(O139:S139)+SUM($N144:$R144)+SUM($N149:$R149)+SUM($N154:$R154))</f>
        <v>0</v>
      </c>
      <c r="I134" s="124">
        <f>+(P139+P144+P149+P154)/(SUM(P139:T139)+SUM($N144:$R144)+SUM($N149:$R149)+SUM($N154:$R154))</f>
        <v>0</v>
      </c>
      <c r="J134" s="124">
        <f>+(Q139+Q144+Q149+Q154)/(SUM(Q139:U139)+SUM($N144:$R144)+SUM($N149:$R149)+SUM($N154:$R154))</f>
        <v>3.2208209647487163E-2</v>
      </c>
      <c r="K134" s="124">
        <f>+(R139+R144+R149+R154)/(SUM(R139:V139)+SUM($N144:$R144)+SUM($N149:$R149)+SUM($N154:$R154))</f>
        <v>0.93540685508092358</v>
      </c>
      <c r="L134" s="32" t="s">
        <v>150</v>
      </c>
      <c r="M134" s="32" t="s">
        <v>182</v>
      </c>
      <c r="N134" s="38">
        <f>$F134*G134</f>
        <v>31.888542252578837</v>
      </c>
      <c r="O134" s="38">
        <f>$F134*H134</f>
        <v>0</v>
      </c>
      <c r="P134" s="38">
        <f>$F134*I134</f>
        <v>0</v>
      </c>
      <c r="Q134" s="38">
        <f>F134*J134</f>
        <v>31.882906730047541</v>
      </c>
      <c r="R134" s="38">
        <f>$F134*K134</f>
        <v>925.95924584460624</v>
      </c>
      <c r="S134" s="15"/>
      <c r="T134" s="64"/>
      <c r="U134" s="64">
        <f>SUM(G134:K134)</f>
        <v>0.99982896739795191</v>
      </c>
    </row>
    <row r="135" spans="2:21" ht="18" x14ac:dyDescent="0.25">
      <c r="B135" s="33"/>
      <c r="C135" s="3"/>
      <c r="D135" s="3"/>
      <c r="E135" s="34"/>
      <c r="F135" s="53"/>
      <c r="G135" s="286"/>
      <c r="H135" s="286"/>
      <c r="I135" s="286"/>
      <c r="J135" s="286"/>
      <c r="K135" s="286"/>
      <c r="L135" s="29"/>
      <c r="M135" s="29"/>
      <c r="N135" s="43"/>
      <c r="O135" s="43"/>
      <c r="P135" s="43"/>
      <c r="Q135" s="43"/>
      <c r="R135" s="43"/>
      <c r="S135" s="15"/>
    </row>
    <row r="136" spans="2:21" ht="18" x14ac:dyDescent="0.25">
      <c r="B136" s="33">
        <v>1722</v>
      </c>
      <c r="C136" s="9" t="s">
        <v>36</v>
      </c>
      <c r="D136" s="3"/>
      <c r="E136" s="34">
        <v>5</v>
      </c>
      <c r="F136" s="46"/>
      <c r="G136" s="124">
        <v>0</v>
      </c>
      <c r="H136" s="124">
        <f>+H139</f>
        <v>0</v>
      </c>
      <c r="I136" s="124">
        <f>+I139</f>
        <v>0</v>
      </c>
      <c r="J136" s="124">
        <v>0</v>
      </c>
      <c r="K136" s="124">
        <v>1</v>
      </c>
      <c r="L136" s="32"/>
      <c r="M136" s="32"/>
      <c r="N136" s="62">
        <f>+$E136*G136</f>
        <v>0</v>
      </c>
      <c r="O136" s="62">
        <f>+$E136*H136</f>
        <v>0</v>
      </c>
      <c r="P136" s="62">
        <f>+$E136*I136</f>
        <v>0</v>
      </c>
      <c r="Q136" s="62">
        <f>+$E136*J136</f>
        <v>0</v>
      </c>
      <c r="R136" s="62">
        <f>+$E136*K136</f>
        <v>5</v>
      </c>
      <c r="S136" s="15"/>
      <c r="U136" s="64">
        <f>SUM(G136:K136)</f>
        <v>1</v>
      </c>
    </row>
    <row r="137" spans="2:21" ht="18" x14ac:dyDescent="0.25">
      <c r="B137" s="33"/>
      <c r="C137" s="3" t="s">
        <v>15</v>
      </c>
      <c r="D137" s="3"/>
      <c r="E137" s="34"/>
      <c r="F137" s="38">
        <v>600.4</v>
      </c>
      <c r="G137" s="124"/>
      <c r="H137" s="124"/>
      <c r="I137" s="124"/>
      <c r="J137" s="124"/>
      <c r="K137" s="124"/>
      <c r="L137" s="32"/>
      <c r="M137" s="32"/>
      <c r="N137" s="35"/>
      <c r="O137" s="35"/>
      <c r="P137" s="35"/>
      <c r="Q137" s="35"/>
      <c r="R137" s="35"/>
      <c r="S137" s="15"/>
    </row>
    <row r="138" spans="2:21" ht="18" x14ac:dyDescent="0.25">
      <c r="B138" s="33"/>
      <c r="C138" s="3" t="s">
        <v>16</v>
      </c>
      <c r="D138" s="3"/>
      <c r="E138" s="34"/>
      <c r="F138" s="80">
        <f>1009.16-F137</f>
        <v>408.76</v>
      </c>
      <c r="G138" s="124"/>
      <c r="H138" s="124"/>
      <c r="I138" s="124"/>
      <c r="J138" s="124"/>
      <c r="K138" s="124"/>
      <c r="L138" s="32"/>
      <c r="M138" s="32"/>
      <c r="N138" s="35"/>
      <c r="O138" s="35"/>
      <c r="P138" s="35"/>
      <c r="Q138" s="35"/>
      <c r="R138" s="35"/>
      <c r="S138" s="15"/>
    </row>
    <row r="139" spans="2:21" ht="30.75" x14ac:dyDescent="0.25">
      <c r="B139" s="3"/>
      <c r="C139" s="3" t="s">
        <v>17</v>
      </c>
      <c r="D139" s="107"/>
      <c r="E139" s="113"/>
      <c r="F139" s="38">
        <f>F137+F138</f>
        <v>1009.16</v>
      </c>
      <c r="G139" s="124">
        <v>0</v>
      </c>
      <c r="H139" s="124">
        <v>0</v>
      </c>
      <c r="I139" s="124">
        <v>0</v>
      </c>
      <c r="J139" s="124">
        <v>0</v>
      </c>
      <c r="K139" s="124">
        <v>1</v>
      </c>
      <c r="L139" s="32" t="s">
        <v>112</v>
      </c>
      <c r="M139" s="32" t="s">
        <v>18</v>
      </c>
      <c r="N139" s="38">
        <f>F139*G139</f>
        <v>0</v>
      </c>
      <c r="O139" s="38">
        <f>$F139*H139</f>
        <v>0</v>
      </c>
      <c r="P139" s="38">
        <f>$F139*I139</f>
        <v>0</v>
      </c>
      <c r="Q139" s="38">
        <f>F139*J139</f>
        <v>0</v>
      </c>
      <c r="R139" s="38">
        <f>$F139*K139</f>
        <v>1009.16</v>
      </c>
      <c r="S139" s="15"/>
      <c r="U139" s="64">
        <f>SUM(G139:K139)</f>
        <v>1</v>
      </c>
    </row>
    <row r="140" spans="2:21" ht="18" x14ac:dyDescent="0.25">
      <c r="B140" s="33"/>
      <c r="C140" s="3"/>
      <c r="D140" s="3"/>
      <c r="E140" s="34"/>
      <c r="F140" s="53"/>
      <c r="G140" s="286"/>
      <c r="H140" s="286"/>
      <c r="I140" s="286"/>
      <c r="J140" s="286"/>
      <c r="K140" s="286"/>
      <c r="L140" s="29"/>
      <c r="M140" s="29"/>
      <c r="N140" s="43"/>
      <c r="O140" s="43"/>
      <c r="P140" s="43"/>
      <c r="Q140" s="43"/>
      <c r="R140" s="43"/>
      <c r="S140" s="15"/>
      <c r="U140" s="64"/>
    </row>
    <row r="141" spans="2:21" ht="18" x14ac:dyDescent="0.25">
      <c r="B141" s="33">
        <v>1723</v>
      </c>
      <c r="C141" s="9" t="s">
        <v>37</v>
      </c>
      <c r="D141" s="3"/>
      <c r="E141" s="34">
        <v>14</v>
      </c>
      <c r="F141" s="46"/>
      <c r="G141" s="124">
        <f>+G144</f>
        <v>0.1</v>
      </c>
      <c r="H141" s="124">
        <f>+H144</f>
        <v>0</v>
      </c>
      <c r="I141" s="124">
        <f>+I144</f>
        <v>0</v>
      </c>
      <c r="J141" s="124">
        <f>+J144</f>
        <v>0.1</v>
      </c>
      <c r="K141" s="124">
        <f>+K144</f>
        <v>0.8</v>
      </c>
      <c r="L141" s="32"/>
      <c r="M141" s="32"/>
      <c r="N141" s="62">
        <f>+$E141*G141</f>
        <v>1.4000000000000001</v>
      </c>
      <c r="O141" s="62">
        <f>+$E141*H141</f>
        <v>0</v>
      </c>
      <c r="P141" s="62">
        <f>+$E141*I141</f>
        <v>0</v>
      </c>
      <c r="Q141" s="62">
        <f>+$E141*J141</f>
        <v>1.4000000000000001</v>
      </c>
      <c r="R141" s="62">
        <f>+$E141*K141</f>
        <v>11.200000000000001</v>
      </c>
      <c r="S141" s="15"/>
      <c r="U141" s="64">
        <f>SUM(G141:K141)</f>
        <v>1</v>
      </c>
    </row>
    <row r="142" spans="2:21" ht="18" x14ac:dyDescent="0.25">
      <c r="B142" s="33"/>
      <c r="C142" s="3" t="s">
        <v>15</v>
      </c>
      <c r="D142" s="3"/>
      <c r="E142" s="34"/>
      <c r="F142" s="38">
        <v>1259.498</v>
      </c>
      <c r="G142" s="124"/>
      <c r="H142" s="124"/>
      <c r="I142" s="124"/>
      <c r="J142" s="124"/>
      <c r="K142" s="124"/>
      <c r="L142" s="32"/>
      <c r="M142" s="32"/>
      <c r="N142" s="35"/>
      <c r="O142" s="35"/>
      <c r="P142" s="35"/>
      <c r="Q142" s="35"/>
      <c r="R142" s="35"/>
      <c r="S142" s="15"/>
    </row>
    <row r="143" spans="2:21" ht="18" x14ac:dyDescent="0.25">
      <c r="B143" s="33"/>
      <c r="C143" s="3" t="s">
        <v>16</v>
      </c>
      <c r="D143" s="3"/>
      <c r="E143" s="34"/>
      <c r="F143" s="80">
        <f>1822.498-F142</f>
        <v>563</v>
      </c>
      <c r="G143" s="124"/>
      <c r="H143" s="124"/>
      <c r="I143" s="124"/>
      <c r="J143" s="124"/>
      <c r="K143" s="124"/>
      <c r="L143" s="32"/>
      <c r="M143" s="32"/>
      <c r="N143" s="35"/>
      <c r="O143" s="38"/>
      <c r="P143" s="38"/>
      <c r="Q143" s="38"/>
      <c r="R143" s="38"/>
      <c r="S143" s="15"/>
    </row>
    <row r="144" spans="2:21" ht="18" x14ac:dyDescent="0.25">
      <c r="B144" s="3"/>
      <c r="C144" s="3" t="s">
        <v>17</v>
      </c>
      <c r="D144" s="107"/>
      <c r="E144" s="113"/>
      <c r="F144" s="38">
        <f>F142+F143</f>
        <v>1822.498</v>
      </c>
      <c r="G144" s="124">
        <v>0.1</v>
      </c>
      <c r="H144" s="124">
        <v>0</v>
      </c>
      <c r="I144" s="124">
        <v>0</v>
      </c>
      <c r="J144" s="124">
        <v>0.1</v>
      </c>
      <c r="K144" s="124">
        <v>0.8</v>
      </c>
      <c r="L144" s="32" t="s">
        <v>113</v>
      </c>
      <c r="M144" s="32" t="s">
        <v>18</v>
      </c>
      <c r="N144" s="38">
        <f>F144*G144</f>
        <v>182.24980000000002</v>
      </c>
      <c r="O144" s="38">
        <f>$F144*H144</f>
        <v>0</v>
      </c>
      <c r="P144" s="38">
        <f>$F144*I144</f>
        <v>0</v>
      </c>
      <c r="Q144" s="38">
        <f>F144*J144</f>
        <v>182.24980000000002</v>
      </c>
      <c r="R144" s="38">
        <f>$F144*K144</f>
        <v>1457.9984000000002</v>
      </c>
      <c r="S144" s="15"/>
    </row>
    <row r="145" spans="2:21" ht="18" x14ac:dyDescent="0.25">
      <c r="B145" s="33"/>
      <c r="C145" s="3"/>
      <c r="D145" s="3"/>
      <c r="E145" s="34"/>
      <c r="F145" s="53"/>
      <c r="G145" s="286"/>
      <c r="H145" s="286"/>
      <c r="I145" s="286"/>
      <c r="J145" s="286"/>
      <c r="K145" s="286"/>
      <c r="L145" s="29"/>
      <c r="M145" s="29"/>
      <c r="N145" s="43"/>
      <c r="O145" s="43"/>
      <c r="P145" s="43"/>
      <c r="Q145" s="43"/>
      <c r="R145" s="43"/>
      <c r="S145" s="15"/>
    </row>
    <row r="146" spans="2:21" ht="18" x14ac:dyDescent="0.25">
      <c r="B146" s="33">
        <v>1724</v>
      </c>
      <c r="C146" s="9" t="s">
        <v>87</v>
      </c>
      <c r="D146" s="3"/>
      <c r="E146" s="34">
        <v>6</v>
      </c>
      <c r="F146" s="46"/>
      <c r="G146" s="124">
        <f>+G149</f>
        <v>0</v>
      </c>
      <c r="H146" s="124">
        <f>+H149</f>
        <v>0</v>
      </c>
      <c r="I146" s="124">
        <f>+I149</f>
        <v>0</v>
      </c>
      <c r="J146" s="124">
        <f>+J149</f>
        <v>0</v>
      </c>
      <c r="K146" s="124">
        <v>1</v>
      </c>
      <c r="L146" s="32"/>
      <c r="M146" s="32"/>
      <c r="N146" s="62">
        <f>+$E146*G146</f>
        <v>0</v>
      </c>
      <c r="O146" s="62">
        <f>+$E146*H146</f>
        <v>0</v>
      </c>
      <c r="P146" s="62">
        <f>+$E146*I146</f>
        <v>0</v>
      </c>
      <c r="Q146" s="62">
        <f>+$E146*J146</f>
        <v>0</v>
      </c>
      <c r="R146" s="62">
        <f>+$E146*K146</f>
        <v>6</v>
      </c>
      <c r="S146" s="15"/>
      <c r="T146" s="114"/>
      <c r="U146" s="64">
        <f>SUM(G146:K146)</f>
        <v>1</v>
      </c>
    </row>
    <row r="147" spans="2:21" ht="18" x14ac:dyDescent="0.25">
      <c r="B147" s="33"/>
      <c r="C147" s="3" t="s">
        <v>15</v>
      </c>
      <c r="D147" s="3"/>
      <c r="E147" s="34"/>
      <c r="F147" s="46">
        <v>706.67499999999995</v>
      </c>
      <c r="G147" s="124"/>
      <c r="H147" s="124"/>
      <c r="I147" s="124"/>
      <c r="J147" s="124"/>
      <c r="K147" s="124"/>
      <c r="L147" s="32"/>
      <c r="M147" s="32"/>
      <c r="N147" s="35"/>
      <c r="O147" s="35"/>
      <c r="P147" s="35"/>
      <c r="Q147" s="35"/>
      <c r="R147" s="35"/>
      <c r="S147" s="15"/>
      <c r="T147" s="114"/>
    </row>
    <row r="148" spans="2:21" ht="18" x14ac:dyDescent="0.25">
      <c r="B148" s="33"/>
      <c r="C148" s="3" t="s">
        <v>16</v>
      </c>
      <c r="D148" s="3"/>
      <c r="E148" s="34"/>
      <c r="F148" s="46">
        <f>1414.175-F147</f>
        <v>707.5</v>
      </c>
      <c r="G148" s="124"/>
      <c r="H148" s="124"/>
      <c r="I148" s="124"/>
      <c r="J148" s="124"/>
      <c r="K148" s="124"/>
      <c r="L148" s="32"/>
      <c r="M148" s="32"/>
      <c r="N148" s="35"/>
      <c r="O148" s="35"/>
      <c r="P148" s="35"/>
      <c r="Q148" s="35"/>
      <c r="R148" s="35"/>
      <c r="S148" s="15"/>
      <c r="T148" s="114"/>
    </row>
    <row r="149" spans="2:21" ht="18" x14ac:dyDescent="0.25">
      <c r="B149" s="33"/>
      <c r="C149" s="3" t="s">
        <v>17</v>
      </c>
      <c r="D149" s="107"/>
      <c r="E149" s="113"/>
      <c r="F149" s="115">
        <f>+F147+F148</f>
        <v>1414.175</v>
      </c>
      <c r="G149" s="288">
        <v>0</v>
      </c>
      <c r="H149" s="288">
        <v>0</v>
      </c>
      <c r="I149" s="288">
        <v>0</v>
      </c>
      <c r="J149" s="288">
        <v>0</v>
      </c>
      <c r="K149" s="289">
        <v>1</v>
      </c>
      <c r="L149" s="116" t="s">
        <v>87</v>
      </c>
      <c r="M149" s="117" t="s">
        <v>18</v>
      </c>
      <c r="N149" s="118">
        <f>F149*G149</f>
        <v>0</v>
      </c>
      <c r="O149" s="119">
        <f>$F149*H149</f>
        <v>0</v>
      </c>
      <c r="P149" s="119">
        <f>$F149*I149</f>
        <v>0</v>
      </c>
      <c r="Q149" s="119">
        <f>F149*J149</f>
        <v>0</v>
      </c>
      <c r="R149" s="119">
        <f>$F149*K149</f>
        <v>1414.175</v>
      </c>
      <c r="S149" s="15"/>
    </row>
    <row r="150" spans="2:21" ht="18" x14ac:dyDescent="0.25">
      <c r="B150" s="33"/>
      <c r="C150" s="3"/>
      <c r="D150" s="3"/>
      <c r="E150" s="34"/>
      <c r="F150" s="46"/>
      <c r="G150" s="124"/>
      <c r="H150" s="124"/>
      <c r="I150" s="124"/>
      <c r="J150" s="124"/>
      <c r="K150" s="124"/>
      <c r="L150" s="32"/>
      <c r="M150" s="32"/>
      <c r="N150" s="35"/>
      <c r="O150" s="35"/>
      <c r="P150" s="35"/>
      <c r="Q150" s="35"/>
      <c r="R150" s="35"/>
      <c r="S150" s="15"/>
      <c r="T150" s="114"/>
    </row>
    <row r="151" spans="2:21" ht="18" x14ac:dyDescent="0.25">
      <c r="B151" s="33">
        <v>1725</v>
      </c>
      <c r="C151" s="9" t="s">
        <v>88</v>
      </c>
      <c r="D151" s="3"/>
      <c r="E151" s="34">
        <v>7</v>
      </c>
      <c r="F151" s="46"/>
      <c r="G151" s="124">
        <f>+G154</f>
        <v>0</v>
      </c>
      <c r="H151" s="124">
        <f>+H154</f>
        <v>0</v>
      </c>
      <c r="I151" s="124">
        <f>+I154</f>
        <v>0</v>
      </c>
      <c r="J151" s="124">
        <f>+J154</f>
        <v>0</v>
      </c>
      <c r="K151" s="124">
        <v>1</v>
      </c>
      <c r="L151" s="32"/>
      <c r="M151" s="32"/>
      <c r="N151" s="62">
        <f>+$E151*G151</f>
        <v>0</v>
      </c>
      <c r="O151" s="62">
        <f>+$E151*H151</f>
        <v>0</v>
      </c>
      <c r="P151" s="62">
        <f>+$E151*I151</f>
        <v>0</v>
      </c>
      <c r="Q151" s="62">
        <f>+$E151*J151</f>
        <v>0</v>
      </c>
      <c r="R151" s="62">
        <f>+$E151*K151</f>
        <v>7</v>
      </c>
      <c r="S151" s="15"/>
      <c r="T151" s="114"/>
      <c r="U151" s="64">
        <f>SUM(G151:K151)</f>
        <v>1</v>
      </c>
    </row>
    <row r="152" spans="2:21" ht="18" x14ac:dyDescent="0.25">
      <c r="B152" s="33"/>
      <c r="C152" s="3" t="s">
        <v>15</v>
      </c>
      <c r="D152" s="3"/>
      <c r="E152" s="34"/>
      <c r="F152" s="46">
        <v>704.15599999999995</v>
      </c>
      <c r="G152" s="124"/>
      <c r="H152" s="124"/>
      <c r="I152" s="124"/>
      <c r="J152" s="124"/>
      <c r="K152" s="124"/>
      <c r="L152" s="32"/>
      <c r="M152" s="32"/>
      <c r="N152" s="35"/>
      <c r="O152" s="35"/>
      <c r="P152" s="35"/>
      <c r="Q152" s="35"/>
      <c r="R152" s="35"/>
      <c r="S152" s="15"/>
      <c r="T152" s="114"/>
    </row>
    <row r="153" spans="2:21" ht="18" x14ac:dyDescent="0.25">
      <c r="B153" s="33"/>
      <c r="C153" s="3" t="s">
        <v>16</v>
      </c>
      <c r="D153" s="3"/>
      <c r="E153" s="34"/>
      <c r="F153" s="46">
        <f>1411.656-F152</f>
        <v>707.5</v>
      </c>
      <c r="G153" s="124"/>
      <c r="H153" s="124"/>
      <c r="I153" s="124"/>
      <c r="J153" s="124"/>
      <c r="K153" s="124"/>
      <c r="L153" s="32"/>
      <c r="M153" s="32"/>
      <c r="N153" s="35"/>
      <c r="O153" s="35"/>
      <c r="P153" s="35"/>
      <c r="Q153" s="35"/>
      <c r="R153" s="35"/>
      <c r="S153" s="15"/>
      <c r="T153" s="114"/>
    </row>
    <row r="154" spans="2:21" ht="18" x14ac:dyDescent="0.25">
      <c r="B154" s="33"/>
      <c r="C154" s="3" t="s">
        <v>17</v>
      </c>
      <c r="D154" s="107"/>
      <c r="E154" s="113"/>
      <c r="F154" s="115">
        <f>+F152+F153</f>
        <v>1411.6559999999999</v>
      </c>
      <c r="G154" s="288">
        <v>0</v>
      </c>
      <c r="H154" s="288">
        <v>0</v>
      </c>
      <c r="I154" s="288">
        <v>0</v>
      </c>
      <c r="J154" s="288">
        <v>0</v>
      </c>
      <c r="K154" s="289">
        <v>1</v>
      </c>
      <c r="L154" s="117" t="s">
        <v>88</v>
      </c>
      <c r="M154" s="117" t="s">
        <v>18</v>
      </c>
      <c r="N154" s="118">
        <f>F154*G154</f>
        <v>0</v>
      </c>
      <c r="O154" s="119">
        <f>$F154*H154</f>
        <v>0</v>
      </c>
      <c r="P154" s="119">
        <f>$F154*I154</f>
        <v>0</v>
      </c>
      <c r="Q154" s="119">
        <f>F154*J154</f>
        <v>0</v>
      </c>
      <c r="R154" s="119">
        <f>$F154*K154</f>
        <v>1411.6559999999999</v>
      </c>
      <c r="S154" s="15"/>
    </row>
    <row r="155" spans="2:21" ht="18" x14ac:dyDescent="0.25">
      <c r="B155" s="33"/>
      <c r="C155" s="3"/>
      <c r="D155" s="3"/>
      <c r="E155" s="34"/>
      <c r="F155" s="46"/>
      <c r="G155" s="124"/>
      <c r="H155" s="124"/>
      <c r="I155" s="124"/>
      <c r="J155" s="124"/>
      <c r="K155" s="124"/>
      <c r="L155" s="32"/>
      <c r="M155" s="32"/>
      <c r="N155" s="35"/>
      <c r="O155" s="35"/>
      <c r="P155" s="35"/>
      <c r="Q155" s="35"/>
      <c r="R155" s="35"/>
      <c r="S155" s="15"/>
    </row>
    <row r="156" spans="2:21" ht="18" x14ac:dyDescent="0.25">
      <c r="B156" s="33">
        <v>1731</v>
      </c>
      <c r="C156" s="9" t="s">
        <v>100</v>
      </c>
      <c r="D156" s="3"/>
      <c r="E156" s="34">
        <v>6</v>
      </c>
      <c r="F156" s="46"/>
      <c r="G156" s="124">
        <v>0.2</v>
      </c>
      <c r="H156" s="124">
        <v>0.15</v>
      </c>
      <c r="I156" s="124">
        <v>0.1</v>
      </c>
      <c r="J156" s="124">
        <v>0.3</v>
      </c>
      <c r="K156" s="124">
        <v>0.25</v>
      </c>
      <c r="L156" s="32"/>
      <c r="M156" s="32"/>
      <c r="N156" s="62">
        <f>+$E156*G156</f>
        <v>1.2000000000000002</v>
      </c>
      <c r="O156" s="62">
        <f>+$E156*H156</f>
        <v>0.89999999999999991</v>
      </c>
      <c r="P156" s="62">
        <f>+$E156*I156</f>
        <v>0.60000000000000009</v>
      </c>
      <c r="Q156" s="62">
        <f>+$E156*J156</f>
        <v>1.7999999999999998</v>
      </c>
      <c r="R156" s="62">
        <f>+$E156*K156</f>
        <v>1.5</v>
      </c>
      <c r="S156" s="15"/>
      <c r="U156" s="64">
        <f>SUM(G156:K156)</f>
        <v>1</v>
      </c>
    </row>
    <row r="157" spans="2:21" ht="18" x14ac:dyDescent="0.25">
      <c r="B157" s="33"/>
      <c r="C157" s="3" t="s">
        <v>15</v>
      </c>
      <c r="D157" s="3"/>
      <c r="E157" s="34"/>
      <c r="F157" s="38">
        <v>722.55200000000002</v>
      </c>
      <c r="G157" s="124"/>
      <c r="H157" s="124"/>
      <c r="I157" s="124"/>
      <c r="J157" s="124"/>
      <c r="K157" s="124"/>
      <c r="L157" s="32"/>
      <c r="M157" s="32"/>
      <c r="N157" s="35"/>
      <c r="O157" s="35"/>
      <c r="P157" s="35"/>
      <c r="Q157" s="35"/>
      <c r="R157" s="35"/>
      <c r="S157" s="15"/>
    </row>
    <row r="158" spans="2:21" ht="18" x14ac:dyDescent="0.25">
      <c r="B158" s="33"/>
      <c r="C158" s="3" t="s">
        <v>16</v>
      </c>
      <c r="D158" s="3"/>
      <c r="E158" s="34"/>
      <c r="F158" s="80">
        <f>1237.552-F157</f>
        <v>514.99999999999989</v>
      </c>
      <c r="G158" s="124"/>
      <c r="H158" s="124"/>
      <c r="I158" s="124"/>
      <c r="J158" s="124"/>
      <c r="K158" s="124"/>
      <c r="L158" s="32" t="s">
        <v>114</v>
      </c>
      <c r="M158" s="32"/>
      <c r="N158" s="35"/>
      <c r="O158" s="35"/>
      <c r="P158" s="35"/>
      <c r="Q158" s="35"/>
      <c r="R158" s="35"/>
      <c r="S158" s="15"/>
    </row>
    <row r="159" spans="2:21" ht="18" x14ac:dyDescent="0.25">
      <c r="B159" s="3"/>
      <c r="C159" s="3" t="s">
        <v>17</v>
      </c>
      <c r="D159" s="107"/>
      <c r="E159" s="113"/>
      <c r="F159" s="38">
        <f>F157+F158</f>
        <v>1237.5519999999999</v>
      </c>
      <c r="G159" s="124">
        <v>0.2</v>
      </c>
      <c r="H159" s="124">
        <v>0.15</v>
      </c>
      <c r="I159" s="124">
        <v>0.1</v>
      </c>
      <c r="J159" s="124">
        <v>0.3</v>
      </c>
      <c r="K159" s="124">
        <v>0.25</v>
      </c>
      <c r="L159" s="32" t="s">
        <v>115</v>
      </c>
      <c r="M159" s="32" t="s">
        <v>18</v>
      </c>
      <c r="N159" s="38">
        <f>F159*G159</f>
        <v>247.5104</v>
      </c>
      <c r="O159" s="119">
        <f>$F159*H159</f>
        <v>185.63279999999997</v>
      </c>
      <c r="P159" s="119">
        <f>$F159*I159</f>
        <v>123.7552</v>
      </c>
      <c r="Q159" s="119">
        <f>F159*J159</f>
        <v>371.26559999999995</v>
      </c>
      <c r="R159" s="119">
        <f>$F159*K159</f>
        <v>309.38799999999998</v>
      </c>
      <c r="S159" s="15"/>
    </row>
    <row r="160" spans="2:21" ht="18" x14ac:dyDescent="0.25">
      <c r="B160" s="33"/>
      <c r="C160" s="3"/>
      <c r="D160" s="3"/>
      <c r="E160" s="34"/>
      <c r="F160" s="120"/>
      <c r="G160" s="286"/>
      <c r="H160" s="286"/>
      <c r="I160" s="286"/>
      <c r="J160" s="286"/>
      <c r="K160" s="286"/>
      <c r="L160" s="29"/>
      <c r="M160" s="29"/>
      <c r="N160" s="120"/>
      <c r="O160" s="120"/>
      <c r="P160" s="120"/>
      <c r="Q160" s="120"/>
      <c r="R160" s="120"/>
      <c r="S160" s="15"/>
    </row>
    <row r="161" spans="2:21" ht="18" x14ac:dyDescent="0.25">
      <c r="B161" s="33">
        <v>1741</v>
      </c>
      <c r="C161" s="9" t="s">
        <v>38</v>
      </c>
      <c r="D161" s="3"/>
      <c r="E161" s="34">
        <v>17</v>
      </c>
      <c r="F161" s="38"/>
      <c r="G161" s="124">
        <v>0.03</v>
      </c>
      <c r="H161" s="124">
        <v>0.1</v>
      </c>
      <c r="I161" s="124">
        <v>0.02</v>
      </c>
      <c r="J161" s="124">
        <v>0.3</v>
      </c>
      <c r="K161" s="124">
        <v>0.55000000000000004</v>
      </c>
      <c r="L161" s="32"/>
      <c r="M161" s="32"/>
      <c r="N161" s="62">
        <f>+$E161*G161</f>
        <v>0.51</v>
      </c>
      <c r="O161" s="62">
        <f>+$E161*H161</f>
        <v>1.7000000000000002</v>
      </c>
      <c r="P161" s="62">
        <f>+$E161*I161</f>
        <v>0.34</v>
      </c>
      <c r="Q161" s="62">
        <f>+$E161*J161</f>
        <v>5.0999999999999996</v>
      </c>
      <c r="R161" s="62">
        <f>+$E161*K161</f>
        <v>9.3500000000000014</v>
      </c>
      <c r="S161" s="15"/>
    </row>
    <row r="162" spans="2:21" ht="18" x14ac:dyDescent="0.25">
      <c r="B162" s="33"/>
      <c r="C162" s="3" t="s">
        <v>15</v>
      </c>
      <c r="D162" s="3"/>
      <c r="E162" s="34"/>
      <c r="F162" s="38">
        <v>1748.4</v>
      </c>
      <c r="G162" s="124"/>
      <c r="H162" s="124"/>
      <c r="I162" s="124"/>
      <c r="J162" s="124"/>
      <c r="K162" s="124"/>
      <c r="L162" s="32"/>
      <c r="M162" s="32"/>
      <c r="N162" s="35"/>
      <c r="O162" s="35"/>
      <c r="P162" s="35"/>
      <c r="Q162" s="35"/>
      <c r="R162" s="35"/>
      <c r="S162" s="15"/>
    </row>
    <row r="163" spans="2:21" ht="18" x14ac:dyDescent="0.25">
      <c r="B163" s="33"/>
      <c r="C163" s="3" t="s">
        <v>16</v>
      </c>
      <c r="D163" s="3"/>
      <c r="E163" s="34"/>
      <c r="F163" s="80">
        <f>2841-F162</f>
        <v>1092.5999999999999</v>
      </c>
      <c r="G163" s="124"/>
      <c r="H163" s="124"/>
      <c r="I163" s="124"/>
      <c r="J163" s="124"/>
      <c r="K163" s="124"/>
      <c r="L163" s="32"/>
      <c r="M163" s="32"/>
      <c r="N163" s="35"/>
      <c r="O163" s="35"/>
      <c r="P163" s="35"/>
      <c r="Q163" s="35"/>
      <c r="R163" s="35"/>
      <c r="S163" s="15"/>
    </row>
    <row r="164" spans="2:21" ht="18" x14ac:dyDescent="0.25">
      <c r="B164" s="3"/>
      <c r="C164" s="3" t="s">
        <v>17</v>
      </c>
      <c r="D164" s="107"/>
      <c r="E164" s="113"/>
      <c r="F164" s="39">
        <f>F162+F163</f>
        <v>2841</v>
      </c>
      <c r="G164" s="124">
        <v>0.03</v>
      </c>
      <c r="H164" s="124">
        <v>0.1</v>
      </c>
      <c r="I164" s="124">
        <v>0.02</v>
      </c>
      <c r="J164" s="124">
        <v>0.3</v>
      </c>
      <c r="K164" s="124">
        <v>0.55000000000000004</v>
      </c>
      <c r="L164" s="32" t="s">
        <v>116</v>
      </c>
      <c r="M164" s="32" t="s">
        <v>18</v>
      </c>
      <c r="N164" s="121">
        <f>$F164*G164</f>
        <v>85.22999999999999</v>
      </c>
      <c r="O164" s="119">
        <f>$F164*H164</f>
        <v>284.10000000000002</v>
      </c>
      <c r="P164" s="119">
        <f>$F164*I164</f>
        <v>56.82</v>
      </c>
      <c r="Q164" s="119">
        <f>$F164*J164</f>
        <v>852.3</v>
      </c>
      <c r="R164" s="119">
        <f>$F164*K164</f>
        <v>1562.5500000000002</v>
      </c>
      <c r="S164" s="15"/>
    </row>
    <row r="165" spans="2:21" ht="18" x14ac:dyDescent="0.25">
      <c r="B165" s="6"/>
      <c r="C165" s="3"/>
      <c r="D165" s="3"/>
      <c r="E165" s="34"/>
      <c r="F165" s="53"/>
      <c r="G165" s="54"/>
      <c r="H165" s="54"/>
      <c r="I165" s="54"/>
      <c r="J165" s="54"/>
      <c r="K165" s="54"/>
      <c r="L165" s="29"/>
      <c r="M165" s="29"/>
      <c r="N165" s="43"/>
      <c r="O165" s="43"/>
      <c r="P165" s="43"/>
      <c r="Q165" s="43"/>
      <c r="R165" s="43"/>
      <c r="S165" s="15"/>
    </row>
    <row r="166" spans="2:21" ht="18" x14ac:dyDescent="0.25">
      <c r="B166" s="6"/>
      <c r="C166" s="3" t="s">
        <v>24</v>
      </c>
      <c r="D166" s="107"/>
      <c r="E166" s="45">
        <f>SUM(E131:E161)</f>
        <v>59</v>
      </c>
      <c r="F166" s="38">
        <f>F134+F139+F144+F149+F154+F159+F164</f>
        <v>10725.940999999999</v>
      </c>
      <c r="G166" s="55"/>
      <c r="H166" s="55"/>
      <c r="I166" s="55"/>
      <c r="J166" s="55"/>
      <c r="K166" s="55"/>
      <c r="L166" s="32"/>
      <c r="M166" s="32"/>
      <c r="N166" s="38">
        <f>N134+N139+N144+N159+N164+N149+N154</f>
        <v>546.87874225257883</v>
      </c>
      <c r="O166" s="38">
        <f>O134+O139+O144+O159+O164+O149+O154</f>
        <v>469.7328</v>
      </c>
      <c r="P166" s="38">
        <f>P134+P139+P144+P159+P164+P149+P154</f>
        <v>180.5752</v>
      </c>
      <c r="Q166" s="38">
        <f>Q134+Q139+Q144+Q159+Q164+Q149+Q154</f>
        <v>1437.6983067300475</v>
      </c>
      <c r="R166" s="38">
        <f>R134+R139+R144+R159+R164+R149+R154</f>
        <v>8090.8866458446064</v>
      </c>
      <c r="S166" s="15"/>
      <c r="U166" s="393">
        <f>SUM(N166:R166)</f>
        <v>10725.771694827232</v>
      </c>
    </row>
    <row r="167" spans="2:21" ht="18" x14ac:dyDescent="0.25">
      <c r="B167" s="6"/>
      <c r="C167" s="9" t="s">
        <v>39</v>
      </c>
      <c r="D167" s="107"/>
      <c r="E167" s="113"/>
      <c r="F167" s="88">
        <v>1</v>
      </c>
      <c r="G167" s="55"/>
      <c r="H167" s="55"/>
      <c r="I167" s="55"/>
      <c r="J167" s="55"/>
      <c r="K167" s="55"/>
      <c r="L167" s="87"/>
      <c r="M167" s="122"/>
      <c r="N167" s="88">
        <f>N166/$F166</f>
        <v>5.0986551413305263E-2</v>
      </c>
      <c r="O167" s="88">
        <f>O166/$F166</f>
        <v>4.3794087623640669E-2</v>
      </c>
      <c r="P167" s="88">
        <f>P166/$F166</f>
        <v>1.6835371367416623E-2</v>
      </c>
      <c r="Q167" s="88">
        <f>Q166/$F166</f>
        <v>0.13403936370058792</v>
      </c>
      <c r="R167" s="88">
        <f>R166/$F166</f>
        <v>0.75432884124988264</v>
      </c>
      <c r="S167" s="15"/>
    </row>
    <row r="168" spans="2:21" ht="18" x14ac:dyDescent="0.25">
      <c r="B168" s="6"/>
      <c r="C168" s="3"/>
      <c r="D168" s="3"/>
      <c r="E168" s="34"/>
      <c r="F168" s="53"/>
      <c r="G168" s="54"/>
      <c r="H168" s="54"/>
      <c r="I168" s="54"/>
      <c r="J168" s="54"/>
      <c r="K168" s="54"/>
      <c r="L168" s="29"/>
      <c r="M168" s="29"/>
      <c r="N168" s="43"/>
      <c r="O168" s="43"/>
      <c r="P168" s="43"/>
      <c r="Q168" s="43"/>
      <c r="R168" s="43"/>
      <c r="S168" s="15"/>
    </row>
    <row r="169" spans="2:21" ht="18" x14ac:dyDescent="0.25">
      <c r="B169" s="33">
        <v>1711</v>
      </c>
      <c r="C169" s="9" t="s">
        <v>180</v>
      </c>
      <c r="D169" s="3"/>
      <c r="E169" s="34">
        <v>1.5</v>
      </c>
      <c r="F169" s="46"/>
      <c r="G169" s="55">
        <f>+G172</f>
        <v>5.0986551413305263E-2</v>
      </c>
      <c r="H169" s="55">
        <f>+H172</f>
        <v>4.3794087623640669E-2</v>
      </c>
      <c r="I169" s="55">
        <f>+I172</f>
        <v>1.6835371367416623E-2</v>
      </c>
      <c r="J169" s="55">
        <f>+J172</f>
        <v>0.13403936370058792</v>
      </c>
      <c r="K169" s="55">
        <f>+K172</f>
        <v>0.75432884124988264</v>
      </c>
      <c r="L169" s="32"/>
      <c r="M169" s="32"/>
      <c r="N169" s="62">
        <f>+$E169*G169</f>
        <v>7.6479827119957891E-2</v>
      </c>
      <c r="O169" s="62">
        <f>+$E169*H169</f>
        <v>6.5691131435461E-2</v>
      </c>
      <c r="P169" s="62">
        <f>+$E169*I169</f>
        <v>2.5253057051124933E-2</v>
      </c>
      <c r="Q169" s="62">
        <f>+$E169*J169</f>
        <v>0.20105904555088189</v>
      </c>
      <c r="R169" s="62">
        <f>+$E169*K169</f>
        <v>1.1314932618748239</v>
      </c>
      <c r="S169" s="15"/>
    </row>
    <row r="170" spans="2:21" ht="18" x14ac:dyDescent="0.25">
      <c r="B170" s="6"/>
      <c r="C170" s="3" t="s">
        <v>40</v>
      </c>
      <c r="D170" s="3"/>
      <c r="E170" s="34"/>
      <c r="F170" s="38">
        <v>294.39999999999998</v>
      </c>
      <c r="G170" s="55"/>
      <c r="H170" s="55"/>
      <c r="I170" s="55"/>
      <c r="J170" s="55"/>
      <c r="K170" s="55"/>
      <c r="L170" s="32"/>
      <c r="M170" s="32"/>
      <c r="N170" s="35"/>
      <c r="O170" s="35"/>
      <c r="P170" s="35"/>
      <c r="Q170" s="35"/>
      <c r="R170" s="35"/>
      <c r="S170" s="15"/>
    </row>
    <row r="171" spans="2:21" ht="18" x14ac:dyDescent="0.25">
      <c r="B171" s="6"/>
      <c r="C171" s="3" t="s">
        <v>27</v>
      </c>
      <c r="D171" s="3"/>
      <c r="E171" s="34"/>
      <c r="F171" s="80">
        <f>330.06-F170</f>
        <v>35.660000000000025</v>
      </c>
      <c r="G171" s="55"/>
      <c r="H171" s="55"/>
      <c r="I171" s="55"/>
      <c r="J171" s="55"/>
      <c r="K171" s="55"/>
      <c r="L171" s="32"/>
      <c r="M171" s="32"/>
      <c r="N171" s="35"/>
      <c r="O171" s="35"/>
      <c r="P171" s="35"/>
      <c r="Q171" s="35"/>
      <c r="R171" s="35"/>
      <c r="S171" s="15"/>
    </row>
    <row r="172" spans="2:21" ht="18" x14ac:dyDescent="0.25">
      <c r="B172" s="33"/>
      <c r="C172" s="3" t="s">
        <v>31</v>
      </c>
      <c r="D172" s="107"/>
      <c r="E172" s="123"/>
      <c r="F172" s="38">
        <f>SUM(F170:F171)</f>
        <v>330.06</v>
      </c>
      <c r="G172" s="124">
        <f>N167</f>
        <v>5.0986551413305263E-2</v>
      </c>
      <c r="H172" s="124">
        <f>O167</f>
        <v>4.3794087623640669E-2</v>
      </c>
      <c r="I172" s="124">
        <f>P167</f>
        <v>1.6835371367416623E-2</v>
      </c>
      <c r="J172" s="124">
        <f>Q167</f>
        <v>0.13403936370058792</v>
      </c>
      <c r="K172" s="124">
        <f>R167</f>
        <v>0.75432884124988264</v>
      </c>
      <c r="L172" s="32" t="s">
        <v>111</v>
      </c>
      <c r="M172" s="32" t="s">
        <v>28</v>
      </c>
      <c r="N172" s="38">
        <f>G172*$F172</f>
        <v>16.828621159475535</v>
      </c>
      <c r="O172" s="38">
        <f>H172*$F172</f>
        <v>14.454676561058839</v>
      </c>
      <c r="P172" s="38">
        <f>I172*$F172</f>
        <v>5.5566826735295303</v>
      </c>
      <c r="Q172" s="38">
        <f>J172*$F172</f>
        <v>44.241032383016048</v>
      </c>
      <c r="R172" s="38">
        <f>K172*$F172</f>
        <v>248.97377734293627</v>
      </c>
      <c r="S172" s="15"/>
    </row>
    <row r="173" spans="2:21" ht="18" x14ac:dyDescent="0.25">
      <c r="B173" s="6"/>
      <c r="C173" s="3"/>
      <c r="D173" s="3"/>
      <c r="E173" s="34"/>
      <c r="F173" s="46"/>
      <c r="G173" s="55"/>
      <c r="H173" s="55"/>
      <c r="I173" s="55"/>
      <c r="J173" s="55"/>
      <c r="K173" s="55"/>
      <c r="L173" s="32"/>
      <c r="M173" s="32"/>
      <c r="N173" s="35"/>
      <c r="O173" s="35"/>
      <c r="P173" s="35"/>
      <c r="Q173" s="35"/>
      <c r="R173" s="35"/>
      <c r="S173" s="15"/>
    </row>
    <row r="174" spans="2:21" ht="18" x14ac:dyDescent="0.25">
      <c r="B174" s="94" t="s">
        <v>142</v>
      </c>
      <c r="C174" s="1"/>
      <c r="D174" s="107"/>
      <c r="E174" s="37"/>
      <c r="F174" s="39">
        <f>F166+F172</f>
        <v>11056.000999999998</v>
      </c>
      <c r="G174" s="96">
        <f>N174/$F174</f>
        <v>5.098655141330527E-2</v>
      </c>
      <c r="H174" s="96">
        <f>O174/$F174</f>
        <v>4.3794087623640669E-2</v>
      </c>
      <c r="I174" s="96">
        <f>P174/$F174</f>
        <v>1.6835371367416623E-2</v>
      </c>
      <c r="J174" s="96">
        <f>Q174/$F174</f>
        <v>0.13403936370058792</v>
      </c>
      <c r="K174" s="96">
        <f>R174/$F174</f>
        <v>0.75432884124988275</v>
      </c>
      <c r="L174" s="97"/>
      <c r="M174" s="97"/>
      <c r="N174" s="39">
        <f>N166+N172</f>
        <v>563.70736341205441</v>
      </c>
      <c r="O174" s="39">
        <f>O166+O172</f>
        <v>484.18747656105882</v>
      </c>
      <c r="P174" s="39">
        <f>P166+P172</f>
        <v>186.13188267352953</v>
      </c>
      <c r="Q174" s="39">
        <f>Q166+Q172</f>
        <v>1481.9393391130636</v>
      </c>
      <c r="R174" s="39">
        <f>R166+R172</f>
        <v>8339.8604231875433</v>
      </c>
      <c r="S174" s="15"/>
    </row>
    <row r="175" spans="2:21" ht="18" x14ac:dyDescent="0.25">
      <c r="B175" s="94"/>
      <c r="C175" s="1"/>
      <c r="D175" s="107"/>
      <c r="E175" s="125"/>
      <c r="F175" s="39"/>
      <c r="G175" s="96"/>
      <c r="H175" s="96"/>
      <c r="I175" s="96"/>
      <c r="J175" s="96"/>
      <c r="K175" s="96"/>
      <c r="L175" s="97"/>
      <c r="M175" s="97"/>
      <c r="N175" s="39"/>
      <c r="O175" s="39"/>
      <c r="P175" s="39"/>
      <c r="Q175" s="39"/>
      <c r="R175" s="39"/>
      <c r="S175" s="15"/>
    </row>
    <row r="176" spans="2:21" ht="18" x14ac:dyDescent="0.25">
      <c r="B176" s="94" t="s">
        <v>143</v>
      </c>
      <c r="C176" s="1"/>
      <c r="D176" s="107"/>
      <c r="E176" s="125">
        <f>+E169+E166</f>
        <v>60.5</v>
      </c>
      <c r="F176" s="39"/>
      <c r="G176" s="96"/>
      <c r="H176" s="96"/>
      <c r="I176" s="96"/>
      <c r="J176" s="96"/>
      <c r="K176" s="96"/>
      <c r="L176" s="97"/>
      <c r="M176" s="97"/>
      <c r="N176" s="99">
        <f>+N169+N161+N156+N151+N146+N141+N136+N131</f>
        <v>3.3153354377981232</v>
      </c>
      <c r="O176" s="99">
        <f>+O169+O161+O156+O151+O146+O141+O136+O131</f>
        <v>2.665691131435461</v>
      </c>
      <c r="P176" s="99">
        <f>+P169+P161+P156+P151+P146+P141+P136+P131</f>
        <v>0.96525305705112507</v>
      </c>
      <c r="Q176" s="99">
        <f>+Q169+Q161+Q156+Q151+Q146+Q141+Q136+Q131</f>
        <v>8.6298918841408305</v>
      </c>
      <c r="R176" s="99">
        <f>+R169+R161+R156+R151+R146+R141+R136+R131</f>
        <v>44.923120682198523</v>
      </c>
      <c r="S176" s="15"/>
    </row>
    <row r="177" spans="1:254" ht="18" x14ac:dyDescent="0.25">
      <c r="B177" s="6"/>
      <c r="C177" s="3"/>
      <c r="D177" s="3"/>
      <c r="E177" s="34"/>
      <c r="F177" s="46"/>
      <c r="G177" s="55"/>
      <c r="H177" s="55"/>
      <c r="I177" s="55"/>
      <c r="J177" s="55"/>
      <c r="K177" s="55"/>
      <c r="L177" s="32"/>
      <c r="M177" s="32"/>
      <c r="N177" s="15"/>
      <c r="O177" s="15"/>
      <c r="P177" s="15"/>
      <c r="Q177" s="15"/>
      <c r="R177" s="15"/>
      <c r="S177" s="15"/>
    </row>
    <row r="178" spans="1:254" ht="18" x14ac:dyDescent="0.25">
      <c r="B178" s="94" t="s">
        <v>33</v>
      </c>
      <c r="C178" s="1"/>
      <c r="D178" s="107"/>
      <c r="E178" s="123"/>
      <c r="F178" s="39">
        <f>F132+F137+F142+F157+F162</f>
        <v>4783.25</v>
      </c>
      <c r="G178" s="55"/>
      <c r="H178" s="55"/>
      <c r="I178" s="55"/>
      <c r="J178" s="55"/>
      <c r="K178" s="55"/>
      <c r="L178" s="32"/>
      <c r="M178" s="32"/>
      <c r="N178" s="15"/>
      <c r="O178" s="15"/>
      <c r="P178" s="15"/>
      <c r="Q178" s="15"/>
      <c r="R178" s="15"/>
      <c r="S178" s="15"/>
    </row>
    <row r="179" spans="1:254" ht="18" x14ac:dyDescent="0.25">
      <c r="B179" s="94" t="s">
        <v>41</v>
      </c>
      <c r="C179" s="1"/>
      <c r="D179" s="1"/>
      <c r="E179" s="100"/>
      <c r="F179" s="88">
        <f>F172/F174</f>
        <v>2.9853470527001585E-2</v>
      </c>
      <c r="G179" s="55"/>
      <c r="H179" s="55"/>
      <c r="I179" s="55"/>
      <c r="J179" s="55"/>
      <c r="K179" s="55"/>
      <c r="L179" s="32"/>
      <c r="M179" s="32"/>
      <c r="N179" s="15"/>
      <c r="O179" s="15"/>
      <c r="P179" s="15"/>
      <c r="Q179" s="15"/>
      <c r="R179" s="15"/>
      <c r="S179" s="15"/>
    </row>
    <row r="180" spans="1:254" ht="18" x14ac:dyDescent="0.25">
      <c r="B180" s="6"/>
      <c r="C180" s="3"/>
      <c r="D180" s="3"/>
      <c r="E180" s="34"/>
      <c r="F180" s="46"/>
      <c r="G180" s="55"/>
      <c r="H180" s="55"/>
      <c r="I180" s="55"/>
      <c r="J180" s="55"/>
      <c r="K180" s="55"/>
      <c r="L180" s="32"/>
      <c r="M180" s="32"/>
      <c r="N180" s="15"/>
      <c r="O180" s="15"/>
      <c r="P180" s="15"/>
      <c r="Q180" s="15"/>
      <c r="R180" s="15"/>
      <c r="S180" s="15"/>
    </row>
    <row r="181" spans="1:254" ht="18" x14ac:dyDescent="0.25">
      <c r="B181" s="94" t="s">
        <v>42</v>
      </c>
      <c r="C181" s="1"/>
      <c r="D181" s="1"/>
      <c r="E181" s="100"/>
      <c r="F181" s="38">
        <f>F112+F174</f>
        <v>33413.176999999996</v>
      </c>
      <c r="G181" s="55"/>
      <c r="H181" s="55"/>
      <c r="I181" s="55"/>
      <c r="J181" s="55"/>
      <c r="K181" s="55"/>
      <c r="L181" s="32"/>
      <c r="M181" s="32"/>
      <c r="N181" s="126">
        <f>N112+N174</f>
        <v>11988.413265323199</v>
      </c>
      <c r="O181" s="126">
        <f>O112+O174</f>
        <v>4113.9882024260596</v>
      </c>
      <c r="P181" s="126">
        <f>P112+P174</f>
        <v>2320.6662531677912</v>
      </c>
      <c r="Q181" s="126">
        <f>Q112+Q174</f>
        <v>5469.1096178406342</v>
      </c>
      <c r="R181" s="126">
        <f>R112+R174</f>
        <v>9520.8251461895652</v>
      </c>
      <c r="S181" s="15"/>
    </row>
    <row r="182" spans="1:254" ht="18" x14ac:dyDescent="0.25">
      <c r="B182" s="8"/>
      <c r="C182" s="3"/>
      <c r="D182" s="3"/>
      <c r="E182" s="34"/>
      <c r="F182" s="38"/>
      <c r="G182" s="55"/>
      <c r="H182" s="55"/>
      <c r="I182" s="55"/>
      <c r="J182" s="55"/>
      <c r="K182" s="55"/>
      <c r="L182" s="32"/>
      <c r="M182" s="32"/>
      <c r="N182" s="126"/>
      <c r="O182" s="126"/>
      <c r="P182" s="126"/>
      <c r="Q182" s="126"/>
      <c r="R182" s="126"/>
      <c r="S182" s="15"/>
    </row>
    <row r="183" spans="1:254" ht="18" x14ac:dyDescent="0.25">
      <c r="B183" s="6"/>
      <c r="C183" s="9" t="s">
        <v>43</v>
      </c>
      <c r="D183" s="3"/>
      <c r="E183" s="34"/>
      <c r="F183" s="88">
        <v>1</v>
      </c>
      <c r="G183" s="55"/>
      <c r="H183" s="55"/>
      <c r="I183" s="55"/>
      <c r="J183" s="55"/>
      <c r="K183" s="55"/>
      <c r="L183" s="32"/>
      <c r="M183" s="122"/>
      <c r="N183" s="127">
        <f>N181/$F181</f>
        <v>0.3587929775526344</v>
      </c>
      <c r="O183" s="127">
        <f>O181/$F181</f>
        <v>0.12312472418968301</v>
      </c>
      <c r="P183" s="127">
        <f>P181/$F181</f>
        <v>6.9453624633413077E-2</v>
      </c>
      <c r="Q183" s="127">
        <f>Q181/$F181</f>
        <v>0.16368122126910095</v>
      </c>
      <c r="R183" s="127">
        <f>R181/$F181</f>
        <v>0.28494222941414898</v>
      </c>
      <c r="S183" s="15"/>
    </row>
    <row r="184" spans="1:254" ht="15.75" x14ac:dyDescent="0.25">
      <c r="B184" s="6"/>
      <c r="C184" s="9"/>
      <c r="D184" s="3"/>
      <c r="E184" s="128"/>
      <c r="F184" s="129"/>
      <c r="G184" s="31"/>
      <c r="H184" s="31"/>
      <c r="I184" s="31"/>
      <c r="J184" s="130"/>
      <c r="K184" s="130"/>
      <c r="L184" s="131"/>
      <c r="M184" s="131"/>
      <c r="N184" s="132"/>
      <c r="O184" s="132"/>
      <c r="P184" s="132"/>
      <c r="Q184" s="133"/>
      <c r="R184" s="134"/>
      <c r="S184" s="15"/>
    </row>
    <row r="185" spans="1:254" x14ac:dyDescent="0.2">
      <c r="B185" s="69"/>
      <c r="C185" s="3"/>
      <c r="D185" s="3"/>
      <c r="E185" s="3"/>
      <c r="F185" s="65"/>
      <c r="G185" s="66"/>
      <c r="H185" s="66"/>
      <c r="I185" s="66"/>
      <c r="J185" s="135"/>
      <c r="K185" s="135"/>
      <c r="L185" s="136"/>
      <c r="M185" s="136"/>
      <c r="N185" s="137"/>
      <c r="O185" s="137"/>
      <c r="P185" s="137"/>
      <c r="Q185" s="137"/>
      <c r="R185" s="137"/>
      <c r="S185" s="3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</row>
    <row r="186" spans="1:254" ht="30" x14ac:dyDescent="0.4">
      <c r="A186" s="1" t="s">
        <v>275</v>
      </c>
      <c r="B186" s="69"/>
      <c r="C186" s="3"/>
      <c r="D186" s="3"/>
      <c r="E186" s="3"/>
      <c r="F186" s="137"/>
      <c r="G186" s="138"/>
      <c r="H186" s="139"/>
      <c r="I186" s="138"/>
      <c r="J186" s="2"/>
      <c r="K186" s="2" t="s">
        <v>218</v>
      </c>
      <c r="L186" s="2"/>
      <c r="M186" s="136"/>
      <c r="N186" s="137"/>
      <c r="O186" s="137"/>
      <c r="P186" s="137"/>
      <c r="Q186" s="137"/>
      <c r="R186" s="137"/>
      <c r="S186" s="3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</row>
    <row r="187" spans="1:254" ht="30" x14ac:dyDescent="0.4">
      <c r="A187" s="1"/>
      <c r="B187" s="69"/>
      <c r="C187" s="3"/>
      <c r="D187" s="3"/>
      <c r="E187" s="3"/>
      <c r="F187" s="137"/>
      <c r="G187" s="138"/>
      <c r="H187" s="138"/>
      <c r="I187" s="138"/>
      <c r="J187" s="2"/>
      <c r="K187" s="2" t="s">
        <v>253</v>
      </c>
      <c r="L187" s="2"/>
      <c r="M187" s="136"/>
      <c r="N187" s="137"/>
      <c r="O187" s="137"/>
      <c r="P187" s="137"/>
      <c r="Q187" s="137"/>
      <c r="R187" s="137"/>
      <c r="S187" s="3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  <c r="IS187" s="7"/>
      <c r="IT187" s="7"/>
    </row>
    <row r="188" spans="1:254" x14ac:dyDescent="0.2">
      <c r="A188" s="1"/>
      <c r="B188" s="69"/>
      <c r="C188" s="3"/>
      <c r="D188" s="3"/>
      <c r="E188" s="3"/>
      <c r="F188" s="137"/>
      <c r="G188" s="138"/>
      <c r="H188" s="138"/>
      <c r="I188" s="138"/>
      <c r="J188" s="3"/>
      <c r="K188" s="70"/>
      <c r="L188" s="6"/>
      <c r="M188" s="136"/>
      <c r="N188" s="137"/>
      <c r="O188" s="137"/>
      <c r="P188" s="137"/>
      <c r="Q188" s="137"/>
      <c r="R188" s="137"/>
      <c r="S188" s="3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  <c r="IS188" s="7"/>
      <c r="IT188" s="7"/>
    </row>
    <row r="189" spans="1:254" x14ac:dyDescent="0.2">
      <c r="A189" s="1"/>
      <c r="B189" s="69"/>
      <c r="C189" s="3"/>
      <c r="D189" s="3"/>
      <c r="E189" s="3"/>
      <c r="F189" s="137"/>
      <c r="G189" s="138"/>
      <c r="H189" s="138"/>
      <c r="I189" s="138"/>
      <c r="J189" s="135"/>
      <c r="K189" s="135"/>
      <c r="L189" s="136"/>
      <c r="M189" s="136"/>
      <c r="N189" s="137"/>
      <c r="O189" s="137"/>
      <c r="P189" s="137"/>
      <c r="Q189" s="137"/>
      <c r="R189" s="137"/>
      <c r="S189" s="3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</row>
    <row r="190" spans="1:254" ht="15.75" x14ac:dyDescent="0.25">
      <c r="B190" s="8"/>
      <c r="C190" s="9"/>
      <c r="D190" s="9"/>
      <c r="E190" s="9"/>
      <c r="F190" s="9"/>
      <c r="G190" s="71" t="s">
        <v>0</v>
      </c>
      <c r="H190" s="71"/>
      <c r="I190" s="71"/>
      <c r="J190" s="72"/>
      <c r="K190" s="72"/>
      <c r="L190" s="310"/>
      <c r="M190" s="307"/>
      <c r="N190" s="12" t="s">
        <v>183</v>
      </c>
      <c r="O190" s="13"/>
      <c r="P190" s="13"/>
      <c r="Q190" s="14"/>
      <c r="R190" s="13"/>
      <c r="S190" s="15"/>
    </row>
    <row r="191" spans="1:254" ht="15.75" x14ac:dyDescent="0.25">
      <c r="B191" s="16" t="s">
        <v>1</v>
      </c>
      <c r="C191" s="9"/>
      <c r="D191" s="9"/>
      <c r="E191" s="17" t="s">
        <v>176</v>
      </c>
      <c r="F191" s="18" t="s">
        <v>2</v>
      </c>
      <c r="G191" s="18" t="s">
        <v>159</v>
      </c>
      <c r="H191" s="74"/>
      <c r="I191" s="74"/>
      <c r="J191" s="74" t="s">
        <v>3</v>
      </c>
      <c r="K191" s="74" t="s">
        <v>4</v>
      </c>
      <c r="L191" s="311"/>
      <c r="M191" s="308"/>
      <c r="N191" s="18" t="s">
        <v>159</v>
      </c>
      <c r="O191" s="18"/>
      <c r="P191" s="18"/>
      <c r="Q191" s="18" t="s">
        <v>3</v>
      </c>
      <c r="R191" s="18" t="s">
        <v>4</v>
      </c>
      <c r="S191" s="15"/>
    </row>
    <row r="192" spans="1:254" s="114" customFormat="1" ht="15.75" x14ac:dyDescent="0.25">
      <c r="B192" s="280" t="s">
        <v>5</v>
      </c>
      <c r="C192" s="281" t="s">
        <v>6</v>
      </c>
      <c r="D192" s="282"/>
      <c r="E192" s="22" t="s">
        <v>133</v>
      </c>
      <c r="F192" s="23" t="s">
        <v>7</v>
      </c>
      <c r="G192" s="23" t="s">
        <v>160</v>
      </c>
      <c r="H192" s="292" t="s">
        <v>8</v>
      </c>
      <c r="I192" s="292" t="s">
        <v>9</v>
      </c>
      <c r="J192" s="292" t="s">
        <v>10</v>
      </c>
      <c r="K192" s="292" t="s">
        <v>184</v>
      </c>
      <c r="L192" s="293" t="s">
        <v>107</v>
      </c>
      <c r="M192" s="75" t="s">
        <v>12</v>
      </c>
      <c r="N192" s="23" t="s">
        <v>160</v>
      </c>
      <c r="O192" s="23" t="s">
        <v>8</v>
      </c>
      <c r="P192" s="23" t="s">
        <v>9</v>
      </c>
      <c r="Q192" s="23" t="s">
        <v>10</v>
      </c>
      <c r="R192" s="23" t="s">
        <v>11</v>
      </c>
      <c r="S192" s="15"/>
    </row>
    <row r="193" spans="2:21" ht="15.75" x14ac:dyDescent="0.25">
      <c r="B193" s="9"/>
      <c r="C193" s="9"/>
      <c r="D193" s="3"/>
      <c r="E193" s="128"/>
      <c r="F193" s="283"/>
      <c r="G193" s="23" t="s">
        <v>234</v>
      </c>
      <c r="H193" s="284"/>
      <c r="I193" s="284"/>
      <c r="J193" s="284"/>
      <c r="K193" s="76" t="s">
        <v>113</v>
      </c>
      <c r="L193" s="78"/>
      <c r="M193" s="309"/>
      <c r="N193" s="23" t="s">
        <v>234</v>
      </c>
      <c r="O193" s="134"/>
      <c r="P193" s="134"/>
      <c r="Q193" s="134"/>
      <c r="R193" s="76" t="s">
        <v>113</v>
      </c>
      <c r="S193" s="15"/>
    </row>
    <row r="194" spans="2:21" ht="15.75" x14ac:dyDescent="0.25">
      <c r="B194" s="1">
        <v>1400</v>
      </c>
      <c r="C194" s="30" t="s">
        <v>189</v>
      </c>
      <c r="D194" s="3"/>
      <c r="E194" s="26"/>
      <c r="F194" s="15"/>
      <c r="G194" s="31"/>
      <c r="H194" s="31"/>
      <c r="I194" s="31"/>
      <c r="J194" s="31"/>
      <c r="K194" s="31"/>
      <c r="L194" s="32"/>
      <c r="M194" s="32"/>
      <c r="N194" s="15"/>
      <c r="O194" s="15"/>
      <c r="P194" s="15"/>
      <c r="Q194" s="15"/>
      <c r="R194" s="15"/>
      <c r="S194" s="15"/>
    </row>
    <row r="195" spans="2:21" x14ac:dyDescent="0.2">
      <c r="B195" s="6"/>
      <c r="C195" s="3"/>
      <c r="D195" s="3"/>
      <c r="E195" s="26"/>
      <c r="F195" s="112"/>
      <c r="G195" s="31"/>
      <c r="H195" s="31"/>
      <c r="I195" s="31"/>
      <c r="J195" s="31"/>
      <c r="K195" s="31"/>
      <c r="L195" s="32"/>
      <c r="M195" s="32"/>
      <c r="N195" s="15"/>
      <c r="O195" s="15"/>
      <c r="P195" s="15"/>
      <c r="Q195" s="15"/>
      <c r="R195" s="15"/>
      <c r="S195" s="15"/>
    </row>
    <row r="196" spans="2:21" ht="18" x14ac:dyDescent="0.25">
      <c r="B196" s="33">
        <v>1421</v>
      </c>
      <c r="C196" s="9" t="s">
        <v>140</v>
      </c>
      <c r="D196" s="3"/>
      <c r="E196" s="34">
        <v>12</v>
      </c>
      <c r="F196" s="35"/>
      <c r="G196" s="36">
        <v>0.1</v>
      </c>
      <c r="H196" s="36">
        <v>0.15</v>
      </c>
      <c r="I196" s="36">
        <v>0.05</v>
      </c>
      <c r="J196" s="36">
        <v>0.35</v>
      </c>
      <c r="K196" s="36">
        <v>0.35</v>
      </c>
      <c r="L196" s="32"/>
      <c r="M196" s="32"/>
      <c r="N196" s="35">
        <f>+$E196*G196</f>
        <v>1.2000000000000002</v>
      </c>
      <c r="O196" s="35">
        <f>+$E196*H196</f>
        <v>1.7999999999999998</v>
      </c>
      <c r="P196" s="35">
        <f>+$E196*I196</f>
        <v>0.60000000000000009</v>
      </c>
      <c r="Q196" s="35">
        <f>+$E196*J196</f>
        <v>4.1999999999999993</v>
      </c>
      <c r="R196" s="35">
        <f>+$E196*K196</f>
        <v>4.1999999999999993</v>
      </c>
      <c r="S196" s="15"/>
    </row>
    <row r="197" spans="2:21" ht="18" x14ac:dyDescent="0.25">
      <c r="B197" s="33"/>
      <c r="C197" s="3" t="s">
        <v>15</v>
      </c>
      <c r="D197" s="3"/>
      <c r="E197" s="34"/>
      <c r="F197" s="38">
        <v>1528</v>
      </c>
      <c r="G197" s="36"/>
      <c r="H197" s="36"/>
      <c r="I197" s="36"/>
      <c r="J197" s="36"/>
      <c r="K197" s="36"/>
      <c r="L197" s="32"/>
      <c r="M197" s="32"/>
      <c r="N197" s="35"/>
      <c r="O197" s="35"/>
      <c r="P197" s="35"/>
      <c r="Q197" s="35"/>
      <c r="R197" s="35"/>
      <c r="S197" s="15"/>
    </row>
    <row r="198" spans="2:21" ht="18" x14ac:dyDescent="0.25">
      <c r="B198" s="33"/>
      <c r="C198" s="3" t="s">
        <v>16</v>
      </c>
      <c r="D198" s="3"/>
      <c r="E198" s="34"/>
      <c r="F198" s="80">
        <f>4425-F197</f>
        <v>2897</v>
      </c>
      <c r="G198" s="36"/>
      <c r="H198" s="36"/>
      <c r="I198" s="36"/>
      <c r="J198" s="36"/>
      <c r="K198" s="36"/>
      <c r="L198" s="32"/>
      <c r="M198" s="32"/>
      <c r="N198" s="35"/>
      <c r="O198" s="35"/>
      <c r="P198" s="35"/>
      <c r="Q198" s="35"/>
      <c r="R198" s="35"/>
      <c r="S198" s="15"/>
    </row>
    <row r="199" spans="2:21" ht="30.75" x14ac:dyDescent="0.25">
      <c r="B199" s="3"/>
      <c r="C199" s="3" t="s">
        <v>17</v>
      </c>
      <c r="D199" s="107"/>
      <c r="E199" s="113"/>
      <c r="F199" s="38">
        <f>F197+F198</f>
        <v>4425</v>
      </c>
      <c r="G199" s="36">
        <v>0.1</v>
      </c>
      <c r="H199" s="36">
        <v>0.15</v>
      </c>
      <c r="I199" s="36">
        <v>0.05</v>
      </c>
      <c r="J199" s="36">
        <v>0.35</v>
      </c>
      <c r="K199" s="36">
        <v>0.35</v>
      </c>
      <c r="L199" s="32" t="s">
        <v>117</v>
      </c>
      <c r="M199" s="32" t="s">
        <v>44</v>
      </c>
      <c r="N199" s="38">
        <f>$F199*G199</f>
        <v>442.5</v>
      </c>
      <c r="O199" s="38">
        <f>$F199*H199</f>
        <v>663.75</v>
      </c>
      <c r="P199" s="38">
        <f>$F199*I199</f>
        <v>221.25</v>
      </c>
      <c r="Q199" s="38">
        <f>$F199*J199</f>
        <v>1548.75</v>
      </c>
      <c r="R199" s="38">
        <f>$F199*K199</f>
        <v>1548.75</v>
      </c>
      <c r="S199" s="15"/>
    </row>
    <row r="200" spans="2:21" ht="18" x14ac:dyDescent="0.25">
      <c r="B200" s="33"/>
      <c r="C200" s="3"/>
      <c r="D200" s="3"/>
      <c r="E200" s="34"/>
      <c r="F200" s="53"/>
      <c r="G200" s="54"/>
      <c r="H200" s="54"/>
      <c r="I200" s="54"/>
      <c r="J200" s="54"/>
      <c r="K200" s="54"/>
      <c r="L200" s="29"/>
      <c r="M200" s="29"/>
      <c r="N200" s="43"/>
      <c r="O200" s="43"/>
      <c r="P200" s="43"/>
      <c r="Q200" s="43"/>
      <c r="R200" s="43"/>
      <c r="S200" s="15"/>
    </row>
    <row r="201" spans="2:21" ht="18" x14ac:dyDescent="0.25">
      <c r="B201" s="33">
        <v>1431</v>
      </c>
      <c r="C201" s="9" t="s">
        <v>45</v>
      </c>
      <c r="D201" s="3"/>
      <c r="E201" s="34">
        <v>8</v>
      </c>
      <c r="F201" s="46"/>
      <c r="G201" s="124">
        <v>0.28000000000000003</v>
      </c>
      <c r="H201" s="124">
        <v>0.05</v>
      </c>
      <c r="I201" s="124">
        <v>0.05</v>
      </c>
      <c r="J201" s="124">
        <v>0.3</v>
      </c>
      <c r="K201" s="124">
        <v>0.32</v>
      </c>
      <c r="L201" s="32"/>
      <c r="M201" s="32"/>
      <c r="N201" s="62">
        <f>+$E201*G201</f>
        <v>2.2400000000000002</v>
      </c>
      <c r="O201" s="62">
        <f>+$E201*H201</f>
        <v>0.4</v>
      </c>
      <c r="P201" s="62">
        <f>+$E201*I201</f>
        <v>0.4</v>
      </c>
      <c r="Q201" s="62">
        <f>+$E201*J201</f>
        <v>2.4</v>
      </c>
      <c r="R201" s="62">
        <f>+$E201*K201</f>
        <v>2.56</v>
      </c>
      <c r="S201" s="15"/>
    </row>
    <row r="202" spans="2:21" ht="18" x14ac:dyDescent="0.25">
      <c r="B202" s="33"/>
      <c r="C202" s="3" t="s">
        <v>15</v>
      </c>
      <c r="D202" s="3"/>
      <c r="E202" s="34"/>
      <c r="F202" s="38">
        <f>991.4</f>
        <v>991.4</v>
      </c>
      <c r="G202" s="124"/>
      <c r="H202" s="124"/>
      <c r="I202" s="124"/>
      <c r="J202" s="124"/>
      <c r="K202" s="124"/>
      <c r="L202" s="32"/>
      <c r="M202" s="32"/>
      <c r="N202" s="35"/>
      <c r="O202" s="35"/>
      <c r="P202" s="35"/>
      <c r="Q202" s="35"/>
      <c r="R202" s="35"/>
      <c r="S202" s="15"/>
    </row>
    <row r="203" spans="2:21" ht="18" x14ac:dyDescent="0.25">
      <c r="B203" s="33"/>
      <c r="C203" s="3" t="s">
        <v>46</v>
      </c>
      <c r="D203" s="3"/>
      <c r="E203" s="34"/>
      <c r="F203" s="46">
        <v>8400</v>
      </c>
      <c r="G203" s="124"/>
      <c r="H203" s="124"/>
      <c r="I203" s="124"/>
      <c r="J203" s="124"/>
      <c r="K203" s="124"/>
      <c r="L203" s="32"/>
      <c r="M203" s="32"/>
      <c r="N203" s="35"/>
      <c r="O203" s="35"/>
      <c r="P203" s="35"/>
      <c r="Q203" s="35"/>
      <c r="R203" s="35"/>
      <c r="S203" s="15"/>
    </row>
    <row r="204" spans="2:21" ht="18" x14ac:dyDescent="0.25">
      <c r="B204" s="33"/>
      <c r="C204" s="3" t="s">
        <v>16</v>
      </c>
      <c r="D204" s="140"/>
      <c r="E204" s="141"/>
      <c r="F204" s="80">
        <f>12618.1-F202-F203</f>
        <v>3226.7000000000007</v>
      </c>
      <c r="G204" s="124"/>
      <c r="H204" s="124"/>
      <c r="I204" s="124"/>
      <c r="J204" s="124"/>
      <c r="K204" s="124"/>
      <c r="L204" s="32"/>
      <c r="M204" s="32"/>
      <c r="N204" s="35"/>
      <c r="O204" s="35"/>
      <c r="P204" s="35"/>
      <c r="Q204" s="35"/>
      <c r="R204" s="35"/>
      <c r="S204" s="15"/>
    </row>
    <row r="205" spans="2:21" ht="30.75" x14ac:dyDescent="0.25">
      <c r="B205" s="3"/>
      <c r="C205" s="3" t="s">
        <v>17</v>
      </c>
      <c r="D205" s="107"/>
      <c r="E205" s="113"/>
      <c r="F205" s="38">
        <f>F202+F204+F203</f>
        <v>12618.1</v>
      </c>
      <c r="G205" s="124">
        <f>+G201</f>
        <v>0.28000000000000003</v>
      </c>
      <c r="H205" s="124">
        <f>+H201</f>
        <v>0.05</v>
      </c>
      <c r="I205" s="124">
        <f>+I201</f>
        <v>0.05</v>
      </c>
      <c r="J205" s="124">
        <f>+J201</f>
        <v>0.3</v>
      </c>
      <c r="K205" s="124">
        <f>+K201</f>
        <v>0.32</v>
      </c>
      <c r="L205" s="32" t="s">
        <v>118</v>
      </c>
      <c r="M205" s="32" t="s">
        <v>44</v>
      </c>
      <c r="N205" s="38">
        <f>$F205*G205</f>
        <v>3533.0680000000002</v>
      </c>
      <c r="O205" s="38">
        <f>$F205*H205</f>
        <v>630.90500000000009</v>
      </c>
      <c r="P205" s="38">
        <f>$F205*I205</f>
        <v>630.90500000000009</v>
      </c>
      <c r="Q205" s="38">
        <f>$F205*J205</f>
        <v>3785.43</v>
      </c>
      <c r="R205" s="38">
        <f>$F205*K205</f>
        <v>4037.7920000000004</v>
      </c>
      <c r="S205" s="15"/>
      <c r="U205" s="64">
        <f>SUM(G205:K205)</f>
        <v>1</v>
      </c>
    </row>
    <row r="206" spans="2:21" ht="18" x14ac:dyDescent="0.25">
      <c r="B206" s="33"/>
      <c r="C206" s="3"/>
      <c r="D206" s="3"/>
      <c r="E206" s="34"/>
      <c r="F206" s="53"/>
      <c r="G206" s="54"/>
      <c r="H206" s="54"/>
      <c r="I206" s="54"/>
      <c r="J206" s="54"/>
      <c r="K206" s="54"/>
      <c r="L206" s="29"/>
      <c r="M206" s="29"/>
      <c r="N206" s="43"/>
      <c r="O206" s="43"/>
      <c r="P206" s="43"/>
      <c r="Q206" s="43"/>
      <c r="R206" s="43"/>
      <c r="S206" s="15"/>
    </row>
    <row r="207" spans="2:21" ht="18" x14ac:dyDescent="0.25">
      <c r="B207" s="33">
        <v>1441</v>
      </c>
      <c r="C207" s="9" t="s">
        <v>47</v>
      </c>
      <c r="D207" s="140"/>
      <c r="E207" s="34">
        <v>10.5</v>
      </c>
      <c r="F207" s="46"/>
      <c r="G207" s="124">
        <f>+G211</f>
        <v>0.40558692196550095</v>
      </c>
      <c r="H207" s="124">
        <f>+H211</f>
        <v>0.11992523280648872</v>
      </c>
      <c r="I207" s="124">
        <f>+I211</f>
        <v>6.7084576301132279E-2</v>
      </c>
      <c r="J207" s="124">
        <f>+J211</f>
        <v>0.23386827931524498</v>
      </c>
      <c r="K207" s="124">
        <f>+K211</f>
        <v>0.17353204820987198</v>
      </c>
      <c r="L207" s="32"/>
      <c r="M207" s="32"/>
      <c r="N207" s="62">
        <f>+$E207*G207</f>
        <v>4.2586626806377597</v>
      </c>
      <c r="O207" s="62">
        <f>+$E207*H207</f>
        <v>1.2592149444681315</v>
      </c>
      <c r="P207" s="62">
        <f>+$E207*I207</f>
        <v>0.70438805116188896</v>
      </c>
      <c r="Q207" s="62">
        <f>+$E207*J207</f>
        <v>2.4556169328100723</v>
      </c>
      <c r="R207" s="62">
        <f>+$E207*K207</f>
        <v>1.8220865062036558</v>
      </c>
      <c r="S207" s="15"/>
      <c r="U207" s="64">
        <f>SUM(G207:K207)</f>
        <v>0.99999705859823895</v>
      </c>
    </row>
    <row r="208" spans="2:21" s="142" customFormat="1" ht="23.25" customHeight="1" x14ac:dyDescent="0.2">
      <c r="B208" s="143"/>
      <c r="C208" s="144" t="s">
        <v>15</v>
      </c>
      <c r="D208" s="144"/>
      <c r="E208" s="145"/>
      <c r="F208" s="146">
        <v>1245.8230000000001</v>
      </c>
      <c r="G208" s="401"/>
      <c r="H208" s="401"/>
      <c r="I208" s="401"/>
      <c r="J208" s="401"/>
      <c r="K208" s="401"/>
      <c r="L208" s="148"/>
      <c r="M208" s="148"/>
      <c r="N208" s="149"/>
      <c r="O208" s="149"/>
      <c r="P208" s="149"/>
      <c r="Q208" s="149"/>
      <c r="R208" s="149"/>
      <c r="S208" s="150"/>
    </row>
    <row r="209" spans="1:21" ht="18" x14ac:dyDescent="0.25">
      <c r="B209" s="33"/>
      <c r="C209" s="3" t="s">
        <v>48</v>
      </c>
      <c r="D209" s="3"/>
      <c r="E209" s="141"/>
      <c r="F209" s="46">
        <f>31964-960+24+588</f>
        <v>31616</v>
      </c>
      <c r="G209" s="124"/>
      <c r="H209" s="124"/>
      <c r="I209" s="124"/>
      <c r="J209" s="124"/>
      <c r="K209" s="124"/>
      <c r="L209" s="32"/>
      <c r="M209" s="32"/>
      <c r="N209" s="35"/>
      <c r="O209" s="35"/>
      <c r="P209" s="35"/>
      <c r="Q209" s="35"/>
      <c r="R209" s="35"/>
      <c r="S209" s="15"/>
    </row>
    <row r="210" spans="1:21" ht="18" x14ac:dyDescent="0.25">
      <c r="A210" s="151"/>
      <c r="B210" s="33"/>
      <c r="C210" s="3" t="s">
        <v>16</v>
      </c>
      <c r="D210" s="3"/>
      <c r="E210" s="34"/>
      <c r="F210" s="80">
        <f>30+22+15+17+1+2+3</f>
        <v>90</v>
      </c>
      <c r="G210" s="124"/>
      <c r="H210" s="124"/>
      <c r="I210" s="124"/>
      <c r="J210" s="124"/>
      <c r="K210" s="124"/>
      <c r="L210" s="32"/>
      <c r="M210" s="32"/>
      <c r="N210" s="35"/>
      <c r="O210" s="35"/>
      <c r="P210" s="35"/>
      <c r="Q210" s="35"/>
      <c r="R210" s="35"/>
      <c r="S210" s="15"/>
    </row>
    <row r="211" spans="1:21" ht="30" x14ac:dyDescent="0.25">
      <c r="A211" s="152"/>
      <c r="B211" s="3"/>
      <c r="C211" s="3" t="s">
        <v>17</v>
      </c>
      <c r="D211" s="3"/>
      <c r="E211" s="52"/>
      <c r="F211" s="39">
        <f>F208+F210+F209</f>
        <v>32951.822999999997</v>
      </c>
      <c r="G211" s="124">
        <v>0.40558692196550095</v>
      </c>
      <c r="H211" s="124">
        <v>0.11992523280648872</v>
      </c>
      <c r="I211" s="124">
        <v>6.7084576301132279E-2</v>
      </c>
      <c r="J211" s="124">
        <v>0.23386827931524498</v>
      </c>
      <c r="K211" s="124">
        <v>0.17353204820987198</v>
      </c>
      <c r="L211" s="32" t="s">
        <v>119</v>
      </c>
      <c r="M211" s="148" t="s">
        <v>164</v>
      </c>
      <c r="N211" s="39">
        <f>$F211*G211</f>
        <v>13364.828463721999</v>
      </c>
      <c r="O211" s="39">
        <f>$F211*H211</f>
        <v>3951.7550446732089</v>
      </c>
      <c r="P211" s="39">
        <f>$F211*I211</f>
        <v>2210.5590843049054</v>
      </c>
      <c r="Q211" s="39">
        <f>$F211*J211</f>
        <v>7706.3861453105128</v>
      </c>
      <c r="R211" s="39">
        <f>$F211*K211</f>
        <v>5718.1973374391673</v>
      </c>
      <c r="S211" s="15"/>
      <c r="U211" s="64">
        <f>SUM(G211:K211)</f>
        <v>0.99999705859823895</v>
      </c>
    </row>
    <row r="212" spans="1:21" ht="18" x14ac:dyDescent="0.25">
      <c r="B212" s="153"/>
      <c r="C212" s="3"/>
      <c r="D212" s="3"/>
      <c r="E212" s="34"/>
      <c r="F212" s="53"/>
      <c r="G212" s="54"/>
      <c r="H212" s="54"/>
      <c r="I212" s="54"/>
      <c r="J212" s="54"/>
      <c r="K212" s="54"/>
      <c r="L212" s="29"/>
      <c r="M212" s="29"/>
      <c r="N212" s="43"/>
      <c r="O212" s="43"/>
      <c r="P212" s="43"/>
      <c r="Q212" s="43"/>
      <c r="R212" s="43"/>
      <c r="S212" s="15"/>
    </row>
    <row r="213" spans="1:21" ht="15.75" customHeight="1" x14ac:dyDescent="0.25">
      <c r="B213" s="33">
        <v>1461</v>
      </c>
      <c r="C213" s="9" t="s">
        <v>167</v>
      </c>
      <c r="D213" s="3"/>
      <c r="E213" s="45">
        <v>13</v>
      </c>
      <c r="F213" s="46"/>
      <c r="G213" s="36">
        <v>0.96</v>
      </c>
      <c r="H213" s="36">
        <v>0.02</v>
      </c>
      <c r="I213" s="36">
        <v>0.02</v>
      </c>
      <c r="J213" s="36"/>
      <c r="K213" s="36"/>
      <c r="L213" s="47"/>
      <c r="M213" s="47"/>
      <c r="N213" s="35">
        <f>+$E213*G213</f>
        <v>12.48</v>
      </c>
      <c r="O213" s="35">
        <f>+$E213*H213</f>
        <v>0.26</v>
      </c>
      <c r="P213" s="35">
        <f>+$E213*I213</f>
        <v>0.26</v>
      </c>
      <c r="Q213" s="35">
        <f>+$E213*J213</f>
        <v>0</v>
      </c>
      <c r="R213" s="35">
        <f>+$E213*K213</f>
        <v>0</v>
      </c>
      <c r="S213" s="15"/>
      <c r="U213" s="64">
        <f>SUM(G213:K213)</f>
        <v>1</v>
      </c>
    </row>
    <row r="214" spans="1:21" ht="15" customHeight="1" x14ac:dyDescent="0.25">
      <c r="B214" s="33"/>
      <c r="C214" s="3" t="s">
        <v>15</v>
      </c>
      <c r="D214" s="40"/>
      <c r="E214" s="48"/>
      <c r="F214" s="38">
        <v>1492.4</v>
      </c>
      <c r="G214" s="36"/>
      <c r="H214" s="36"/>
      <c r="I214" s="36"/>
      <c r="J214" s="36"/>
      <c r="K214" s="36"/>
      <c r="L214" s="47"/>
      <c r="M214" s="47"/>
      <c r="N214" s="38"/>
      <c r="O214" s="38"/>
      <c r="P214" s="38"/>
      <c r="Q214" s="38"/>
      <c r="R214" s="38"/>
      <c r="S214" s="15"/>
      <c r="T214" s="49"/>
    </row>
    <row r="215" spans="1:21" ht="15.75" customHeight="1" x14ac:dyDescent="0.25">
      <c r="B215" s="33"/>
      <c r="C215" s="3" t="s">
        <v>16</v>
      </c>
      <c r="D215" s="40"/>
      <c r="E215" s="45"/>
      <c r="F215" s="39">
        <v>1502</v>
      </c>
      <c r="G215" s="36"/>
      <c r="H215" s="36"/>
      <c r="I215" s="36"/>
      <c r="J215" s="36"/>
      <c r="K215" s="36"/>
      <c r="L215" s="32"/>
      <c r="M215" s="32"/>
      <c r="N215" s="38"/>
      <c r="O215" s="38"/>
      <c r="P215" s="38"/>
      <c r="Q215" s="38"/>
      <c r="R215" s="38"/>
      <c r="S215" s="15"/>
    </row>
    <row r="216" spans="1:21" ht="15.75" customHeight="1" x14ac:dyDescent="0.25">
      <c r="B216" s="33"/>
      <c r="C216" s="3" t="s">
        <v>17</v>
      </c>
      <c r="D216" s="3"/>
      <c r="E216" s="45"/>
      <c r="F216" s="38">
        <f>F214+F215</f>
        <v>2994.4</v>
      </c>
      <c r="G216" s="36">
        <v>0.96</v>
      </c>
      <c r="H216" s="36">
        <v>0.02</v>
      </c>
      <c r="I216" s="36">
        <v>0.02</v>
      </c>
      <c r="J216" s="36"/>
      <c r="K216" s="36"/>
      <c r="L216" s="32" t="s">
        <v>175</v>
      </c>
      <c r="M216" s="32" t="s">
        <v>18</v>
      </c>
      <c r="N216" s="38">
        <f>G216*$F216</f>
        <v>2874.6239999999998</v>
      </c>
      <c r="O216" s="38">
        <f>H216*$F216</f>
        <v>59.888000000000005</v>
      </c>
      <c r="P216" s="38">
        <f>I216*$F216</f>
        <v>59.888000000000005</v>
      </c>
      <c r="Q216" s="38">
        <f>J216*$F216</f>
        <v>0</v>
      </c>
      <c r="R216" s="38">
        <f>K216*$F216</f>
        <v>0</v>
      </c>
      <c r="S216" s="15"/>
    </row>
    <row r="217" spans="1:21" s="114" customFormat="1" ht="18" x14ac:dyDescent="0.25">
      <c r="B217" s="273"/>
      <c r="C217" s="137"/>
      <c r="D217" s="137"/>
      <c r="E217" s="34"/>
      <c r="F217" s="53"/>
      <c r="G217" s="54"/>
      <c r="H217" s="54"/>
      <c r="I217" s="54"/>
      <c r="J217" s="54"/>
      <c r="K217" s="54"/>
      <c r="L217" s="29"/>
      <c r="M217" s="29"/>
      <c r="N217" s="43"/>
      <c r="O217" s="43"/>
      <c r="P217" s="43"/>
      <c r="Q217" s="43"/>
      <c r="R217" s="43"/>
      <c r="S217" s="15"/>
    </row>
    <row r="218" spans="1:21" ht="18" x14ac:dyDescent="0.25">
      <c r="B218" s="153"/>
      <c r="C218" s="3"/>
      <c r="D218" s="3"/>
      <c r="E218" s="34"/>
      <c r="F218" s="46"/>
      <c r="G218" s="55"/>
      <c r="H218" s="55"/>
      <c r="I218" s="55"/>
      <c r="J218" s="55"/>
      <c r="K218" s="55"/>
      <c r="L218" s="32"/>
      <c r="M218" s="32"/>
      <c r="N218" s="35"/>
      <c r="O218" s="35"/>
      <c r="P218" s="35"/>
      <c r="Q218" s="35"/>
      <c r="R218" s="35"/>
      <c r="S218" s="15"/>
    </row>
    <row r="219" spans="1:21" ht="18" x14ac:dyDescent="0.25">
      <c r="B219" s="33"/>
      <c r="C219" s="3" t="s">
        <v>24</v>
      </c>
      <c r="D219" s="3"/>
      <c r="E219" s="34"/>
      <c r="F219" s="38">
        <f>F199+F205+F211+F216</f>
        <v>52989.322999999997</v>
      </c>
      <c r="G219" s="55"/>
      <c r="H219" s="55"/>
      <c r="I219" s="55"/>
      <c r="J219" s="55"/>
      <c r="K219" s="55"/>
      <c r="L219" s="32"/>
      <c r="M219" s="154"/>
      <c r="N219" s="38">
        <f>N199+N205+N211+N216</f>
        <v>20215.020463721998</v>
      </c>
      <c r="O219" s="38">
        <f>O199+O205+O211+O216</f>
        <v>5306.298044673209</v>
      </c>
      <c r="P219" s="38">
        <f>P199+P205+P211+P216</f>
        <v>3122.6020843049055</v>
      </c>
      <c r="Q219" s="38">
        <f>Q199+Q205+Q211+Q216</f>
        <v>13040.566145310513</v>
      </c>
      <c r="R219" s="38">
        <f>R199+R205+R211+R216</f>
        <v>11304.739337439169</v>
      </c>
      <c r="S219" s="15"/>
    </row>
    <row r="220" spans="1:21" ht="18" x14ac:dyDescent="0.25">
      <c r="B220" s="33"/>
      <c r="C220" s="3" t="s">
        <v>49</v>
      </c>
      <c r="D220" s="3"/>
      <c r="E220" s="34"/>
      <c r="F220" s="88">
        <v>1</v>
      </c>
      <c r="G220" s="55"/>
      <c r="H220" s="55"/>
      <c r="I220" s="55"/>
      <c r="J220" s="55"/>
      <c r="K220" s="55"/>
      <c r="L220" s="32"/>
      <c r="M220" s="122"/>
      <c r="N220" s="155">
        <f>N219/$F219</f>
        <v>0.38149233315779479</v>
      </c>
      <c r="O220" s="155">
        <f>O219/$F219</f>
        <v>0.10013900431740201</v>
      </c>
      <c r="P220" s="155">
        <f>P219/$F219</f>
        <v>5.8928891850626317E-2</v>
      </c>
      <c r="Q220" s="155">
        <f>Q219/$F219</f>
        <v>0.24609799497363863</v>
      </c>
      <c r="R220" s="155">
        <f>R219/$F219</f>
        <v>0.21333994656695593</v>
      </c>
      <c r="S220" s="15"/>
    </row>
    <row r="221" spans="1:21" ht="18" x14ac:dyDescent="0.25">
      <c r="B221" s="33"/>
      <c r="C221" s="3"/>
      <c r="D221" s="3"/>
      <c r="E221" s="34"/>
      <c r="F221" s="46"/>
      <c r="G221" s="55"/>
      <c r="H221" s="55"/>
      <c r="I221" s="55"/>
      <c r="J221" s="55"/>
      <c r="K221" s="55"/>
      <c r="L221" s="32"/>
      <c r="M221" s="32"/>
      <c r="N221" s="35"/>
      <c r="O221" s="35"/>
      <c r="P221" s="35"/>
      <c r="Q221" s="35"/>
      <c r="R221" s="35"/>
      <c r="S221" s="15"/>
    </row>
    <row r="222" spans="1:21" ht="18" x14ac:dyDescent="0.25">
      <c r="B222" s="33"/>
      <c r="C222" s="9" t="s">
        <v>190</v>
      </c>
      <c r="D222" s="3"/>
      <c r="E222" s="34"/>
      <c r="F222" s="46"/>
      <c r="G222" s="55"/>
      <c r="H222" s="55"/>
      <c r="I222" s="55"/>
      <c r="J222" s="55"/>
      <c r="K222" s="55"/>
      <c r="L222" s="32"/>
      <c r="M222" s="32"/>
      <c r="N222" s="35"/>
      <c r="O222" s="35"/>
      <c r="P222" s="35"/>
      <c r="Q222" s="35"/>
      <c r="R222" s="35"/>
      <c r="S222" s="15"/>
    </row>
    <row r="223" spans="1:21" ht="18" x14ac:dyDescent="0.25">
      <c r="B223" s="33"/>
      <c r="C223" s="9"/>
      <c r="D223" s="3"/>
      <c r="E223" s="34"/>
      <c r="F223" s="46"/>
      <c r="G223" s="55"/>
      <c r="H223" s="55"/>
      <c r="I223" s="55"/>
      <c r="J223" s="55"/>
      <c r="K223" s="55"/>
      <c r="L223" s="32"/>
      <c r="M223" s="32"/>
      <c r="N223" s="35"/>
      <c r="O223" s="35"/>
      <c r="P223" s="35"/>
      <c r="Q223" s="35"/>
      <c r="R223" s="35"/>
      <c r="S223" s="15"/>
    </row>
    <row r="224" spans="1:21" ht="18" x14ac:dyDescent="0.25">
      <c r="B224" s="33">
        <v>1451</v>
      </c>
      <c r="C224" s="9" t="s">
        <v>50</v>
      </c>
      <c r="D224" s="3"/>
      <c r="E224" s="34">
        <v>5.5</v>
      </c>
      <c r="F224" s="46"/>
      <c r="G224" s="55">
        <f>+G227</f>
        <v>0.38149233315779479</v>
      </c>
      <c r="H224" s="55">
        <f>+H227</f>
        <v>0.10013900431740201</v>
      </c>
      <c r="I224" s="55">
        <f>+I227</f>
        <v>5.8928891850626317E-2</v>
      </c>
      <c r="J224" s="55">
        <f>+J227</f>
        <v>0.24609799497363863</v>
      </c>
      <c r="K224" s="55">
        <f>+K227</f>
        <v>0.21333994656695593</v>
      </c>
      <c r="L224" s="32"/>
      <c r="M224" s="32"/>
      <c r="N224" s="62">
        <f>+$E224*G224</f>
        <v>2.0982078323678715</v>
      </c>
      <c r="O224" s="62">
        <f>+$E224*H224</f>
        <v>0.55076452374571105</v>
      </c>
      <c r="P224" s="62">
        <f>+$E224*I224</f>
        <v>0.32410890517844476</v>
      </c>
      <c r="Q224" s="62">
        <f>+$E224*J224</f>
        <v>1.3535389723550124</v>
      </c>
      <c r="R224" s="62">
        <f>+$E224*K224</f>
        <v>1.1733697061182575</v>
      </c>
      <c r="S224" s="15"/>
      <c r="U224" s="64">
        <f>SUM(G224:K224)</f>
        <v>0.99999817086641762</v>
      </c>
    </row>
    <row r="225" spans="2:21" ht="18" x14ac:dyDescent="0.25">
      <c r="B225" s="33"/>
      <c r="C225" s="3" t="s">
        <v>15</v>
      </c>
      <c r="D225" s="3"/>
      <c r="E225" s="34"/>
      <c r="F225" s="38">
        <v>740.25699999999995</v>
      </c>
      <c r="G225" s="55"/>
      <c r="H225" s="55"/>
      <c r="I225" s="55"/>
      <c r="J225" s="55"/>
      <c r="K225" s="55"/>
      <c r="L225" s="32"/>
      <c r="M225" s="32"/>
      <c r="N225" s="35"/>
      <c r="O225" s="35"/>
      <c r="P225" s="35"/>
      <c r="Q225" s="35"/>
      <c r="R225" s="35"/>
      <c r="S225" s="15"/>
    </row>
    <row r="226" spans="2:21" ht="18" x14ac:dyDescent="0.25">
      <c r="B226" s="33"/>
      <c r="C226" s="3" t="s">
        <v>16</v>
      </c>
      <c r="D226" s="3"/>
      <c r="E226" s="34"/>
      <c r="F226" s="80">
        <f>1225.257-F225</f>
        <v>485.00000000000011</v>
      </c>
      <c r="G226" s="55"/>
      <c r="H226" s="55"/>
      <c r="I226" s="55"/>
      <c r="J226" s="55"/>
      <c r="K226" s="55"/>
      <c r="L226" s="32"/>
      <c r="M226" s="32"/>
      <c r="N226" s="35"/>
      <c r="O226" s="35"/>
      <c r="P226" s="35"/>
      <c r="Q226" s="35"/>
      <c r="R226" s="35"/>
      <c r="S226" s="15"/>
    </row>
    <row r="227" spans="2:21" ht="30.75" x14ac:dyDescent="0.25">
      <c r="B227" s="3"/>
      <c r="C227" s="3" t="s">
        <v>17</v>
      </c>
      <c r="D227" s="108"/>
      <c r="E227" s="156"/>
      <c r="F227" s="38">
        <f>F225+F226</f>
        <v>1225.2570000000001</v>
      </c>
      <c r="G227" s="124">
        <f>N220</f>
        <v>0.38149233315779479</v>
      </c>
      <c r="H227" s="124">
        <f>O220</f>
        <v>0.10013900431740201</v>
      </c>
      <c r="I227" s="124">
        <f>P220</f>
        <v>5.8928891850626317E-2</v>
      </c>
      <c r="J227" s="124">
        <f>Q220</f>
        <v>0.24609799497363863</v>
      </c>
      <c r="K227" s="124">
        <f>R220</f>
        <v>0.21333994656695593</v>
      </c>
      <c r="L227" s="32" t="s">
        <v>111</v>
      </c>
      <c r="M227" s="32" t="s">
        <v>165</v>
      </c>
      <c r="N227" s="42">
        <f>$F227*G227</f>
        <v>467.42615164792022</v>
      </c>
      <c r="O227" s="42">
        <f>$F227*H227</f>
        <v>122.69601601292705</v>
      </c>
      <c r="P227" s="42">
        <f>$F227*I227</f>
        <v>72.203037242222848</v>
      </c>
      <c r="Q227" s="42">
        <f>$F227*J227</f>
        <v>301.53329102741554</v>
      </c>
      <c r="R227" s="42">
        <f>$F227*K227</f>
        <v>261.39626291078872</v>
      </c>
      <c r="S227" s="15"/>
      <c r="U227" s="64">
        <f>SUM(G227:K227)</f>
        <v>0.99999817086641762</v>
      </c>
    </row>
    <row r="228" spans="2:21" ht="18" x14ac:dyDescent="0.25">
      <c r="B228" s="6"/>
      <c r="C228" s="3"/>
      <c r="D228" s="3"/>
      <c r="E228" s="34"/>
      <c r="F228" s="53"/>
      <c r="G228" s="54"/>
      <c r="H228" s="54"/>
      <c r="I228" s="54"/>
      <c r="J228" s="54"/>
      <c r="K228" s="54"/>
      <c r="L228" s="29"/>
      <c r="M228" s="29"/>
      <c r="N228" s="43"/>
      <c r="O228" s="43"/>
      <c r="P228" s="43"/>
      <c r="Q228" s="43"/>
      <c r="R228" s="43"/>
      <c r="S228" s="15"/>
    </row>
    <row r="229" spans="2:21" ht="18" x14ac:dyDescent="0.25">
      <c r="B229" s="33">
        <v>1411</v>
      </c>
      <c r="C229" s="9" t="s">
        <v>98</v>
      </c>
      <c r="D229" s="3"/>
      <c r="E229" s="34"/>
      <c r="F229" s="46"/>
      <c r="G229" s="55"/>
      <c r="H229" s="55"/>
      <c r="I229" s="55"/>
      <c r="J229" s="55"/>
      <c r="K229" s="55"/>
      <c r="L229" s="32"/>
      <c r="M229" s="32"/>
      <c r="N229" s="35"/>
      <c r="O229" s="35"/>
      <c r="P229" s="35"/>
      <c r="Q229" s="35"/>
      <c r="R229" s="35"/>
      <c r="S229" s="15"/>
    </row>
    <row r="230" spans="2:21" ht="18" x14ac:dyDescent="0.25">
      <c r="B230" s="6"/>
      <c r="C230" s="3" t="s">
        <v>15</v>
      </c>
      <c r="D230" s="3"/>
      <c r="E230" s="34">
        <v>1.5</v>
      </c>
      <c r="F230" s="38">
        <v>339.61500000000001</v>
      </c>
      <c r="G230" s="55">
        <f>+G232</f>
        <v>0.38149233315779479</v>
      </c>
      <c r="H230" s="55">
        <f>+H232</f>
        <v>0.10013900431740201</v>
      </c>
      <c r="I230" s="55">
        <f>+I232</f>
        <v>5.8928891850626317E-2</v>
      </c>
      <c r="J230" s="55">
        <f>+J232</f>
        <v>0.24609799497363863</v>
      </c>
      <c r="K230" s="55">
        <f>+K232</f>
        <v>0.21333994656695593</v>
      </c>
      <c r="L230" s="32"/>
      <c r="M230" s="32"/>
      <c r="N230" s="62">
        <f>+$E230*G230</f>
        <v>0.57223849973669216</v>
      </c>
      <c r="O230" s="62">
        <f>+$E230*H230</f>
        <v>0.15020850647610301</v>
      </c>
      <c r="P230" s="62">
        <f>+$E230*I230</f>
        <v>8.8393337775939468E-2</v>
      </c>
      <c r="Q230" s="62">
        <f>+$E230*J230</f>
        <v>0.36914699246045796</v>
      </c>
      <c r="R230" s="62">
        <f>+$E230*K230</f>
        <v>0.32000991985043392</v>
      </c>
      <c r="S230" s="15"/>
    </row>
    <row r="231" spans="2:21" ht="18" x14ac:dyDescent="0.25">
      <c r="B231" s="6"/>
      <c r="C231" s="3" t="s">
        <v>27</v>
      </c>
      <c r="D231" s="3"/>
      <c r="E231" s="34"/>
      <c r="F231" s="80">
        <f>717.615-F230</f>
        <v>378</v>
      </c>
      <c r="G231" s="55"/>
      <c r="H231" s="55"/>
      <c r="I231" s="55"/>
      <c r="J231" s="55"/>
      <c r="K231" s="55"/>
      <c r="L231" s="32"/>
      <c r="M231" s="32" t="s">
        <v>161</v>
      </c>
      <c r="N231" s="35"/>
      <c r="O231" s="35"/>
      <c r="P231" s="35"/>
      <c r="Q231" s="35"/>
      <c r="R231" s="35"/>
      <c r="S231" s="15"/>
    </row>
    <row r="232" spans="2:21" ht="30.75" x14ac:dyDescent="0.25">
      <c r="B232" s="33"/>
      <c r="C232" s="3" t="s">
        <v>31</v>
      </c>
      <c r="D232" s="108"/>
      <c r="E232" s="156"/>
      <c r="F232" s="39">
        <f>SUM(F230:F231)</f>
        <v>717.61500000000001</v>
      </c>
      <c r="G232" s="55">
        <f>N220</f>
        <v>0.38149233315779479</v>
      </c>
      <c r="H232" s="55">
        <f>O220</f>
        <v>0.10013900431740201</v>
      </c>
      <c r="I232" s="55">
        <f>P220</f>
        <v>5.8928891850626317E-2</v>
      </c>
      <c r="J232" s="55">
        <f>Q220</f>
        <v>0.24609799497363863</v>
      </c>
      <c r="K232" s="55">
        <f>R220</f>
        <v>0.21333994656695593</v>
      </c>
      <c r="L232" s="32" t="s">
        <v>111</v>
      </c>
      <c r="M232" s="32" t="s">
        <v>165</v>
      </c>
      <c r="N232" s="81">
        <f>$F232*G232</f>
        <v>273.76462065903092</v>
      </c>
      <c r="O232" s="81">
        <f>$F232*H232</f>
        <v>71.861251583232445</v>
      </c>
      <c r="P232" s="81">
        <f>$F232*I232</f>
        <v>42.288256725387207</v>
      </c>
      <c r="Q232" s="81">
        <f>$F232*J232</f>
        <v>176.60361266300768</v>
      </c>
      <c r="R232" s="81">
        <f>$F232*K232</f>
        <v>153.09594575564608</v>
      </c>
      <c r="S232" s="15"/>
    </row>
    <row r="233" spans="2:21" ht="18" x14ac:dyDescent="0.25">
      <c r="B233" s="157"/>
      <c r="C233" s="3"/>
      <c r="D233" s="3"/>
      <c r="E233" s="34"/>
      <c r="F233" s="53"/>
      <c r="G233" s="54"/>
      <c r="H233" s="54"/>
      <c r="I233" s="54"/>
      <c r="J233" s="54"/>
      <c r="K233" s="54"/>
      <c r="L233" s="29"/>
      <c r="M233" s="29"/>
      <c r="N233" s="43"/>
      <c r="O233" s="43"/>
      <c r="P233" s="43"/>
      <c r="Q233" s="43"/>
      <c r="R233" s="43"/>
      <c r="S233" s="15"/>
    </row>
    <row r="234" spans="2:21" ht="18" x14ac:dyDescent="0.25">
      <c r="B234" s="94" t="s">
        <v>144</v>
      </c>
      <c r="C234" s="1"/>
      <c r="D234" s="108"/>
      <c r="E234" s="37"/>
      <c r="F234" s="39">
        <f>F219+F227+F232</f>
        <v>54932.194999999992</v>
      </c>
      <c r="G234" s="96"/>
      <c r="H234" s="96"/>
      <c r="I234" s="96"/>
      <c r="J234" s="96"/>
      <c r="K234" s="96"/>
      <c r="L234" s="158"/>
      <c r="M234" s="158"/>
      <c r="N234" s="39">
        <f>N219+N227+N232</f>
        <v>20956.21123602895</v>
      </c>
      <c r="O234" s="39">
        <f>O219+O227+O232</f>
        <v>5500.8553122693693</v>
      </c>
      <c r="P234" s="39">
        <f>P219+P227+P232</f>
        <v>3237.0933782725156</v>
      </c>
      <c r="Q234" s="39">
        <f>Q219+Q227+Q232</f>
        <v>13518.703049000937</v>
      </c>
      <c r="R234" s="39">
        <f>R219+R227+R232</f>
        <v>11719.231546105602</v>
      </c>
      <c r="S234" s="15"/>
      <c r="U234" s="393">
        <f>SUM(N234:R234)</f>
        <v>54932.094521677369</v>
      </c>
    </row>
    <row r="235" spans="2:21" ht="18" x14ac:dyDescent="0.25">
      <c r="B235" s="94"/>
      <c r="C235" s="1"/>
      <c r="D235" s="108"/>
      <c r="E235" s="159"/>
      <c r="F235" s="39"/>
      <c r="G235" s="96"/>
      <c r="H235" s="96"/>
      <c r="I235" s="96"/>
      <c r="J235" s="96"/>
      <c r="K235" s="96"/>
      <c r="L235" s="158"/>
      <c r="M235" s="158"/>
      <c r="N235" s="39"/>
      <c r="O235" s="39"/>
      <c r="P235" s="39"/>
      <c r="Q235" s="39"/>
      <c r="R235" s="39"/>
      <c r="S235" s="15"/>
    </row>
    <row r="236" spans="2:21" ht="18" x14ac:dyDescent="0.25">
      <c r="B236" s="94" t="s">
        <v>145</v>
      </c>
      <c r="C236" s="1"/>
      <c r="D236" s="108"/>
      <c r="E236" s="159">
        <f>SUM(E196:E231)</f>
        <v>50.5</v>
      </c>
      <c r="F236" s="39"/>
      <c r="G236" s="96"/>
      <c r="H236" s="96"/>
      <c r="I236" s="96"/>
      <c r="J236" s="96"/>
      <c r="K236" s="96"/>
      <c r="L236" s="158"/>
      <c r="M236" s="158"/>
      <c r="N236" s="99">
        <f>+N230+N224+N213+N207+N201+N196</f>
        <v>22.849109012742321</v>
      </c>
      <c r="O236" s="99">
        <f>+O230+O224+O213+O207+O201+O196</f>
        <v>4.4201879746899451</v>
      </c>
      <c r="P236" s="99">
        <f>+P230+P224+P213+P207+P201+P196</f>
        <v>2.3768902941162731</v>
      </c>
      <c r="Q236" s="99">
        <f>+Q230+Q224+Q213+Q207+Q201+Q196</f>
        <v>10.778302897625542</v>
      </c>
      <c r="R236" s="99">
        <f>+R230+R224+R213+R207+R201+R196</f>
        <v>10.075466132172346</v>
      </c>
      <c r="S236" s="15"/>
      <c r="U236" s="152">
        <f>SUM(N236:R236)</f>
        <v>50.499956311346423</v>
      </c>
    </row>
    <row r="237" spans="2:21" ht="18" x14ac:dyDescent="0.25">
      <c r="B237" s="1"/>
      <c r="C237" s="1"/>
      <c r="D237" s="1"/>
      <c r="E237" s="100"/>
      <c r="F237" s="46"/>
      <c r="G237" s="55"/>
      <c r="H237" s="55"/>
      <c r="I237" s="55"/>
      <c r="J237" s="55"/>
      <c r="K237" s="55"/>
      <c r="L237" s="32"/>
      <c r="M237" s="32"/>
      <c r="N237" s="35"/>
      <c r="O237" s="35"/>
      <c r="P237" s="35"/>
      <c r="Q237" s="35"/>
      <c r="R237" s="35"/>
      <c r="S237" s="15"/>
    </row>
    <row r="238" spans="2:21" ht="18" x14ac:dyDescent="0.25">
      <c r="B238" s="94" t="s">
        <v>33</v>
      </c>
      <c r="C238" s="1"/>
      <c r="D238" s="108"/>
      <c r="E238" s="160"/>
      <c r="F238" s="39">
        <f>F197+F202+F208+F225+F230</f>
        <v>4845.0949999999993</v>
      </c>
      <c r="G238" s="55"/>
      <c r="H238" s="55"/>
      <c r="I238" s="55"/>
      <c r="J238" s="55"/>
      <c r="K238" s="55"/>
      <c r="L238" s="32"/>
      <c r="M238" s="32"/>
      <c r="N238" s="35"/>
      <c r="O238" s="35"/>
      <c r="P238" s="35"/>
      <c r="Q238" s="35"/>
      <c r="R238" s="35"/>
      <c r="S238" s="15"/>
    </row>
    <row r="239" spans="2:21" ht="18" x14ac:dyDescent="0.25">
      <c r="B239" s="94" t="s">
        <v>41</v>
      </c>
      <c r="C239" s="1"/>
      <c r="D239" s="1"/>
      <c r="E239" s="100"/>
      <c r="F239" s="88">
        <f>(F227+F232)/F234</f>
        <v>3.5368548444131905E-2</v>
      </c>
      <c r="G239" s="55"/>
      <c r="H239" s="55"/>
      <c r="I239" s="55"/>
      <c r="J239" s="55"/>
      <c r="K239" s="55"/>
      <c r="L239" s="32"/>
      <c r="M239" s="32"/>
      <c r="N239" s="35"/>
      <c r="O239" s="35"/>
      <c r="P239" s="35"/>
      <c r="Q239" s="35"/>
      <c r="R239" s="35"/>
      <c r="S239" s="15"/>
    </row>
    <row r="240" spans="2:21" ht="18" x14ac:dyDescent="0.25">
      <c r="B240" s="94"/>
      <c r="C240" s="1"/>
      <c r="D240" s="1"/>
      <c r="E240" s="100"/>
      <c r="F240" s="88"/>
      <c r="G240" s="55"/>
      <c r="H240" s="55"/>
      <c r="I240" s="55"/>
      <c r="J240" s="55"/>
      <c r="K240" s="55"/>
      <c r="L240" s="32"/>
      <c r="M240" s="32"/>
      <c r="N240" s="35"/>
      <c r="O240" s="35"/>
      <c r="P240" s="35"/>
      <c r="Q240" s="35"/>
      <c r="R240" s="35"/>
      <c r="S240" s="15"/>
    </row>
    <row r="241" spans="1:254" ht="18" x14ac:dyDescent="0.25">
      <c r="B241" s="94" t="s">
        <v>51</v>
      </c>
      <c r="C241" s="1"/>
      <c r="D241" s="1"/>
      <c r="E241" s="100"/>
      <c r="F241" s="46"/>
      <c r="G241" s="55"/>
      <c r="H241" s="55"/>
      <c r="I241" s="55"/>
      <c r="J241" s="55"/>
      <c r="K241" s="55"/>
      <c r="L241" s="32"/>
      <c r="M241" s="32"/>
      <c r="N241" s="35"/>
      <c r="O241" s="35"/>
      <c r="P241" s="35"/>
      <c r="Q241" s="35"/>
      <c r="R241" s="35"/>
      <c r="S241" s="15"/>
    </row>
    <row r="242" spans="1:254" ht="18" x14ac:dyDescent="0.25">
      <c r="B242" s="94" t="s">
        <v>163</v>
      </c>
      <c r="C242" s="1"/>
      <c r="D242" s="1"/>
      <c r="E242" s="100"/>
      <c r="F242" s="38">
        <f>F234+F181</f>
        <v>88345.371999999988</v>
      </c>
      <c r="G242" s="55"/>
      <c r="H242" s="55"/>
      <c r="I242" s="55"/>
      <c r="J242" s="55"/>
      <c r="K242" s="55"/>
      <c r="L242" s="32"/>
      <c r="M242" s="32"/>
      <c r="N242" s="38">
        <f>N234+N181</f>
        <v>32944.624501352147</v>
      </c>
      <c r="O242" s="38">
        <f>O234+O181</f>
        <v>9614.8435146954289</v>
      </c>
      <c r="P242" s="38">
        <f>P234+P181</f>
        <v>5557.7596314403072</v>
      </c>
      <c r="Q242" s="38">
        <f>Q234+Q181</f>
        <v>18987.812666841572</v>
      </c>
      <c r="R242" s="38">
        <f>R234+R181</f>
        <v>21240.056692295169</v>
      </c>
      <c r="S242" s="15"/>
    </row>
    <row r="243" spans="1:254" ht="18" x14ac:dyDescent="0.25">
      <c r="B243" s="6"/>
      <c r="C243" s="3"/>
      <c r="D243" s="3"/>
      <c r="E243" s="34"/>
      <c r="F243" s="46"/>
      <c r="G243" s="55"/>
      <c r="H243" s="55"/>
      <c r="I243" s="55"/>
      <c r="J243" s="55"/>
      <c r="K243" s="55"/>
      <c r="L243" s="32"/>
      <c r="M243" s="32"/>
      <c r="N243" s="35"/>
      <c r="O243" s="35"/>
      <c r="P243" s="35"/>
      <c r="Q243" s="35"/>
      <c r="R243" s="35"/>
      <c r="S243" s="15"/>
    </row>
    <row r="244" spans="1:254" ht="18" x14ac:dyDescent="0.25">
      <c r="B244" s="6"/>
      <c r="C244" s="9" t="s">
        <v>43</v>
      </c>
      <c r="D244" s="3"/>
      <c r="E244" s="34"/>
      <c r="F244" s="88">
        <v>1</v>
      </c>
      <c r="G244" s="55"/>
      <c r="H244" s="55"/>
      <c r="I244" s="55"/>
      <c r="J244" s="55"/>
      <c r="K244" s="55"/>
      <c r="L244" s="32"/>
      <c r="M244" s="87"/>
      <c r="N244" s="155">
        <f>N242/$F242</f>
        <v>0.37290719089792446</v>
      </c>
      <c r="O244" s="155">
        <f>O242/$F242</f>
        <v>0.10883245264613782</v>
      </c>
      <c r="P244" s="155">
        <f>P242/$F242</f>
        <v>6.2909459834979337E-2</v>
      </c>
      <c r="Q244" s="155">
        <f>Q242/$F242</f>
        <v>0.21492707809121653</v>
      </c>
      <c r="R244" s="155">
        <f>R242/$F242</f>
        <v>0.24042070582141159</v>
      </c>
      <c r="S244" s="15"/>
    </row>
    <row r="245" spans="1:254" ht="18" x14ac:dyDescent="0.25">
      <c r="B245" s="6"/>
      <c r="C245" s="9"/>
      <c r="D245" s="3"/>
      <c r="E245" s="52"/>
      <c r="F245" s="161"/>
      <c r="G245" s="162"/>
      <c r="H245" s="162"/>
      <c r="I245" s="162"/>
      <c r="J245" s="162"/>
      <c r="K245" s="162"/>
      <c r="L245" s="163"/>
      <c r="M245" s="163"/>
      <c r="N245" s="164"/>
      <c r="O245" s="164"/>
      <c r="P245" s="164"/>
      <c r="Q245" s="132"/>
      <c r="R245" s="134"/>
      <c r="S245" s="15"/>
    </row>
    <row r="246" spans="1:254" ht="15.75" x14ac:dyDescent="0.25">
      <c r="A246" s="7"/>
      <c r="B246" s="8"/>
      <c r="C246" s="9"/>
      <c r="D246" s="9"/>
      <c r="E246" s="9"/>
      <c r="F246" s="9"/>
      <c r="G246" s="165"/>
      <c r="H246" s="165"/>
      <c r="I246" s="165"/>
      <c r="J246" s="165"/>
      <c r="K246" s="165"/>
      <c r="L246" s="8"/>
      <c r="M246" s="8"/>
      <c r="N246" s="9"/>
      <c r="O246" s="9"/>
      <c r="P246" s="9"/>
      <c r="Q246" s="9"/>
      <c r="R246" s="3"/>
      <c r="S246" s="3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  <c r="IP246" s="7"/>
      <c r="IQ246" s="7"/>
      <c r="IR246" s="7"/>
      <c r="IS246" s="7"/>
      <c r="IT246" s="7"/>
    </row>
    <row r="247" spans="1:254" ht="30" x14ac:dyDescent="0.4">
      <c r="A247" s="4" t="s">
        <v>276</v>
      </c>
      <c r="B247" s="8"/>
      <c r="C247" s="9"/>
      <c r="D247" s="9"/>
      <c r="E247" s="9"/>
      <c r="F247" s="9"/>
      <c r="G247" s="165"/>
      <c r="H247" s="165"/>
      <c r="I247" s="165"/>
      <c r="J247" s="2"/>
      <c r="K247" s="2" t="s">
        <v>218</v>
      </c>
      <c r="L247" s="2"/>
      <c r="M247" s="8"/>
      <c r="N247" s="9"/>
      <c r="O247" s="9"/>
      <c r="P247" s="9"/>
      <c r="Q247" s="9"/>
      <c r="R247" s="9"/>
      <c r="S247" s="3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  <c r="IP247" s="7"/>
      <c r="IQ247" s="7"/>
      <c r="IR247" s="7"/>
      <c r="IS247" s="7"/>
      <c r="IT247" s="7"/>
    </row>
    <row r="248" spans="1:254" ht="28.5" customHeight="1" x14ac:dyDescent="0.4">
      <c r="A248" s="7"/>
      <c r="B248" s="8"/>
      <c r="C248" s="9"/>
      <c r="D248" s="9"/>
      <c r="E248" s="9"/>
      <c r="F248" s="9"/>
      <c r="G248" s="165"/>
      <c r="H248" s="165"/>
      <c r="I248" s="165"/>
      <c r="J248" s="2"/>
      <c r="K248" s="2" t="s">
        <v>253</v>
      </c>
      <c r="L248" s="2"/>
      <c r="M248" s="8"/>
      <c r="N248" s="9"/>
      <c r="O248" s="9"/>
      <c r="P248" s="9"/>
      <c r="Q248" s="9"/>
      <c r="R248" s="9"/>
      <c r="S248" s="3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  <c r="IP248" s="7"/>
      <c r="IQ248" s="7"/>
      <c r="IR248" s="7"/>
      <c r="IS248" s="7"/>
      <c r="IT248" s="7"/>
    </row>
    <row r="249" spans="1:254" ht="15.75" x14ac:dyDescent="0.25">
      <c r="A249" s="7"/>
      <c r="B249" s="8"/>
      <c r="C249" s="9"/>
      <c r="D249" s="9"/>
      <c r="E249" s="9"/>
      <c r="F249" s="9"/>
      <c r="G249" s="165"/>
      <c r="H249" s="165"/>
      <c r="I249" s="165"/>
      <c r="J249" s="3"/>
      <c r="K249" s="70"/>
      <c r="L249" s="6"/>
      <c r="M249" s="8"/>
      <c r="N249" s="9"/>
      <c r="O249" s="9"/>
      <c r="P249" s="9"/>
      <c r="Q249" s="9"/>
      <c r="R249" s="9"/>
      <c r="S249" s="3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  <c r="IO249" s="7"/>
      <c r="IP249" s="7"/>
      <c r="IQ249" s="7"/>
      <c r="IR249" s="7"/>
      <c r="IS249" s="7"/>
      <c r="IT249" s="7"/>
    </row>
    <row r="250" spans="1:254" ht="11.25" customHeight="1" x14ac:dyDescent="0.35">
      <c r="B250" s="4"/>
      <c r="C250" s="5"/>
      <c r="D250" s="6"/>
      <c r="E250" s="6"/>
      <c r="F250" s="3"/>
      <c r="G250" s="3"/>
      <c r="H250" s="3"/>
      <c r="I250" s="3"/>
      <c r="J250" s="3"/>
      <c r="K250" s="3"/>
      <c r="L250" s="3"/>
      <c r="M250" s="5"/>
      <c r="N250" s="6"/>
      <c r="O250" s="5"/>
      <c r="P250" s="5"/>
      <c r="Q250" s="3"/>
      <c r="R250" s="3"/>
      <c r="S250" s="3"/>
    </row>
    <row r="251" spans="1:254" ht="15.75" x14ac:dyDescent="0.25">
      <c r="B251" s="7"/>
      <c r="C251" s="9"/>
      <c r="D251" s="9"/>
      <c r="E251" s="9"/>
      <c r="F251" s="9"/>
      <c r="G251" s="71" t="s">
        <v>0</v>
      </c>
      <c r="H251" s="71"/>
      <c r="I251" s="71"/>
      <c r="J251" s="72"/>
      <c r="K251" s="72"/>
      <c r="L251" s="310"/>
      <c r="M251" s="307"/>
      <c r="N251" s="12" t="s">
        <v>183</v>
      </c>
      <c r="O251" s="13"/>
      <c r="P251" s="13"/>
      <c r="Q251" s="14"/>
      <c r="R251" s="13"/>
      <c r="S251" s="15"/>
    </row>
    <row r="252" spans="1:254" ht="15.75" x14ac:dyDescent="0.25">
      <c r="B252" s="16" t="s">
        <v>1</v>
      </c>
      <c r="C252" s="9"/>
      <c r="D252" s="9"/>
      <c r="E252" s="17" t="s">
        <v>176</v>
      </c>
      <c r="F252" s="73" t="s">
        <v>2</v>
      </c>
      <c r="G252" s="18" t="s">
        <v>159</v>
      </c>
      <c r="H252" s="74"/>
      <c r="I252" s="74"/>
      <c r="J252" s="74" t="s">
        <v>3</v>
      </c>
      <c r="K252" s="74" t="s">
        <v>4</v>
      </c>
      <c r="L252" s="311"/>
      <c r="M252" s="308"/>
      <c r="N252" s="18" t="s">
        <v>159</v>
      </c>
      <c r="O252" s="18"/>
      <c r="P252" s="18"/>
      <c r="Q252" s="18" t="s">
        <v>3</v>
      </c>
      <c r="R252" s="18" t="s">
        <v>4</v>
      </c>
      <c r="S252" s="15"/>
    </row>
    <row r="253" spans="1:254" ht="15.75" x14ac:dyDescent="0.25">
      <c r="B253" s="19" t="s">
        <v>5</v>
      </c>
      <c r="C253" s="24" t="s">
        <v>6</v>
      </c>
      <c r="D253" s="24"/>
      <c r="E253" s="22" t="s">
        <v>133</v>
      </c>
      <c r="F253" s="75" t="s">
        <v>7</v>
      </c>
      <c r="G253" s="23" t="s">
        <v>160</v>
      </c>
      <c r="H253" s="292" t="s">
        <v>8</v>
      </c>
      <c r="I253" s="292" t="s">
        <v>9</v>
      </c>
      <c r="J253" s="292" t="s">
        <v>10</v>
      </c>
      <c r="K253" s="292" t="s">
        <v>185</v>
      </c>
      <c r="L253" s="293" t="s">
        <v>107</v>
      </c>
      <c r="M253" s="75" t="s">
        <v>12</v>
      </c>
      <c r="N253" s="23" t="s">
        <v>160</v>
      </c>
      <c r="O253" s="23" t="s">
        <v>8</v>
      </c>
      <c r="P253" s="23" t="s">
        <v>9</v>
      </c>
      <c r="Q253" s="23" t="s">
        <v>10</v>
      </c>
      <c r="R253" s="293" t="s">
        <v>11</v>
      </c>
      <c r="S253" s="15"/>
    </row>
    <row r="254" spans="1:254" ht="17.25" customHeight="1" x14ac:dyDescent="0.35">
      <c r="B254" s="166"/>
      <c r="C254" s="79"/>
      <c r="D254" s="3"/>
      <c r="E254" s="128"/>
      <c r="F254" s="285"/>
      <c r="G254" s="23" t="s">
        <v>234</v>
      </c>
      <c r="H254" s="284"/>
      <c r="I254" s="284"/>
      <c r="J254" s="284"/>
      <c r="K254" s="76" t="s">
        <v>113</v>
      </c>
      <c r="L254" s="78"/>
      <c r="M254" s="309"/>
      <c r="N254" s="23" t="s">
        <v>234</v>
      </c>
      <c r="O254" s="295"/>
      <c r="P254" s="295"/>
      <c r="Q254" s="295"/>
      <c r="R254" s="275" t="s">
        <v>113</v>
      </c>
      <c r="S254" s="15"/>
    </row>
    <row r="255" spans="1:254" ht="18" x14ac:dyDescent="0.25">
      <c r="B255" s="1">
        <v>1600</v>
      </c>
      <c r="C255" s="9" t="s">
        <v>124</v>
      </c>
      <c r="D255" s="3"/>
      <c r="E255" s="26"/>
      <c r="F255" s="167"/>
      <c r="G255" s="31"/>
      <c r="H255" s="31"/>
      <c r="I255" s="31"/>
      <c r="J255" s="31"/>
      <c r="K255" s="31"/>
      <c r="L255" s="32"/>
      <c r="M255" s="32"/>
      <c r="N255" s="35"/>
      <c r="O255" s="35"/>
      <c r="P255" s="35"/>
      <c r="Q255" s="35"/>
      <c r="R255" s="35"/>
      <c r="S255" s="15"/>
    </row>
    <row r="256" spans="1:254" ht="9.75" customHeight="1" x14ac:dyDescent="0.25">
      <c r="B256" s="33"/>
      <c r="C256" s="3"/>
      <c r="D256" s="3"/>
      <c r="E256" s="26"/>
      <c r="F256" s="167"/>
      <c r="G256" s="31"/>
      <c r="H256" s="31"/>
      <c r="I256" s="31"/>
      <c r="J256" s="31"/>
      <c r="K256" s="31"/>
      <c r="L256" s="32"/>
      <c r="M256" s="32"/>
      <c r="N256" s="35"/>
      <c r="O256" s="35"/>
      <c r="P256" s="35"/>
      <c r="Q256" s="35"/>
      <c r="R256" s="35"/>
      <c r="S256" s="15"/>
    </row>
    <row r="257" spans="2:21" ht="18" x14ac:dyDescent="0.25">
      <c r="B257" s="33">
        <v>1641</v>
      </c>
      <c r="C257" s="9" t="s">
        <v>52</v>
      </c>
      <c r="D257" s="3"/>
      <c r="E257" s="34">
        <v>8</v>
      </c>
      <c r="F257" s="91"/>
      <c r="G257" s="124">
        <f>+G261</f>
        <v>0.15</v>
      </c>
      <c r="H257" s="124">
        <f>+H261</f>
        <v>0</v>
      </c>
      <c r="I257" s="124">
        <f>+I261</f>
        <v>0.1</v>
      </c>
      <c r="J257" s="124">
        <f>+J261</f>
        <v>0.75</v>
      </c>
      <c r="K257" s="124">
        <f>+K261</f>
        <v>0</v>
      </c>
      <c r="L257" s="32"/>
      <c r="M257" s="32"/>
      <c r="N257" s="62">
        <f>+$E257*G257</f>
        <v>1.2</v>
      </c>
      <c r="O257" s="62">
        <f>+$E257*H257</f>
        <v>0</v>
      </c>
      <c r="P257" s="62">
        <f>+$E257*I257</f>
        <v>0.8</v>
      </c>
      <c r="Q257" s="62">
        <f>+$E257*J257</f>
        <v>6</v>
      </c>
      <c r="R257" s="62">
        <f>+$E257*K257</f>
        <v>0</v>
      </c>
      <c r="S257" s="15"/>
    </row>
    <row r="258" spans="2:21" ht="18" x14ac:dyDescent="0.25">
      <c r="B258" s="33"/>
      <c r="C258" s="3" t="s">
        <v>15</v>
      </c>
      <c r="D258" s="3"/>
      <c r="E258" s="34"/>
      <c r="F258" s="85">
        <v>975.4</v>
      </c>
      <c r="G258" s="124"/>
      <c r="H258" s="124"/>
      <c r="I258" s="124"/>
      <c r="J258" s="124"/>
      <c r="K258" s="124"/>
      <c r="L258" s="276" t="s">
        <v>153</v>
      </c>
      <c r="M258" s="32"/>
      <c r="N258" s="35"/>
      <c r="O258" s="35"/>
      <c r="P258" s="35"/>
      <c r="Q258" s="35"/>
      <c r="R258" s="35"/>
      <c r="S258" s="15"/>
    </row>
    <row r="259" spans="2:21" ht="17.25" customHeight="1" x14ac:dyDescent="0.25">
      <c r="B259" s="33"/>
      <c r="C259" s="3" t="s">
        <v>53</v>
      </c>
      <c r="D259" s="3"/>
      <c r="E259" s="34"/>
      <c r="F259" s="91">
        <v>700</v>
      </c>
      <c r="G259" s="124"/>
      <c r="H259" s="124"/>
      <c r="I259" s="124"/>
      <c r="J259" s="124"/>
      <c r="K259" s="124"/>
      <c r="L259" s="276" t="s">
        <v>174</v>
      </c>
      <c r="M259" s="32"/>
      <c r="N259" s="35"/>
      <c r="O259" s="35"/>
      <c r="P259" s="35"/>
      <c r="Q259" s="35"/>
      <c r="R259" s="35"/>
      <c r="S259" s="15"/>
    </row>
    <row r="260" spans="2:21" ht="18" x14ac:dyDescent="0.25">
      <c r="B260" s="33"/>
      <c r="C260" s="3" t="s">
        <v>54</v>
      </c>
      <c r="D260" s="3"/>
      <c r="E260" s="34"/>
      <c r="F260" s="92">
        <f>90.3+22</f>
        <v>112.3</v>
      </c>
      <c r="G260" s="124"/>
      <c r="H260" s="124"/>
      <c r="I260" s="124"/>
      <c r="J260" s="124"/>
      <c r="K260" s="124"/>
      <c r="L260" s="32"/>
      <c r="M260" s="32"/>
      <c r="N260" s="35"/>
      <c r="O260" s="35"/>
      <c r="P260" s="35"/>
      <c r="Q260" s="35"/>
      <c r="R260" s="35"/>
      <c r="S260" s="15"/>
    </row>
    <row r="261" spans="2:21" ht="30.75" x14ac:dyDescent="0.25">
      <c r="B261" s="3"/>
      <c r="C261" s="3" t="s">
        <v>31</v>
      </c>
      <c r="D261" s="40"/>
      <c r="E261" s="41"/>
      <c r="F261" s="85">
        <f>SUM(F258:F260)</f>
        <v>1787.7</v>
      </c>
      <c r="G261" s="124">
        <v>0.15</v>
      </c>
      <c r="H261" s="124"/>
      <c r="I261" s="124">
        <v>0.1</v>
      </c>
      <c r="J261" s="124">
        <v>0.75</v>
      </c>
      <c r="K261" s="124"/>
      <c r="L261" s="32"/>
      <c r="M261" s="32" t="s">
        <v>44</v>
      </c>
      <c r="N261" s="168">
        <f>$F261*G261</f>
        <v>268.15499999999997</v>
      </c>
      <c r="O261" s="38">
        <f>$F261*H261</f>
        <v>0</v>
      </c>
      <c r="P261" s="38">
        <f>$F261*I261</f>
        <v>178.77</v>
      </c>
      <c r="Q261" s="38">
        <f>$F261*J261</f>
        <v>1340.7750000000001</v>
      </c>
      <c r="R261" s="38">
        <f>$F261*K261</f>
        <v>0</v>
      </c>
      <c r="S261" s="15"/>
      <c r="U261" s="398">
        <f>SUM(N261:R261)</f>
        <v>1787.7</v>
      </c>
    </row>
    <row r="262" spans="2:21" ht="10.5" customHeight="1" x14ac:dyDescent="0.25">
      <c r="B262" s="33"/>
      <c r="C262" s="3"/>
      <c r="D262" s="3"/>
      <c r="E262" s="34"/>
      <c r="F262" s="169"/>
      <c r="G262" s="54"/>
      <c r="H262" s="54"/>
      <c r="I262" s="54"/>
      <c r="J262" s="54"/>
      <c r="K262" s="54"/>
      <c r="L262" s="29"/>
      <c r="M262" s="29"/>
      <c r="N262" s="43"/>
      <c r="O262" s="43"/>
      <c r="P262" s="43"/>
      <c r="Q262" s="43"/>
      <c r="R262" s="43"/>
      <c r="S262" s="15"/>
    </row>
    <row r="263" spans="2:21" ht="18" x14ac:dyDescent="0.25">
      <c r="B263" s="33">
        <v>1621</v>
      </c>
      <c r="C263" s="9" t="s">
        <v>55</v>
      </c>
      <c r="D263" s="3"/>
      <c r="E263" s="34">
        <v>3</v>
      </c>
      <c r="F263" s="91"/>
      <c r="G263" s="55">
        <f>+G267</f>
        <v>0.37290719089792446</v>
      </c>
      <c r="H263" s="55">
        <f>+H267</f>
        <v>0.10883245264613782</v>
      </c>
      <c r="I263" s="55">
        <f>+I267</f>
        <v>6.2909459834979337E-2</v>
      </c>
      <c r="J263" s="55">
        <f>+J267</f>
        <v>0.21492707809121653</v>
      </c>
      <c r="K263" s="55">
        <f>+K267</f>
        <v>0.24042070582141159</v>
      </c>
      <c r="L263" s="32"/>
      <c r="M263" s="32"/>
      <c r="N263" s="62">
        <f>+$E263*G263</f>
        <v>1.1187215726937734</v>
      </c>
      <c r="O263" s="62">
        <f>+$E263*H263</f>
        <v>0.32649735793841345</v>
      </c>
      <c r="P263" s="62">
        <f>+$E263*I263</f>
        <v>0.18872837950493801</v>
      </c>
      <c r="Q263" s="62">
        <f>+$E263*J263</f>
        <v>0.64478123427364964</v>
      </c>
      <c r="R263" s="62">
        <f>+$E263*K263</f>
        <v>0.72126211746423474</v>
      </c>
      <c r="S263" s="15"/>
    </row>
    <row r="264" spans="2:21" ht="18" x14ac:dyDescent="0.25">
      <c r="B264" s="33"/>
      <c r="C264" s="3" t="s">
        <v>15</v>
      </c>
      <c r="D264" s="3"/>
      <c r="E264" s="34"/>
      <c r="F264" s="85">
        <v>336.93900000000002</v>
      </c>
      <c r="G264" s="55"/>
      <c r="H264" s="55"/>
      <c r="I264" s="55"/>
      <c r="J264" s="55"/>
      <c r="K264" s="55"/>
      <c r="L264" s="32"/>
      <c r="M264" s="32"/>
      <c r="N264" s="35"/>
      <c r="O264" s="35"/>
      <c r="P264" s="35"/>
      <c r="Q264" s="35"/>
      <c r="R264" s="35"/>
      <c r="S264" s="15"/>
    </row>
    <row r="265" spans="2:21" ht="18" x14ac:dyDescent="0.25">
      <c r="B265" s="33"/>
      <c r="C265" s="3" t="s">
        <v>53</v>
      </c>
      <c r="D265" s="3"/>
      <c r="E265" s="34"/>
      <c r="F265" s="91">
        <v>100.4</v>
      </c>
      <c r="G265" s="55"/>
      <c r="H265" s="55"/>
      <c r="I265" s="55"/>
      <c r="J265" s="55"/>
      <c r="K265" s="55"/>
      <c r="L265" s="32"/>
      <c r="M265" s="32"/>
      <c r="N265" s="35"/>
      <c r="O265" s="35"/>
      <c r="P265" s="35"/>
      <c r="Q265" s="35"/>
      <c r="R265" s="35"/>
      <c r="S265" s="15"/>
    </row>
    <row r="266" spans="2:21" ht="18" x14ac:dyDescent="0.25">
      <c r="B266" s="33"/>
      <c r="C266" s="3" t="s">
        <v>54</v>
      </c>
      <c r="D266" s="3"/>
      <c r="E266" s="34"/>
      <c r="F266" s="92">
        <f>588.939-F264-F265</f>
        <v>151.59999999999994</v>
      </c>
      <c r="G266" s="55"/>
      <c r="H266" s="55"/>
      <c r="I266" s="55"/>
      <c r="J266" s="55"/>
      <c r="K266" s="55"/>
      <c r="L266" s="32"/>
      <c r="M266" s="170"/>
      <c r="N266" s="35"/>
      <c r="O266" s="35"/>
      <c r="P266" s="35"/>
      <c r="Q266" s="35"/>
      <c r="R266" s="35"/>
      <c r="S266" s="15"/>
    </row>
    <row r="267" spans="2:21" ht="60.75" x14ac:dyDescent="0.25">
      <c r="B267" s="3"/>
      <c r="C267" s="3" t="s">
        <v>31</v>
      </c>
      <c r="D267" s="40"/>
      <c r="E267" s="41"/>
      <c r="F267" s="85">
        <f>SUM(F264:F266)</f>
        <v>588.93899999999996</v>
      </c>
      <c r="G267" s="55">
        <f>N244</f>
        <v>0.37290719089792446</v>
      </c>
      <c r="H267" s="55">
        <f>O244</f>
        <v>0.10883245264613782</v>
      </c>
      <c r="I267" s="55">
        <f>P244</f>
        <v>6.2909459834979337E-2</v>
      </c>
      <c r="J267" s="55">
        <f>Q244</f>
        <v>0.21492707809121653</v>
      </c>
      <c r="K267" s="55">
        <f>R244</f>
        <v>0.24042070582141159</v>
      </c>
      <c r="L267" s="32" t="s">
        <v>111</v>
      </c>
      <c r="M267" s="32" t="s">
        <v>166</v>
      </c>
      <c r="N267" s="38">
        <f>$F267*G267</f>
        <v>219.6195881002327</v>
      </c>
      <c r="O267" s="38">
        <f>$F267*H267</f>
        <v>64.095675828963763</v>
      </c>
      <c r="P267" s="38">
        <f>$F267*I267</f>
        <v>37.049834365752893</v>
      </c>
      <c r="Q267" s="38">
        <f>$F267*J267</f>
        <v>126.57893844396297</v>
      </c>
      <c r="R267" s="38">
        <f>$F267*K267</f>
        <v>141.5931300657563</v>
      </c>
      <c r="S267" s="15"/>
      <c r="U267" s="398">
        <f>SUM(N267:R267)</f>
        <v>588.93716680466855</v>
      </c>
    </row>
    <row r="268" spans="2:21" ht="10.5" customHeight="1" x14ac:dyDescent="0.25">
      <c r="B268" s="33"/>
      <c r="C268" s="3"/>
      <c r="D268" s="3"/>
      <c r="E268" s="34"/>
      <c r="F268" s="169"/>
      <c r="G268" s="54"/>
      <c r="H268" s="54"/>
      <c r="I268" s="54"/>
      <c r="J268" s="54"/>
      <c r="K268" s="54"/>
      <c r="L268" s="29"/>
      <c r="M268" s="29"/>
      <c r="N268" s="43"/>
      <c r="O268" s="43"/>
      <c r="P268" s="43"/>
      <c r="Q268" s="43"/>
      <c r="R268" s="43"/>
      <c r="S268" s="15"/>
    </row>
    <row r="269" spans="2:21" ht="18" x14ac:dyDescent="0.25">
      <c r="B269" s="33">
        <v>1631</v>
      </c>
      <c r="C269" s="9" t="s">
        <v>89</v>
      </c>
      <c r="D269" s="3"/>
      <c r="E269" s="34">
        <v>9</v>
      </c>
      <c r="F269" s="91"/>
      <c r="G269" s="55">
        <f>+G273</f>
        <v>0.37290719089792446</v>
      </c>
      <c r="H269" s="55">
        <f>+H273</f>
        <v>0.10883245264613782</v>
      </c>
      <c r="I269" s="55">
        <f>+I273</f>
        <v>6.2909459834979337E-2</v>
      </c>
      <c r="J269" s="55">
        <f>+J273</f>
        <v>0.21492707809121653</v>
      </c>
      <c r="K269" s="55">
        <f>+K273</f>
        <v>0.24042070582141159</v>
      </c>
      <c r="L269" s="32"/>
      <c r="M269" s="32"/>
      <c r="N269" s="62">
        <f>+$E269*G269</f>
        <v>3.3561647180813203</v>
      </c>
      <c r="O269" s="62">
        <f>+$E269*H269</f>
        <v>0.97949207381524039</v>
      </c>
      <c r="P269" s="62">
        <f>+$E269*I269</f>
        <v>0.566185138514814</v>
      </c>
      <c r="Q269" s="62">
        <f>+$E269*J269</f>
        <v>1.9343437028209487</v>
      </c>
      <c r="R269" s="62">
        <f>+$E269*K269</f>
        <v>2.1637863523927043</v>
      </c>
      <c r="S269" s="15"/>
    </row>
    <row r="270" spans="2:21" ht="18" x14ac:dyDescent="0.25">
      <c r="B270" s="6"/>
      <c r="C270" s="3" t="s">
        <v>15</v>
      </c>
      <c r="D270" s="3"/>
      <c r="E270" s="34"/>
      <c r="F270" s="85">
        <v>1163.4000000000001</v>
      </c>
      <c r="G270" s="55"/>
      <c r="H270" s="55"/>
      <c r="I270" s="55"/>
      <c r="J270" s="55"/>
      <c r="K270" s="55"/>
      <c r="L270" s="32"/>
      <c r="M270" s="32"/>
      <c r="N270" s="35"/>
      <c r="O270" s="35"/>
      <c r="P270" s="35"/>
      <c r="Q270" s="35"/>
      <c r="R270" s="35"/>
      <c r="S270" s="15"/>
    </row>
    <row r="271" spans="2:21" ht="18" x14ac:dyDescent="0.25">
      <c r="B271" s="6"/>
      <c r="C271" s="3" t="s">
        <v>89</v>
      </c>
      <c r="D271" s="3"/>
      <c r="E271" s="34"/>
      <c r="F271" s="91">
        <v>4000.4</v>
      </c>
      <c r="G271" s="55"/>
      <c r="H271" s="55"/>
      <c r="I271" s="55"/>
      <c r="J271" s="55"/>
      <c r="K271" s="55"/>
      <c r="L271" s="32"/>
      <c r="M271" s="32"/>
      <c r="N271" s="35"/>
      <c r="O271" s="35"/>
      <c r="P271" s="35"/>
      <c r="Q271" s="35"/>
      <c r="R271" s="35"/>
      <c r="S271" s="15"/>
    </row>
    <row r="272" spans="2:21" ht="18" x14ac:dyDescent="0.25">
      <c r="B272" s="6"/>
      <c r="C272" s="3" t="s">
        <v>54</v>
      </c>
      <c r="D272" s="3"/>
      <c r="E272" s="34"/>
      <c r="F272" s="92">
        <f>134.5+58</f>
        <v>192.5</v>
      </c>
      <c r="G272" s="55"/>
      <c r="H272" s="55"/>
      <c r="I272" s="55"/>
      <c r="J272" s="55"/>
      <c r="K272" s="55"/>
      <c r="L272" s="32"/>
      <c r="M272" s="170"/>
      <c r="N272" s="35"/>
      <c r="O272" s="35"/>
      <c r="P272" s="35"/>
      <c r="Q272" s="35"/>
      <c r="R272" s="35"/>
      <c r="S272" s="15"/>
    </row>
    <row r="273" spans="2:21" ht="60.75" x14ac:dyDescent="0.25">
      <c r="B273" s="33"/>
      <c r="C273" s="3" t="s">
        <v>31</v>
      </c>
      <c r="D273" s="40"/>
      <c r="E273" s="50"/>
      <c r="F273" s="93">
        <f>SUM(F270:F272)</f>
        <v>5356.3</v>
      </c>
      <c r="G273" s="55">
        <f>N244</f>
        <v>0.37290719089792446</v>
      </c>
      <c r="H273" s="55">
        <f>O244</f>
        <v>0.10883245264613782</v>
      </c>
      <c r="I273" s="55">
        <f>P244</f>
        <v>6.2909459834979337E-2</v>
      </c>
      <c r="J273" s="55">
        <f>Q244</f>
        <v>0.21492707809121653</v>
      </c>
      <c r="K273" s="55">
        <f>R244</f>
        <v>0.24042070582141159</v>
      </c>
      <c r="L273" s="32" t="s">
        <v>111</v>
      </c>
      <c r="M273" s="32" t="s">
        <v>166</v>
      </c>
      <c r="N273" s="39">
        <f>$F273*G273</f>
        <v>1997.4027866065528</v>
      </c>
      <c r="O273" s="39">
        <f>$F273*H273</f>
        <v>582.93926610850804</v>
      </c>
      <c r="P273" s="39">
        <f>$F273*I273</f>
        <v>336.96193971409986</v>
      </c>
      <c r="Q273" s="39">
        <f>$F273*J273</f>
        <v>1151.2139083799832</v>
      </c>
      <c r="R273" s="39">
        <f>$F273*K273</f>
        <v>1287.765426591227</v>
      </c>
      <c r="S273" s="15"/>
      <c r="U273" s="398">
        <f>SUM(N273:R273)</f>
        <v>5356.2833274003715</v>
      </c>
    </row>
    <row r="274" spans="2:21" ht="15.75" customHeight="1" x14ac:dyDescent="0.25">
      <c r="B274" s="1"/>
      <c r="C274" s="94"/>
      <c r="D274" s="1"/>
      <c r="E274" s="100"/>
      <c r="F274" s="85">
        <f>F261+F267+F273</f>
        <v>7732.9390000000003</v>
      </c>
      <c r="G274" s="55"/>
      <c r="H274" s="55"/>
      <c r="I274" s="55"/>
      <c r="J274" s="55"/>
      <c r="K274" s="55"/>
      <c r="L274" s="32"/>
      <c r="M274" s="171"/>
      <c r="N274" s="38">
        <f>N261+N267+N273</f>
        <v>2485.1773747067855</v>
      </c>
      <c r="O274" s="38">
        <f>O261+O267+O273</f>
        <v>647.03494193747179</v>
      </c>
      <c r="P274" s="38">
        <f>P261+P267+P273</f>
        <v>552.78177407985277</v>
      </c>
      <c r="Q274" s="38">
        <f>Q261+Q267+Q273</f>
        <v>2618.5678468239462</v>
      </c>
      <c r="R274" s="38">
        <f>R261+R267+R273</f>
        <v>1429.3585566569832</v>
      </c>
      <c r="S274" s="15"/>
    </row>
    <row r="275" spans="2:21" ht="18" x14ac:dyDescent="0.25">
      <c r="B275" s="6"/>
      <c r="C275" s="94" t="s">
        <v>25</v>
      </c>
      <c r="D275" s="3"/>
      <c r="E275" s="34"/>
      <c r="F275" s="91"/>
      <c r="G275" s="55"/>
      <c r="H275" s="55"/>
      <c r="I275" s="55"/>
      <c r="J275" s="55"/>
      <c r="K275" s="55"/>
      <c r="L275" s="32"/>
      <c r="M275" s="32"/>
      <c r="N275" s="155">
        <f>+N274/$F274</f>
        <v>0.32137553066263491</v>
      </c>
      <c r="O275" s="155">
        <f>+O274/$F274</f>
        <v>8.3672578037596285E-2</v>
      </c>
      <c r="P275" s="155">
        <f>+P274/$F274</f>
        <v>7.148404689082026E-2</v>
      </c>
      <c r="Q275" s="155">
        <f>+Q274/$F274</f>
        <v>0.33862517819213961</v>
      </c>
      <c r="R275" s="155">
        <f>+R274/$F274</f>
        <v>0.18484027310405307</v>
      </c>
      <c r="S275" s="15"/>
    </row>
    <row r="276" spans="2:21" ht="9.75" customHeight="1" x14ac:dyDescent="0.25">
      <c r="B276" s="6"/>
      <c r="C276" s="94"/>
      <c r="D276" s="3"/>
      <c r="E276" s="34"/>
      <c r="F276" s="91"/>
      <c r="G276" s="55"/>
      <c r="H276" s="55"/>
      <c r="I276" s="55"/>
      <c r="J276" s="55"/>
      <c r="K276" s="55"/>
      <c r="L276" s="32"/>
      <c r="M276" s="32"/>
      <c r="N276" s="155"/>
      <c r="O276" s="155"/>
      <c r="P276" s="155"/>
      <c r="Q276" s="155"/>
      <c r="R276" s="155"/>
      <c r="S276" s="15"/>
    </row>
    <row r="277" spans="2:21" ht="18" x14ac:dyDescent="0.25">
      <c r="B277" s="33">
        <v>1611</v>
      </c>
      <c r="C277" s="9" t="s">
        <v>123</v>
      </c>
      <c r="D277" s="3"/>
      <c r="E277" s="34">
        <v>1.5</v>
      </c>
      <c r="F277" s="91"/>
      <c r="G277" s="55">
        <f>+G280</f>
        <v>0.32137553066263491</v>
      </c>
      <c r="H277" s="55">
        <f>+H280</f>
        <v>8.3672578037596285E-2</v>
      </c>
      <c r="I277" s="55">
        <f>+I280</f>
        <v>7.148404689082026E-2</v>
      </c>
      <c r="J277" s="55">
        <f>+J280</f>
        <v>0.33862517819213961</v>
      </c>
      <c r="K277" s="55">
        <f>+K280</f>
        <v>0.18484027310405307</v>
      </c>
      <c r="L277" s="32"/>
      <c r="M277" s="32"/>
      <c r="N277" s="62">
        <f>+$E277*G277</f>
        <v>0.48206329599395237</v>
      </c>
      <c r="O277" s="62">
        <f>+$E277*H277</f>
        <v>0.12550886705639441</v>
      </c>
      <c r="P277" s="62">
        <f>+$E277*I277</f>
        <v>0.10722607033623038</v>
      </c>
      <c r="Q277" s="62">
        <f>+$E277*J277</f>
        <v>0.50793776728820939</v>
      </c>
      <c r="R277" s="62">
        <f>+$E277*K277</f>
        <v>0.27726040965607962</v>
      </c>
      <c r="S277" s="15"/>
    </row>
    <row r="278" spans="2:21" ht="18" x14ac:dyDescent="0.25">
      <c r="B278" s="6"/>
      <c r="C278" s="3" t="s">
        <v>30</v>
      </c>
      <c r="D278" s="3"/>
      <c r="E278" s="34"/>
      <c r="F278" s="172">
        <v>411</v>
      </c>
      <c r="G278" s="55"/>
      <c r="H278" s="55"/>
      <c r="I278" s="55"/>
      <c r="J278" s="55"/>
      <c r="K278" s="55"/>
      <c r="L278" s="32"/>
      <c r="M278" s="32"/>
      <c r="N278" s="35"/>
      <c r="O278" s="35"/>
      <c r="P278" s="35"/>
      <c r="Q278" s="35"/>
      <c r="R278" s="35"/>
      <c r="S278" s="15"/>
    </row>
    <row r="279" spans="2:21" ht="18" x14ac:dyDescent="0.25">
      <c r="B279" s="6"/>
      <c r="C279" s="3" t="s">
        <v>54</v>
      </c>
      <c r="D279" s="3"/>
      <c r="E279" s="34"/>
      <c r="F279" s="173">
        <f>25+31+14</f>
        <v>70</v>
      </c>
      <c r="G279" s="55"/>
      <c r="H279" s="55"/>
      <c r="I279" s="55"/>
      <c r="J279" s="55"/>
      <c r="K279" s="55"/>
      <c r="L279" s="32"/>
      <c r="M279" s="32" t="s">
        <v>154</v>
      </c>
      <c r="N279" s="35"/>
      <c r="O279" s="35"/>
      <c r="P279" s="35"/>
      <c r="Q279" s="35"/>
      <c r="R279" s="35"/>
      <c r="S279" s="15"/>
    </row>
    <row r="280" spans="2:21" ht="18" x14ac:dyDescent="0.25">
      <c r="B280" s="174"/>
      <c r="C280" s="3" t="s">
        <v>31</v>
      </c>
      <c r="D280" s="40"/>
      <c r="E280" s="175"/>
      <c r="F280" s="176">
        <f>+F279+F278</f>
        <v>481</v>
      </c>
      <c r="G280" s="162">
        <f>+N275</f>
        <v>0.32137553066263491</v>
      </c>
      <c r="H280" s="162">
        <f>+O275</f>
        <v>8.3672578037596285E-2</v>
      </c>
      <c r="I280" s="162">
        <f>+P275</f>
        <v>7.148404689082026E-2</v>
      </c>
      <c r="J280" s="162">
        <f>+Q275</f>
        <v>0.33862517819213961</v>
      </c>
      <c r="K280" s="162">
        <f>+R275</f>
        <v>0.18484027310405307</v>
      </c>
      <c r="L280" s="163" t="s">
        <v>111</v>
      </c>
      <c r="M280" s="163" t="s">
        <v>155</v>
      </c>
      <c r="N280" s="177">
        <f>+$F280*G280</f>
        <v>154.58163024872738</v>
      </c>
      <c r="O280" s="177">
        <f>+$F280*H280</f>
        <v>40.246510036083812</v>
      </c>
      <c r="P280" s="177">
        <f>+$F280*I280</f>
        <v>34.383826554484543</v>
      </c>
      <c r="Q280" s="177">
        <f>+$F280*J280</f>
        <v>162.87871071041914</v>
      </c>
      <c r="R280" s="177">
        <f>+$F280*K280</f>
        <v>88.908171363049533</v>
      </c>
      <c r="S280" s="15"/>
      <c r="U280" s="398">
        <f>SUM(N280:R280)</f>
        <v>480.9988489127644</v>
      </c>
    </row>
    <row r="281" spans="2:21" ht="7.5" customHeight="1" x14ac:dyDescent="0.25">
      <c r="B281" s="6"/>
      <c r="C281" s="3"/>
      <c r="D281" s="3"/>
      <c r="E281" s="34"/>
      <c r="F281" s="172"/>
      <c r="G281" s="55"/>
      <c r="H281" s="55"/>
      <c r="I281" s="55"/>
      <c r="J281" s="55"/>
      <c r="K281" s="55"/>
      <c r="L281" s="32"/>
      <c r="M281" s="32"/>
      <c r="N281" s="42"/>
      <c r="O281" s="42"/>
      <c r="P281" s="42"/>
      <c r="Q281" s="42"/>
      <c r="R281" s="42"/>
      <c r="S281" s="15"/>
    </row>
    <row r="282" spans="2:21" ht="18" x14ac:dyDescent="0.25">
      <c r="B282" s="94" t="s">
        <v>146</v>
      </c>
      <c r="C282" s="3"/>
      <c r="D282" s="108"/>
      <c r="E282" s="160"/>
      <c r="F282" s="172">
        <f>+F280+F274</f>
        <v>8213.9390000000003</v>
      </c>
      <c r="G282" s="55"/>
      <c r="H282" s="55"/>
      <c r="I282" s="55"/>
      <c r="J282" s="55"/>
      <c r="K282" s="55"/>
      <c r="L282" s="32"/>
      <c r="M282" s="171"/>
      <c r="N282" s="42">
        <f>+N280+N274</f>
        <v>2639.7590049555129</v>
      </c>
      <c r="O282" s="42">
        <f>+O280+O274</f>
        <v>687.28145197355559</v>
      </c>
      <c r="P282" s="42">
        <f>+P280+P274</f>
        <v>587.16560063433735</v>
      </c>
      <c r="Q282" s="42">
        <f>+Q280+Q274</f>
        <v>2781.4465575343652</v>
      </c>
      <c r="R282" s="42">
        <f>+R280+R274</f>
        <v>1518.2667280200328</v>
      </c>
      <c r="S282" s="15"/>
      <c r="U282" s="398">
        <f>SUM(N282:R282)</f>
        <v>8213.9193431178046</v>
      </c>
    </row>
    <row r="283" spans="2:21" ht="9.75" customHeight="1" x14ac:dyDescent="0.25">
      <c r="B283" s="94"/>
      <c r="C283" s="3"/>
      <c r="D283" s="108"/>
      <c r="E283" s="160"/>
      <c r="F283" s="91"/>
      <c r="G283" s="55"/>
      <c r="H283" s="55"/>
      <c r="I283" s="55"/>
      <c r="J283" s="55"/>
      <c r="K283" s="55"/>
      <c r="L283" s="32"/>
      <c r="M283" s="171"/>
      <c r="N283" s="51"/>
      <c r="O283" s="51"/>
      <c r="P283" s="51"/>
      <c r="Q283" s="51"/>
      <c r="R283" s="51"/>
      <c r="S283" s="15"/>
    </row>
    <row r="284" spans="2:21" ht="18" x14ac:dyDescent="0.25">
      <c r="B284" s="94" t="s">
        <v>147</v>
      </c>
      <c r="C284" s="3"/>
      <c r="D284" s="108"/>
      <c r="E284" s="125">
        <f>SUM(E257:E277)</f>
        <v>21.5</v>
      </c>
      <c r="F284" s="91"/>
      <c r="G284" s="55"/>
      <c r="H284" s="55"/>
      <c r="I284" s="55"/>
      <c r="J284" s="55"/>
      <c r="K284" s="55"/>
      <c r="L284" s="32"/>
      <c r="M284" s="171"/>
      <c r="N284" s="62">
        <f>+N277+N269+N263+N257</f>
        <v>6.1569495867690458</v>
      </c>
      <c r="O284" s="62">
        <f>+O277+O269+O263+O257</f>
        <v>1.4314982988100482</v>
      </c>
      <c r="P284" s="62">
        <f>+P277+P269+P263+P257</f>
        <v>1.6621395883559824</v>
      </c>
      <c r="Q284" s="62">
        <f>+Q277+Q269+Q263+Q257</f>
        <v>9.0870627043828076</v>
      </c>
      <c r="R284" s="62">
        <f>+R277+R269+R263+R257</f>
        <v>3.1623088795130188</v>
      </c>
      <c r="S284" s="15"/>
      <c r="U284" s="394">
        <f>SUM(N284:R284)</f>
        <v>21.499959057830907</v>
      </c>
    </row>
    <row r="285" spans="2:21" ht="9.75" customHeight="1" x14ac:dyDescent="0.25">
      <c r="B285" s="6"/>
      <c r="C285" s="3"/>
      <c r="D285" s="3"/>
      <c r="E285" s="34"/>
      <c r="F285" s="91"/>
      <c r="G285" s="55"/>
      <c r="H285" s="55"/>
      <c r="I285" s="55"/>
      <c r="J285" s="55"/>
      <c r="K285" s="55"/>
      <c r="L285" s="32"/>
      <c r="M285" s="178"/>
      <c r="N285" s="35"/>
      <c r="O285" s="35"/>
      <c r="P285" s="35"/>
      <c r="Q285" s="35"/>
      <c r="R285" s="35"/>
      <c r="S285" s="15"/>
    </row>
    <row r="286" spans="2:21" ht="18" x14ac:dyDescent="0.25">
      <c r="B286" s="1">
        <v>1300</v>
      </c>
      <c r="C286" s="9" t="s">
        <v>90</v>
      </c>
      <c r="D286" s="3"/>
      <c r="E286" s="34">
        <v>11.5</v>
      </c>
      <c r="F286" s="91"/>
      <c r="G286" s="55">
        <f>+G289</f>
        <v>0.37290719089792446</v>
      </c>
      <c r="H286" s="55">
        <f>+H289</f>
        <v>0.10883245264613782</v>
      </c>
      <c r="I286" s="55">
        <f>+I289</f>
        <v>6.2909459834979337E-2</v>
      </c>
      <c r="J286" s="55">
        <f>+J289</f>
        <v>0.21492707809121653</v>
      </c>
      <c r="K286" s="55">
        <f>+K289</f>
        <v>0.24042070582141159</v>
      </c>
      <c r="L286" s="32"/>
      <c r="M286" s="32"/>
      <c r="N286" s="62">
        <f>+$E286*G286</f>
        <v>4.2884326953261311</v>
      </c>
      <c r="O286" s="62">
        <f>+$E286*H286</f>
        <v>1.251573205430585</v>
      </c>
      <c r="P286" s="62">
        <f>+$E286*I286</f>
        <v>0.72345878810226238</v>
      </c>
      <c r="Q286" s="62">
        <f>+$E286*J286</f>
        <v>2.4716613980489899</v>
      </c>
      <c r="R286" s="62">
        <f>+$E286*K286</f>
        <v>2.7648381169462333</v>
      </c>
      <c r="S286" s="15"/>
    </row>
    <row r="287" spans="2:21" ht="18" x14ac:dyDescent="0.25">
      <c r="B287" s="6"/>
      <c r="C287" s="3" t="s">
        <v>15</v>
      </c>
      <c r="D287" s="3"/>
      <c r="E287" s="34"/>
      <c r="F287" s="85">
        <v>1294.4000000000001</v>
      </c>
      <c r="G287" s="55"/>
      <c r="H287" s="55"/>
      <c r="I287" s="55"/>
      <c r="J287" s="55"/>
      <c r="K287" s="55"/>
      <c r="L287" s="32"/>
      <c r="M287" s="32"/>
      <c r="N287" s="35"/>
      <c r="O287" s="35"/>
      <c r="P287" s="35"/>
      <c r="Q287" s="35"/>
      <c r="R287" s="35"/>
      <c r="S287" s="15"/>
    </row>
    <row r="288" spans="2:21" ht="18" x14ac:dyDescent="0.25">
      <c r="B288" s="6"/>
      <c r="C288" s="3" t="s">
        <v>27</v>
      </c>
      <c r="D288" s="3"/>
      <c r="E288" s="34"/>
      <c r="F288" s="92">
        <f>3748.4-F287</f>
        <v>2454</v>
      </c>
      <c r="G288" s="55"/>
      <c r="H288" s="55"/>
      <c r="I288" s="55"/>
      <c r="J288" s="55"/>
      <c r="K288" s="55"/>
      <c r="L288" s="32"/>
      <c r="M288" s="32"/>
      <c r="N288" s="35"/>
      <c r="O288" s="35"/>
      <c r="P288" s="35"/>
      <c r="Q288" s="35"/>
      <c r="R288" s="35"/>
      <c r="S288" s="15"/>
    </row>
    <row r="289" spans="1:254" ht="18" x14ac:dyDescent="0.25">
      <c r="B289" s="33"/>
      <c r="C289" s="3" t="s">
        <v>31</v>
      </c>
      <c r="D289" s="140"/>
      <c r="E289" s="179"/>
      <c r="F289" s="85">
        <f>F287+F288</f>
        <v>3748.4</v>
      </c>
      <c r="G289" s="55">
        <f>N244</f>
        <v>0.37290719089792446</v>
      </c>
      <c r="H289" s="55">
        <f>O244</f>
        <v>0.10883245264613782</v>
      </c>
      <c r="I289" s="55">
        <f>P244</f>
        <v>6.2909459834979337E-2</v>
      </c>
      <c r="J289" s="55">
        <f>Q244</f>
        <v>0.21492707809121653</v>
      </c>
      <c r="K289" s="55">
        <f>R244</f>
        <v>0.24042070582141159</v>
      </c>
      <c r="L289" s="32" t="s">
        <v>111</v>
      </c>
      <c r="M289" s="32" t="s">
        <v>56</v>
      </c>
      <c r="N289" s="39">
        <f>$F289*G289</f>
        <v>1397.8053143617801</v>
      </c>
      <c r="O289" s="39">
        <f>$F289*H289</f>
        <v>407.94756549878304</v>
      </c>
      <c r="P289" s="39">
        <f>$F289*I289</f>
        <v>235.80981924543656</v>
      </c>
      <c r="Q289" s="39">
        <f>$F289*J289</f>
        <v>805.63265951711605</v>
      </c>
      <c r="R289" s="39">
        <f>$F289*K289</f>
        <v>901.19297370097922</v>
      </c>
      <c r="S289" s="15"/>
      <c r="U289" s="398">
        <f>SUM(N289:R289)</f>
        <v>3748.3883323240948</v>
      </c>
    </row>
    <row r="290" spans="1:254" ht="12.75" customHeight="1" x14ac:dyDescent="0.25">
      <c r="B290" s="6"/>
      <c r="C290" s="3"/>
      <c r="D290" s="3"/>
      <c r="E290" s="34"/>
      <c r="F290" s="169"/>
      <c r="G290" s="54"/>
      <c r="H290" s="54"/>
      <c r="I290" s="54"/>
      <c r="J290" s="54"/>
      <c r="K290" s="54"/>
      <c r="L290" s="29"/>
      <c r="M290" s="29"/>
      <c r="N290" s="43"/>
      <c r="O290" s="43"/>
      <c r="P290" s="43"/>
      <c r="Q290" s="43"/>
      <c r="R290" s="43"/>
      <c r="S290" s="15"/>
    </row>
    <row r="291" spans="1:254" ht="18" x14ac:dyDescent="0.25">
      <c r="B291" s="416" t="s">
        <v>57</v>
      </c>
      <c r="C291" s="417"/>
      <c r="D291" s="418"/>
      <c r="E291" s="183"/>
      <c r="F291" s="85">
        <f>F242+F282+F289</f>
        <v>100307.71099999998</v>
      </c>
      <c r="G291" s="55"/>
      <c r="H291" s="55"/>
      <c r="I291" s="55"/>
      <c r="J291" s="55"/>
      <c r="K291" s="55"/>
      <c r="L291" s="32"/>
      <c r="M291" s="32"/>
      <c r="N291" s="38">
        <f>N242+N282+N289</f>
        <v>36982.188820669442</v>
      </c>
      <c r="O291" s="38">
        <f>O242+O282+O289</f>
        <v>10710.072532167767</v>
      </c>
      <c r="P291" s="38">
        <f>P242+P282+P289</f>
        <v>6380.7350513200809</v>
      </c>
      <c r="Q291" s="38">
        <f>Q242+Q282+Q289</f>
        <v>22574.891883893051</v>
      </c>
      <c r="R291" s="38">
        <f>R242+R282+R289</f>
        <v>23659.51639401618</v>
      </c>
      <c r="S291" s="15"/>
      <c r="U291" s="398">
        <f>SUM(N291:R291)</f>
        <v>100307.40468206652</v>
      </c>
    </row>
    <row r="292" spans="1:254" ht="18" x14ac:dyDescent="0.25">
      <c r="B292" s="419" t="s">
        <v>58</v>
      </c>
      <c r="C292" s="420"/>
      <c r="D292" s="421"/>
      <c r="E292" s="37"/>
      <c r="F292" s="86">
        <v>1</v>
      </c>
      <c r="G292" s="55"/>
      <c r="H292" s="55"/>
      <c r="I292" s="55"/>
      <c r="J292" s="55"/>
      <c r="K292" s="55"/>
      <c r="L292" s="32"/>
      <c r="M292" s="32"/>
      <c r="N292" s="155">
        <f>N291/$F291</f>
        <v>0.36868739653195204</v>
      </c>
      <c r="O292" s="155">
        <f>O291/$F291</f>
        <v>0.10677217559244044</v>
      </c>
      <c r="P292" s="155">
        <f>P291/$F291</f>
        <v>6.3611610590137799E-2</v>
      </c>
      <c r="Q292" s="155">
        <f>Q291/$F291</f>
        <v>0.2250563955536086</v>
      </c>
      <c r="R292" s="155">
        <f>R291/$F291</f>
        <v>0.23586936794935121</v>
      </c>
      <c r="S292" s="15"/>
      <c r="U292" s="397">
        <f>SUM(N292:R292)</f>
        <v>0.99999694621749002</v>
      </c>
    </row>
    <row r="293" spans="1:254" ht="9.75" customHeight="1" x14ac:dyDescent="0.25">
      <c r="B293" s="8"/>
      <c r="D293" s="114"/>
      <c r="E293" s="37"/>
      <c r="F293" s="86"/>
      <c r="G293" s="55"/>
      <c r="H293" s="55"/>
      <c r="I293" s="55"/>
      <c r="J293" s="55"/>
      <c r="K293" s="55"/>
      <c r="L293" s="32"/>
      <c r="M293" s="32"/>
      <c r="N293" s="155"/>
      <c r="O293" s="155"/>
      <c r="P293" s="155"/>
      <c r="Q293" s="155"/>
      <c r="R293" s="155"/>
      <c r="S293" s="15"/>
    </row>
    <row r="294" spans="1:254" ht="18" x14ac:dyDescent="0.25">
      <c r="B294" s="180" t="s">
        <v>148</v>
      </c>
      <c r="C294" s="181"/>
      <c r="D294" s="182"/>
      <c r="E294" s="184">
        <f>+E286+E284+E236+E176+E114</f>
        <v>286.5</v>
      </c>
      <c r="F294" s="85"/>
      <c r="G294" s="55"/>
      <c r="H294" s="55"/>
      <c r="I294" s="55"/>
      <c r="J294" s="55"/>
      <c r="K294" s="55"/>
      <c r="L294" s="32"/>
      <c r="M294" s="83"/>
      <c r="N294" s="185">
        <f>+N286+N284+N236+N176+N114</f>
        <v>110.28006482787372</v>
      </c>
      <c r="O294" s="185">
        <f>+O286+O284+O236+O176+O114</f>
        <v>34.145821358665359</v>
      </c>
      <c r="P294" s="185">
        <f>+P286+P284+P236+P176+P114</f>
        <v>18.963115877285507</v>
      </c>
      <c r="Q294" s="185">
        <f>+Q286+Q284+Q236+Q176+Q114</f>
        <v>54.852633169912458</v>
      </c>
      <c r="R294" s="186">
        <f>+R286+R284+R236+R176+R114</f>
        <v>68.257536531918561</v>
      </c>
      <c r="S294" s="15"/>
      <c r="U294" s="399">
        <f>SUM(N294:R294)</f>
        <v>286.49917176565555</v>
      </c>
    </row>
    <row r="295" spans="1:254" ht="18" x14ac:dyDescent="0.25">
      <c r="B295" s="180" t="s">
        <v>149</v>
      </c>
      <c r="C295" s="181"/>
      <c r="D295" s="182"/>
      <c r="E295" s="187">
        <v>1</v>
      </c>
      <c r="F295" s="188"/>
      <c r="G295" s="189"/>
      <c r="H295" s="189"/>
      <c r="I295" s="189"/>
      <c r="J295" s="189"/>
      <c r="K295" s="189"/>
      <c r="L295" s="190"/>
      <c r="M295" s="191"/>
      <c r="N295" s="411">
        <f>+N294/$E294</f>
        <v>0.38492169224388734</v>
      </c>
      <c r="O295" s="411">
        <f>+O294/$E294</f>
        <v>0.11918262254333459</v>
      </c>
      <c r="P295" s="411">
        <f>+P294/$E294</f>
        <v>6.6188886133631789E-2</v>
      </c>
      <c r="Q295" s="411">
        <f>+Q294/$E294</f>
        <v>0.19145770739934539</v>
      </c>
      <c r="R295" s="412">
        <f>+R294/$E294</f>
        <v>0.23824620080948886</v>
      </c>
      <c r="S295" s="15"/>
      <c r="U295" s="390">
        <f>SUM(N295:R295)</f>
        <v>0.99999710912968809</v>
      </c>
    </row>
    <row r="296" spans="1:254" ht="21" customHeight="1" x14ac:dyDescent="0.25">
      <c r="B296" s="6"/>
      <c r="C296" s="3"/>
      <c r="D296" s="3"/>
      <c r="E296" s="52"/>
      <c r="F296" s="277"/>
      <c r="G296" s="278"/>
      <c r="H296" s="278"/>
      <c r="I296" s="278"/>
      <c r="J296" s="278"/>
      <c r="K296" s="278"/>
      <c r="L296" s="117"/>
      <c r="M296" s="117"/>
      <c r="N296" s="279"/>
      <c r="O296" s="279"/>
      <c r="P296" s="279"/>
      <c r="Q296" s="279"/>
      <c r="R296" s="279"/>
      <c r="S296" s="15"/>
    </row>
    <row r="297" spans="1:254" ht="21" customHeight="1" x14ac:dyDescent="0.25">
      <c r="B297" s="6"/>
      <c r="C297" s="3"/>
      <c r="D297" s="3"/>
      <c r="E297" s="192"/>
      <c r="F297" s="192"/>
      <c r="G297" s="274"/>
      <c r="H297" s="274"/>
      <c r="I297" s="274"/>
      <c r="J297" s="274"/>
      <c r="K297" s="274"/>
      <c r="L297" s="136"/>
      <c r="M297" s="136"/>
      <c r="N297" s="192"/>
      <c r="O297" s="192"/>
      <c r="P297" s="192"/>
      <c r="Q297" s="192"/>
      <c r="R297" s="192"/>
      <c r="S297" s="15"/>
    </row>
    <row r="298" spans="1:254" ht="30" x14ac:dyDescent="0.4">
      <c r="A298" s="4" t="s">
        <v>277</v>
      </c>
      <c r="B298" s="8"/>
      <c r="C298" s="9"/>
      <c r="D298" s="9"/>
      <c r="E298" s="9"/>
      <c r="F298" s="9"/>
      <c r="G298" s="165"/>
      <c r="H298" s="165"/>
      <c r="I298" s="165"/>
      <c r="J298" s="2"/>
      <c r="K298" s="2" t="s">
        <v>218</v>
      </c>
      <c r="L298" s="2"/>
      <c r="M298" s="8"/>
      <c r="N298" s="9"/>
      <c r="O298" s="9"/>
      <c r="P298" s="9"/>
      <c r="Q298" s="9"/>
      <c r="R298" s="9"/>
      <c r="S298" s="3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  <c r="GH298" s="7"/>
      <c r="GI298" s="7"/>
      <c r="GJ298" s="7"/>
      <c r="GK298" s="7"/>
      <c r="GL298" s="7"/>
      <c r="GM298" s="7"/>
      <c r="GN298" s="7"/>
      <c r="GO298" s="7"/>
      <c r="GP298" s="7"/>
      <c r="GQ298" s="7"/>
      <c r="GR298" s="7"/>
      <c r="GS298" s="7"/>
      <c r="GT298" s="7"/>
      <c r="GU298" s="7"/>
      <c r="GV298" s="7"/>
      <c r="GW298" s="7"/>
      <c r="GX298" s="7"/>
      <c r="GY298" s="7"/>
      <c r="GZ298" s="7"/>
      <c r="HA298" s="7"/>
      <c r="HB298" s="7"/>
      <c r="HC298" s="7"/>
      <c r="HD298" s="7"/>
      <c r="HE298" s="7"/>
      <c r="HF298" s="7"/>
      <c r="HG298" s="7"/>
      <c r="HH298" s="7"/>
      <c r="HI298" s="7"/>
      <c r="HJ298" s="7"/>
      <c r="HK298" s="7"/>
      <c r="HL298" s="7"/>
      <c r="HM298" s="7"/>
      <c r="HN298" s="7"/>
      <c r="HO298" s="7"/>
      <c r="HP298" s="7"/>
      <c r="HQ298" s="7"/>
      <c r="HR298" s="7"/>
      <c r="HS298" s="7"/>
      <c r="HT298" s="7"/>
      <c r="HU298" s="7"/>
      <c r="HV298" s="7"/>
      <c r="HW298" s="7"/>
      <c r="HX298" s="7"/>
      <c r="HY298" s="7"/>
      <c r="HZ298" s="7"/>
      <c r="IA298" s="7"/>
      <c r="IB298" s="7"/>
      <c r="IC298" s="7"/>
      <c r="ID298" s="7"/>
      <c r="IE298" s="7"/>
      <c r="IF298" s="7"/>
      <c r="IG298" s="7"/>
      <c r="IH298" s="7"/>
      <c r="II298" s="7"/>
      <c r="IJ298" s="7"/>
      <c r="IK298" s="7"/>
      <c r="IL298" s="7"/>
      <c r="IM298" s="7"/>
      <c r="IN298" s="7"/>
      <c r="IO298" s="7"/>
      <c r="IP298" s="7"/>
      <c r="IQ298" s="7"/>
      <c r="IR298" s="7"/>
      <c r="IS298" s="7"/>
      <c r="IT298" s="7"/>
    </row>
    <row r="299" spans="1:254" ht="27" customHeight="1" x14ac:dyDescent="0.4">
      <c r="A299" s="7"/>
      <c r="B299" s="8"/>
      <c r="C299" s="9"/>
      <c r="D299" s="9"/>
      <c r="E299" s="9"/>
      <c r="F299" s="9"/>
      <c r="G299" s="165"/>
      <c r="H299" s="165"/>
      <c r="I299" s="165"/>
      <c r="J299" s="2"/>
      <c r="K299" s="2" t="s">
        <v>253</v>
      </c>
      <c r="L299" s="2"/>
      <c r="M299" s="8"/>
      <c r="N299" s="9"/>
      <c r="O299" s="9"/>
      <c r="P299" s="9"/>
      <c r="Q299" s="9"/>
      <c r="R299" s="9"/>
      <c r="S299" s="3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  <c r="GH299" s="7"/>
      <c r="GI299" s="7"/>
      <c r="GJ299" s="7"/>
      <c r="GK299" s="7"/>
      <c r="GL299" s="7"/>
      <c r="GM299" s="7"/>
      <c r="GN299" s="7"/>
      <c r="GO299" s="7"/>
      <c r="GP299" s="7"/>
      <c r="GQ299" s="7"/>
      <c r="GR299" s="7"/>
      <c r="GS299" s="7"/>
      <c r="GT299" s="7"/>
      <c r="GU299" s="7"/>
      <c r="GV299" s="7"/>
      <c r="GW299" s="7"/>
      <c r="GX299" s="7"/>
      <c r="GY299" s="7"/>
      <c r="GZ299" s="7"/>
      <c r="HA299" s="7"/>
      <c r="HB299" s="7"/>
      <c r="HC299" s="7"/>
      <c r="HD299" s="7"/>
      <c r="HE299" s="7"/>
      <c r="HF299" s="7"/>
      <c r="HG299" s="7"/>
      <c r="HH299" s="7"/>
      <c r="HI299" s="7"/>
      <c r="HJ299" s="7"/>
      <c r="HK299" s="7"/>
      <c r="HL299" s="7"/>
      <c r="HM299" s="7"/>
      <c r="HN299" s="7"/>
      <c r="HO299" s="7"/>
      <c r="HP299" s="7"/>
      <c r="HQ299" s="7"/>
      <c r="HR299" s="7"/>
      <c r="HS299" s="7"/>
      <c r="HT299" s="7"/>
      <c r="HU299" s="7"/>
      <c r="HV299" s="7"/>
      <c r="HW299" s="7"/>
      <c r="HX299" s="7"/>
      <c r="HY299" s="7"/>
      <c r="HZ299" s="7"/>
      <c r="IA299" s="7"/>
      <c r="IB299" s="7"/>
      <c r="IC299" s="7"/>
      <c r="ID299" s="7"/>
      <c r="IE299" s="7"/>
      <c r="IF299" s="7"/>
      <c r="IG299" s="7"/>
      <c r="IH299" s="7"/>
      <c r="II299" s="7"/>
      <c r="IJ299" s="7"/>
      <c r="IK299" s="7"/>
      <c r="IL299" s="7"/>
      <c r="IM299" s="7"/>
      <c r="IN299" s="7"/>
      <c r="IO299" s="7"/>
      <c r="IP299" s="7"/>
      <c r="IQ299" s="7"/>
      <c r="IR299" s="7"/>
      <c r="IS299" s="7"/>
      <c r="IT299" s="7"/>
    </row>
    <row r="300" spans="1:254" ht="15.75" x14ac:dyDescent="0.25">
      <c r="A300" s="7"/>
      <c r="B300" s="8"/>
      <c r="C300" s="9"/>
      <c r="D300" s="9"/>
      <c r="E300" s="9"/>
      <c r="F300" s="9"/>
      <c r="G300" s="165"/>
      <c r="H300" s="165"/>
      <c r="I300" s="165"/>
      <c r="J300" s="3"/>
      <c r="K300" s="70"/>
      <c r="L300" s="6"/>
      <c r="M300" s="8"/>
      <c r="N300" s="9"/>
      <c r="O300" s="9"/>
      <c r="P300" s="9"/>
      <c r="Q300" s="9"/>
      <c r="R300" s="9"/>
      <c r="S300" s="3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  <c r="GH300" s="7"/>
      <c r="GI300" s="7"/>
      <c r="GJ300" s="7"/>
      <c r="GK300" s="7"/>
      <c r="GL300" s="7"/>
      <c r="GM300" s="7"/>
      <c r="GN300" s="7"/>
      <c r="GO300" s="7"/>
      <c r="GP300" s="7"/>
      <c r="GQ300" s="7"/>
      <c r="GR300" s="7"/>
      <c r="GS300" s="7"/>
      <c r="GT300" s="7"/>
      <c r="GU300" s="7"/>
      <c r="GV300" s="7"/>
      <c r="GW300" s="7"/>
      <c r="GX300" s="7"/>
      <c r="GY300" s="7"/>
      <c r="GZ300" s="7"/>
      <c r="HA300" s="7"/>
      <c r="HB300" s="7"/>
      <c r="HC300" s="7"/>
      <c r="HD300" s="7"/>
      <c r="HE300" s="7"/>
      <c r="HF300" s="7"/>
      <c r="HG300" s="7"/>
      <c r="HH300" s="7"/>
      <c r="HI300" s="7"/>
      <c r="HJ300" s="7"/>
      <c r="HK300" s="7"/>
      <c r="HL300" s="7"/>
      <c r="HM300" s="7"/>
      <c r="HN300" s="7"/>
      <c r="HO300" s="7"/>
      <c r="HP300" s="7"/>
      <c r="HQ300" s="7"/>
      <c r="HR300" s="7"/>
      <c r="HS300" s="7"/>
      <c r="HT300" s="7"/>
      <c r="HU300" s="7"/>
      <c r="HV300" s="7"/>
      <c r="HW300" s="7"/>
      <c r="HX300" s="7"/>
      <c r="HY300" s="7"/>
      <c r="HZ300" s="7"/>
      <c r="IA300" s="7"/>
      <c r="IB300" s="7"/>
      <c r="IC300" s="7"/>
      <c r="ID300" s="7"/>
      <c r="IE300" s="7"/>
      <c r="IF300" s="7"/>
      <c r="IG300" s="7"/>
      <c r="IH300" s="7"/>
      <c r="II300" s="7"/>
      <c r="IJ300" s="7"/>
      <c r="IK300" s="7"/>
      <c r="IL300" s="7"/>
      <c r="IM300" s="7"/>
      <c r="IN300" s="7"/>
      <c r="IO300" s="7"/>
      <c r="IP300" s="7"/>
      <c r="IQ300" s="7"/>
      <c r="IR300" s="7"/>
      <c r="IS300" s="7"/>
      <c r="IT300" s="7"/>
    </row>
    <row r="301" spans="1:254" ht="11.25" customHeight="1" x14ac:dyDescent="0.35">
      <c r="B301" s="4"/>
      <c r="C301" s="5"/>
      <c r="D301" s="6"/>
      <c r="E301" s="6"/>
      <c r="F301" s="3"/>
      <c r="G301" s="3"/>
      <c r="H301" s="3"/>
      <c r="I301" s="3"/>
      <c r="J301" s="3"/>
      <c r="K301" s="3"/>
      <c r="L301" s="3"/>
      <c r="M301" s="5"/>
      <c r="N301" s="6"/>
      <c r="O301" s="5"/>
      <c r="P301" s="5"/>
      <c r="Q301" s="3"/>
      <c r="R301" s="3"/>
      <c r="S301" s="3"/>
    </row>
    <row r="302" spans="1:254" ht="15.75" x14ac:dyDescent="0.25">
      <c r="B302" s="7"/>
      <c r="C302" s="9"/>
      <c r="D302" s="9"/>
      <c r="E302" s="9"/>
      <c r="F302" s="9"/>
      <c r="G302" s="71" t="s">
        <v>0</v>
      </c>
      <c r="H302" s="71"/>
      <c r="I302" s="71"/>
      <c r="J302" s="72"/>
      <c r="K302" s="72"/>
      <c r="L302" s="310"/>
      <c r="M302" s="307"/>
      <c r="N302" s="12" t="s">
        <v>183</v>
      </c>
      <c r="O302" s="13"/>
      <c r="P302" s="13"/>
      <c r="Q302" s="14"/>
      <c r="R302" s="13"/>
      <c r="S302" s="15"/>
    </row>
    <row r="303" spans="1:254" ht="15.75" x14ac:dyDescent="0.25">
      <c r="B303" s="16" t="s">
        <v>1</v>
      </c>
      <c r="C303" s="9"/>
      <c r="D303" s="9"/>
      <c r="E303" s="17" t="s">
        <v>176</v>
      </c>
      <c r="F303" s="18" t="s">
        <v>241</v>
      </c>
      <c r="G303" s="18" t="s">
        <v>159</v>
      </c>
      <c r="H303" s="74"/>
      <c r="I303" s="74"/>
      <c r="J303" s="74" t="s">
        <v>3</v>
      </c>
      <c r="K303" s="74" t="s">
        <v>4</v>
      </c>
      <c r="L303" s="311"/>
      <c r="M303" s="308"/>
      <c r="N303" s="18" t="s">
        <v>159</v>
      </c>
      <c r="O303" s="18"/>
      <c r="P303" s="18"/>
      <c r="Q303" s="18" t="s">
        <v>3</v>
      </c>
      <c r="R303" s="18" t="s">
        <v>4</v>
      </c>
      <c r="S303" s="15"/>
    </row>
    <row r="304" spans="1:254" ht="15.75" x14ac:dyDescent="0.25">
      <c r="B304" s="19" t="s">
        <v>5</v>
      </c>
      <c r="C304" s="24" t="s">
        <v>6</v>
      </c>
      <c r="D304" s="24"/>
      <c r="E304" s="22" t="s">
        <v>133</v>
      </c>
      <c r="F304" s="75" t="s">
        <v>7</v>
      </c>
      <c r="G304" s="23" t="s">
        <v>160</v>
      </c>
      <c r="H304" s="292" t="s">
        <v>8</v>
      </c>
      <c r="I304" s="292" t="s">
        <v>9</v>
      </c>
      <c r="J304" s="292" t="s">
        <v>10</v>
      </c>
      <c r="K304" s="292" t="s">
        <v>185</v>
      </c>
      <c r="L304" s="293" t="s">
        <v>107</v>
      </c>
      <c r="M304" s="75" t="s">
        <v>12</v>
      </c>
      <c r="N304" s="23" t="s">
        <v>160</v>
      </c>
      <c r="O304" s="23" t="s">
        <v>8</v>
      </c>
      <c r="P304" s="23" t="s">
        <v>9</v>
      </c>
      <c r="Q304" s="23" t="s">
        <v>10</v>
      </c>
      <c r="R304" s="293" t="s">
        <v>11</v>
      </c>
      <c r="S304" s="15"/>
    </row>
    <row r="305" spans="2:21" ht="20.25" customHeight="1" x14ac:dyDescent="0.35">
      <c r="B305" s="16"/>
      <c r="C305" s="79"/>
      <c r="D305" s="3"/>
      <c r="E305" s="128"/>
      <c r="F305" s="285"/>
      <c r="G305" s="23" t="s">
        <v>234</v>
      </c>
      <c r="H305" s="284"/>
      <c r="I305" s="284"/>
      <c r="J305" s="284"/>
      <c r="K305" s="76" t="s">
        <v>113</v>
      </c>
      <c r="L305" s="78"/>
      <c r="M305" s="309"/>
      <c r="N305" s="23" t="s">
        <v>234</v>
      </c>
      <c r="O305" s="295"/>
      <c r="P305" s="295"/>
      <c r="Q305" s="295"/>
      <c r="R305" s="275" t="s">
        <v>113</v>
      </c>
      <c r="S305" s="15"/>
    </row>
    <row r="306" spans="2:21" ht="18" x14ac:dyDescent="0.25">
      <c r="B306" s="33" t="s">
        <v>122</v>
      </c>
      <c r="C306" s="9" t="s">
        <v>121</v>
      </c>
      <c r="D306" s="3"/>
      <c r="E306" s="34">
        <v>7.5</v>
      </c>
      <c r="F306" s="192"/>
      <c r="G306" s="55"/>
      <c r="H306" s="55"/>
      <c r="I306" s="55"/>
      <c r="J306" s="55"/>
      <c r="K306" s="55"/>
      <c r="L306" s="32"/>
      <c r="M306" s="32"/>
      <c r="N306" s="35"/>
      <c r="O306" s="35"/>
      <c r="P306" s="35"/>
      <c r="Q306" s="35"/>
      <c r="R306" s="35"/>
      <c r="S306" s="15"/>
    </row>
    <row r="307" spans="2:21" ht="18" x14ac:dyDescent="0.25">
      <c r="B307" s="6"/>
      <c r="C307" s="3" t="s">
        <v>40</v>
      </c>
      <c r="D307" s="3"/>
      <c r="E307" s="34"/>
      <c r="F307" s="85">
        <f>518+765</f>
        <v>1283</v>
      </c>
      <c r="G307" s="55"/>
      <c r="H307" s="55"/>
      <c r="I307" s="55"/>
      <c r="J307" s="55"/>
      <c r="K307" s="55"/>
      <c r="L307" s="32"/>
      <c r="M307" s="32"/>
      <c r="N307" s="35"/>
      <c r="O307" s="35"/>
      <c r="P307" s="35"/>
      <c r="Q307" s="35"/>
      <c r="R307" s="35"/>
      <c r="S307" s="15"/>
    </row>
    <row r="308" spans="2:21" ht="18" x14ac:dyDescent="0.25">
      <c r="B308" s="6"/>
      <c r="C308" s="3" t="s">
        <v>59</v>
      </c>
      <c r="D308" s="3"/>
      <c r="E308" s="34"/>
      <c r="F308" s="91">
        <v>712.4</v>
      </c>
      <c r="G308" s="55"/>
      <c r="H308" s="55"/>
      <c r="I308" s="55"/>
      <c r="J308" s="55"/>
      <c r="K308" s="55"/>
      <c r="L308" s="32"/>
      <c r="M308" s="32"/>
      <c r="N308" s="35"/>
      <c r="O308" s="35"/>
      <c r="P308" s="35"/>
      <c r="Q308" s="35"/>
      <c r="R308" s="35"/>
      <c r="S308" s="15"/>
    </row>
    <row r="309" spans="2:21" ht="18" x14ac:dyDescent="0.25">
      <c r="B309" s="6"/>
      <c r="C309" s="3" t="s">
        <v>54</v>
      </c>
      <c r="D309" s="3"/>
      <c r="E309" s="34"/>
      <c r="F309" s="92">
        <f>1710+950.4-F307-F308</f>
        <v>665.00000000000011</v>
      </c>
      <c r="G309" s="55"/>
      <c r="H309" s="55"/>
      <c r="I309" s="55"/>
      <c r="J309" s="55"/>
      <c r="K309" s="55"/>
      <c r="L309" s="32"/>
      <c r="M309" s="32" t="s">
        <v>158</v>
      </c>
      <c r="N309" s="35"/>
      <c r="O309" s="35"/>
      <c r="P309" s="35"/>
      <c r="Q309" s="35"/>
      <c r="R309" s="35"/>
      <c r="S309" s="15"/>
    </row>
    <row r="310" spans="2:21" ht="18" x14ac:dyDescent="0.25">
      <c r="B310" s="33"/>
      <c r="C310" s="3" t="s">
        <v>31</v>
      </c>
      <c r="D310" s="3"/>
      <c r="E310" s="34"/>
      <c r="F310" s="85">
        <f>SUM(F307:F309)</f>
        <v>2660.4</v>
      </c>
      <c r="G310" s="55">
        <f>+N295</f>
        <v>0.38492169224388734</v>
      </c>
      <c r="H310" s="55">
        <f>+O295</f>
        <v>0.11918262254333459</v>
      </c>
      <c r="I310" s="55">
        <f>+P295</f>
        <v>6.6188886133631789E-2</v>
      </c>
      <c r="J310" s="55">
        <f>+Q295</f>
        <v>0.19145770739934539</v>
      </c>
      <c r="K310" s="55">
        <f>+R295</f>
        <v>0.23824620080948886</v>
      </c>
      <c r="L310" s="83" t="s">
        <v>111</v>
      </c>
      <c r="M310" s="4" t="s">
        <v>133</v>
      </c>
      <c r="N310" s="38">
        <f>$F310*G310</f>
        <v>1024.045670045638</v>
      </c>
      <c r="O310" s="38">
        <f>$F310*H310</f>
        <v>317.07344901428735</v>
      </c>
      <c r="P310" s="38">
        <f>$F310*I310</f>
        <v>176.08891266991401</v>
      </c>
      <c r="Q310" s="38">
        <f>$F310*J310</f>
        <v>509.35408476521849</v>
      </c>
      <c r="R310" s="38">
        <f>$F310*K310</f>
        <v>633.83019263356414</v>
      </c>
      <c r="S310" s="15"/>
      <c r="U310" s="398">
        <f>SUM(N310:R310)</f>
        <v>2660.3923091286215</v>
      </c>
    </row>
    <row r="311" spans="2:21" ht="11.25" customHeight="1" x14ac:dyDescent="0.25">
      <c r="B311" s="6"/>
      <c r="C311" s="3"/>
      <c r="D311" s="3"/>
      <c r="E311" s="34"/>
      <c r="F311" s="192"/>
      <c r="G311" s="55"/>
      <c r="H311" s="55"/>
      <c r="I311" s="55"/>
      <c r="J311" s="55"/>
      <c r="K311" s="55"/>
      <c r="L311" s="32"/>
      <c r="M311" s="32"/>
      <c r="N311" s="35"/>
      <c r="O311" s="35"/>
      <c r="P311" s="35"/>
      <c r="Q311" s="35"/>
      <c r="R311" s="35"/>
      <c r="S311" s="15"/>
    </row>
    <row r="312" spans="2:21" ht="18" x14ac:dyDescent="0.25">
      <c r="B312" s="33">
        <v>1221</v>
      </c>
      <c r="C312" s="9" t="s">
        <v>91</v>
      </c>
      <c r="D312" s="3"/>
      <c r="E312" s="34">
        <v>5</v>
      </c>
      <c r="F312" s="192"/>
      <c r="G312" s="55"/>
      <c r="H312" s="55"/>
      <c r="I312" s="55"/>
      <c r="J312" s="55"/>
      <c r="K312" s="55"/>
      <c r="L312" s="32"/>
      <c r="M312" s="32"/>
      <c r="N312" s="35"/>
      <c r="O312" s="35"/>
      <c r="P312" s="35"/>
      <c r="Q312" s="35"/>
      <c r="R312" s="35"/>
      <c r="S312" s="15"/>
    </row>
    <row r="313" spans="2:21" ht="18" x14ac:dyDescent="0.25">
      <c r="B313" s="6"/>
      <c r="C313" s="3" t="s">
        <v>15</v>
      </c>
      <c r="D313" s="3"/>
      <c r="E313" s="34"/>
      <c r="F313" s="85">
        <v>264.75</v>
      </c>
      <c r="G313" s="55"/>
      <c r="H313" s="55"/>
      <c r="I313" s="55"/>
      <c r="J313" s="55"/>
      <c r="K313" s="55"/>
      <c r="L313" s="32"/>
      <c r="M313" s="32"/>
      <c r="N313" s="35"/>
      <c r="O313" s="35"/>
      <c r="P313" s="35"/>
      <c r="Q313" s="35"/>
      <c r="R313" s="35"/>
      <c r="S313" s="15"/>
    </row>
    <row r="314" spans="2:21" ht="18" x14ac:dyDescent="0.25">
      <c r="B314" s="6"/>
      <c r="C314" s="3" t="s">
        <v>92</v>
      </c>
      <c r="D314" s="3"/>
      <c r="E314" s="34"/>
      <c r="F314" s="91">
        <v>1124.4000000000001</v>
      </c>
      <c r="G314" s="55"/>
      <c r="H314" s="55"/>
      <c r="I314" s="55"/>
      <c r="J314" s="55"/>
      <c r="K314" s="55"/>
      <c r="L314" s="32"/>
      <c r="M314" s="32"/>
      <c r="N314" s="35"/>
      <c r="O314" s="35"/>
      <c r="P314" s="35"/>
      <c r="Q314" s="35"/>
      <c r="R314" s="35"/>
      <c r="S314" s="15"/>
    </row>
    <row r="315" spans="2:21" ht="18" x14ac:dyDescent="0.25">
      <c r="B315" s="6"/>
      <c r="C315" s="3" t="s">
        <v>27</v>
      </c>
      <c r="D315" s="3"/>
      <c r="E315" s="34"/>
      <c r="F315" s="92">
        <v>169.4</v>
      </c>
      <c r="G315" s="55"/>
      <c r="H315" s="55"/>
      <c r="I315" s="55"/>
      <c r="J315" s="55"/>
      <c r="K315" s="55"/>
      <c r="L315" s="32"/>
      <c r="M315" s="32" t="s">
        <v>158</v>
      </c>
      <c r="N315" s="35"/>
      <c r="O315" s="35"/>
      <c r="P315" s="35"/>
      <c r="Q315" s="35"/>
      <c r="R315" s="35"/>
      <c r="S315" s="15"/>
    </row>
    <row r="316" spans="2:21" ht="18" x14ac:dyDescent="0.25">
      <c r="B316" s="33"/>
      <c r="C316" s="3" t="s">
        <v>31</v>
      </c>
      <c r="D316" s="3"/>
      <c r="E316" s="34"/>
      <c r="F316" s="85">
        <f>SUM(F313:F315)</f>
        <v>1558.5500000000002</v>
      </c>
      <c r="G316" s="55">
        <f>G310</f>
        <v>0.38492169224388734</v>
      </c>
      <c r="H316" s="55">
        <f>H310</f>
        <v>0.11918262254333459</v>
      </c>
      <c r="I316" s="55">
        <f>I310</f>
        <v>6.6188886133631789E-2</v>
      </c>
      <c r="J316" s="55">
        <f>J310</f>
        <v>0.19145770739934539</v>
      </c>
      <c r="K316" s="55">
        <f>K310</f>
        <v>0.23824620080948886</v>
      </c>
      <c r="L316" s="83" t="s">
        <v>111</v>
      </c>
      <c r="M316" s="4" t="s">
        <v>133</v>
      </c>
      <c r="N316" s="38">
        <f>$F316*G316</f>
        <v>599.91970344671063</v>
      </c>
      <c r="O316" s="38">
        <f>$F316*H316</f>
        <v>185.75207636491413</v>
      </c>
      <c r="P316" s="38">
        <f>$F316*I316</f>
        <v>103.15868848357184</v>
      </c>
      <c r="Q316" s="38">
        <f>$F316*J316</f>
        <v>298.39640986724982</v>
      </c>
      <c r="R316" s="38">
        <f>$F316*K316</f>
        <v>371.31861627162891</v>
      </c>
      <c r="S316" s="15"/>
      <c r="U316" s="398">
        <f>SUM(N316:R316)</f>
        <v>1558.5454944340754</v>
      </c>
    </row>
    <row r="317" spans="2:21" ht="11.25" customHeight="1" x14ac:dyDescent="0.25">
      <c r="B317" s="6"/>
      <c r="C317" s="3"/>
      <c r="D317" s="3"/>
      <c r="E317" s="34"/>
      <c r="F317" s="192"/>
      <c r="G317" s="55"/>
      <c r="H317" s="55"/>
      <c r="I317" s="55"/>
      <c r="J317" s="55"/>
      <c r="K317" s="55"/>
      <c r="L317" s="32"/>
      <c r="M317" s="32"/>
      <c r="N317" s="35"/>
      <c r="O317" s="35"/>
      <c r="P317" s="35"/>
      <c r="Q317" s="35"/>
      <c r="R317" s="35"/>
      <c r="S317" s="15"/>
    </row>
    <row r="318" spans="2:21" ht="18" x14ac:dyDescent="0.25">
      <c r="B318" s="33">
        <v>1231</v>
      </c>
      <c r="C318" s="9" t="s">
        <v>61</v>
      </c>
      <c r="D318" s="3"/>
      <c r="E318" s="34">
        <v>3</v>
      </c>
      <c r="F318" s="192"/>
      <c r="G318" s="55"/>
      <c r="H318" s="55"/>
      <c r="I318" s="55"/>
      <c r="J318" s="55"/>
      <c r="K318" s="55"/>
      <c r="L318" s="32"/>
      <c r="M318" s="32"/>
      <c r="N318" s="35"/>
      <c r="O318" s="35"/>
      <c r="P318" s="35"/>
      <c r="Q318" s="35"/>
      <c r="R318" s="35"/>
      <c r="S318" s="15"/>
    </row>
    <row r="319" spans="2:21" ht="18" x14ac:dyDescent="0.25">
      <c r="B319" s="6"/>
      <c r="C319" s="3" t="s">
        <v>15</v>
      </c>
      <c r="D319" s="3"/>
      <c r="E319" s="34"/>
      <c r="F319" s="85">
        <v>229.4</v>
      </c>
      <c r="G319" s="55"/>
      <c r="H319" s="55"/>
      <c r="I319" s="55"/>
      <c r="J319" s="55"/>
      <c r="K319" s="55"/>
      <c r="L319" s="32"/>
      <c r="M319" s="32"/>
      <c r="N319" s="35"/>
      <c r="O319" s="35"/>
      <c r="P319" s="35"/>
      <c r="Q319" s="35"/>
      <c r="R319" s="35"/>
      <c r="S319" s="15"/>
    </row>
    <row r="320" spans="2:21" ht="18" x14ac:dyDescent="0.25">
      <c r="B320" s="6"/>
      <c r="C320" s="3" t="s">
        <v>92</v>
      </c>
      <c r="D320" s="3"/>
      <c r="E320" s="34"/>
      <c r="F320" s="91">
        <v>3069.4</v>
      </c>
      <c r="G320" s="55"/>
      <c r="H320" s="55"/>
      <c r="I320" s="55"/>
      <c r="J320" s="55"/>
      <c r="K320" s="55"/>
      <c r="L320" s="32"/>
      <c r="M320" s="32"/>
      <c r="N320" s="35"/>
      <c r="O320" s="35"/>
      <c r="P320" s="35"/>
      <c r="Q320" s="35"/>
      <c r="R320" s="35"/>
      <c r="S320" s="15"/>
    </row>
    <row r="321" spans="1:254" ht="18" x14ac:dyDescent="0.25">
      <c r="B321" s="6"/>
      <c r="C321" s="3" t="s">
        <v>27</v>
      </c>
      <c r="D321" s="3"/>
      <c r="E321" s="34"/>
      <c r="F321" s="92">
        <f>3364.848-F319-F320</f>
        <v>66.047999999999774</v>
      </c>
      <c r="G321" s="55"/>
      <c r="H321" s="55"/>
      <c r="I321" s="55"/>
      <c r="J321" s="55"/>
      <c r="K321" s="55"/>
      <c r="L321" s="32"/>
      <c r="M321" s="32" t="s">
        <v>158</v>
      </c>
      <c r="N321" s="35"/>
      <c r="O321" s="35"/>
      <c r="P321" s="35"/>
      <c r="Q321" s="35"/>
      <c r="R321" s="35"/>
      <c r="S321" s="15"/>
    </row>
    <row r="322" spans="1:254" ht="18" x14ac:dyDescent="0.25">
      <c r="B322" s="33"/>
      <c r="C322" s="3" t="s">
        <v>31</v>
      </c>
      <c r="D322" s="3"/>
      <c r="E322" s="34"/>
      <c r="F322" s="85">
        <f>SUM(F319:F321)</f>
        <v>3364.848</v>
      </c>
      <c r="G322" s="55">
        <f>G316</f>
        <v>0.38492169224388734</v>
      </c>
      <c r="H322" s="55">
        <f>H316</f>
        <v>0.11918262254333459</v>
      </c>
      <c r="I322" s="55">
        <f>I316</f>
        <v>6.6188886133631789E-2</v>
      </c>
      <c r="J322" s="55">
        <f>J316</f>
        <v>0.19145770739934539</v>
      </c>
      <c r="K322" s="55">
        <f>K316</f>
        <v>0.23824620080948886</v>
      </c>
      <c r="L322" s="83" t="s">
        <v>111</v>
      </c>
      <c r="M322" s="4" t="s">
        <v>133</v>
      </c>
      <c r="N322" s="38">
        <f>$F322*G322</f>
        <v>1295.2029863034597</v>
      </c>
      <c r="O322" s="38">
        <f>$F322*H322</f>
        <v>401.03140909969432</v>
      </c>
      <c r="P322" s="38">
        <f>$F322*I322</f>
        <v>222.71554112897866</v>
      </c>
      <c r="Q322" s="38">
        <f>$F322*J322</f>
        <v>644.22608382727253</v>
      </c>
      <c r="R322" s="38">
        <f>$F322*K322</f>
        <v>801.66225230140697</v>
      </c>
      <c r="S322" s="15"/>
      <c r="U322" s="398">
        <f>SUM(N322:R322)</f>
        <v>3364.838272660812</v>
      </c>
    </row>
    <row r="323" spans="1:254" ht="9.75" customHeight="1" x14ac:dyDescent="0.25">
      <c r="B323" s="6"/>
      <c r="C323" s="3"/>
      <c r="D323" s="3"/>
      <c r="E323" s="34"/>
      <c r="F323" s="85"/>
      <c r="G323" s="55"/>
      <c r="H323" s="55"/>
      <c r="I323" s="55"/>
      <c r="J323" s="55"/>
      <c r="K323" s="55"/>
      <c r="L323" s="32"/>
      <c r="M323" s="32"/>
      <c r="N323" s="35"/>
      <c r="O323" s="35"/>
      <c r="P323" s="35"/>
      <c r="Q323" s="35"/>
      <c r="R323" s="35"/>
      <c r="S323" s="15"/>
    </row>
    <row r="324" spans="1:254" ht="30.75" x14ac:dyDescent="0.25">
      <c r="B324" s="33">
        <v>1651</v>
      </c>
      <c r="C324" s="9" t="s">
        <v>99</v>
      </c>
      <c r="D324" s="3"/>
      <c r="E324" s="34">
        <v>1</v>
      </c>
      <c r="F324" s="85">
        <v>822.8</v>
      </c>
      <c r="G324" s="55">
        <f>+N292</f>
        <v>0.36868739653195204</v>
      </c>
      <c r="H324" s="55">
        <f>+O292</f>
        <v>0.10677217559244044</v>
      </c>
      <c r="I324" s="55">
        <f>+P292</f>
        <v>6.3611610590137799E-2</v>
      </c>
      <c r="J324" s="55">
        <f>+Q292</f>
        <v>0.2250563955536086</v>
      </c>
      <c r="K324" s="55">
        <f>+R292</f>
        <v>0.23586936794935121</v>
      </c>
      <c r="L324" s="32" t="s">
        <v>111</v>
      </c>
      <c r="M324" s="32" t="s">
        <v>60</v>
      </c>
      <c r="N324" s="38">
        <f>$F324*G324</f>
        <v>303.35598986649012</v>
      </c>
      <c r="O324" s="38">
        <f>$F324*H324</f>
        <v>87.852146077459992</v>
      </c>
      <c r="P324" s="38">
        <f>$F324*I324</f>
        <v>52.339633193565376</v>
      </c>
      <c r="Q324" s="38">
        <f>$F324*J324</f>
        <v>185.17640226150914</v>
      </c>
      <c r="R324" s="38">
        <f>$F324*K324</f>
        <v>194.07331594872616</v>
      </c>
      <c r="S324" s="15"/>
      <c r="U324" s="398">
        <f>SUM(N324:R324)</f>
        <v>822.7974873477508</v>
      </c>
    </row>
    <row r="325" spans="1:254" ht="12.75" customHeight="1" x14ac:dyDescent="0.25">
      <c r="B325" s="6"/>
      <c r="C325" s="3"/>
      <c r="D325" s="3"/>
      <c r="E325" s="34"/>
      <c r="F325" s="192"/>
      <c r="G325" s="55"/>
      <c r="H325" s="55"/>
      <c r="I325" s="55"/>
      <c r="J325" s="55"/>
      <c r="K325" s="55"/>
      <c r="L325" s="32"/>
      <c r="M325" s="32"/>
      <c r="N325" s="35"/>
      <c r="O325" s="35"/>
      <c r="P325" s="35"/>
      <c r="Q325" s="35"/>
      <c r="R325" s="35"/>
      <c r="S325" s="15"/>
    </row>
    <row r="326" spans="1:254" ht="30.75" x14ac:dyDescent="0.25">
      <c r="B326" s="33">
        <v>1631</v>
      </c>
      <c r="C326" s="9" t="s">
        <v>93</v>
      </c>
      <c r="D326" s="3"/>
      <c r="E326" s="34"/>
      <c r="F326" s="85">
        <v>1500</v>
      </c>
      <c r="G326" s="55">
        <f>+N292</f>
        <v>0.36868739653195204</v>
      </c>
      <c r="H326" s="55">
        <f>+O292</f>
        <v>0.10677217559244044</v>
      </c>
      <c r="I326" s="55">
        <f>+P292</f>
        <v>6.3611610590137799E-2</v>
      </c>
      <c r="J326" s="55">
        <f>+Q292</f>
        <v>0.2250563955536086</v>
      </c>
      <c r="K326" s="55">
        <f>+R292</f>
        <v>0.23586936794935121</v>
      </c>
      <c r="L326" s="32" t="s">
        <v>111</v>
      </c>
      <c r="M326" s="32" t="s">
        <v>60</v>
      </c>
      <c r="N326" s="38">
        <f>$F326*G326</f>
        <v>553.03109479792806</v>
      </c>
      <c r="O326" s="38">
        <f>$F326*H326</f>
        <v>160.15826338866066</v>
      </c>
      <c r="P326" s="38">
        <f>$F326*I326</f>
        <v>95.417415885206694</v>
      </c>
      <c r="Q326" s="38">
        <f>$F326*J326</f>
        <v>337.58459333041287</v>
      </c>
      <c r="R326" s="38">
        <f>$F326*K326</f>
        <v>353.80405192402679</v>
      </c>
      <c r="S326" s="15"/>
      <c r="U326" s="398">
        <f>SUM(N326:R326)</f>
        <v>1499.9954193262352</v>
      </c>
    </row>
    <row r="327" spans="1:254" ht="9.75" customHeight="1" x14ac:dyDescent="0.25">
      <c r="B327" s="6"/>
      <c r="C327" s="3"/>
      <c r="D327" s="3"/>
      <c r="E327" s="34"/>
      <c r="F327" s="192"/>
      <c r="G327" s="55"/>
      <c r="H327" s="55"/>
      <c r="I327" s="55"/>
      <c r="J327" s="55"/>
      <c r="K327" s="55"/>
      <c r="L327" s="32"/>
      <c r="M327" s="32"/>
      <c r="N327" s="35"/>
      <c r="O327" s="35"/>
      <c r="P327" s="35"/>
      <c r="Q327" s="35"/>
      <c r="R327" s="35"/>
      <c r="S327" s="15"/>
    </row>
    <row r="328" spans="1:254" ht="18" x14ac:dyDescent="0.25">
      <c r="B328" s="33">
        <v>1231</v>
      </c>
      <c r="C328" s="9" t="s">
        <v>95</v>
      </c>
      <c r="D328" s="3"/>
      <c r="E328" s="34"/>
      <c r="F328" s="192"/>
      <c r="G328" s="55"/>
      <c r="H328" s="55"/>
      <c r="I328" s="55"/>
      <c r="J328" s="55"/>
      <c r="K328" s="55"/>
      <c r="L328" s="32"/>
      <c r="M328" s="32"/>
      <c r="N328" s="35"/>
      <c r="O328" s="35"/>
      <c r="P328" s="35"/>
      <c r="Q328" s="35"/>
      <c r="R328" s="35"/>
      <c r="S328" s="15"/>
    </row>
    <row r="329" spans="1:254" ht="18" x14ac:dyDescent="0.25">
      <c r="B329" s="6"/>
      <c r="C329" s="3" t="s">
        <v>96</v>
      </c>
      <c r="D329" s="3"/>
      <c r="E329" s="34"/>
      <c r="F329" s="193">
        <v>-200</v>
      </c>
      <c r="G329" s="55"/>
      <c r="H329" s="55"/>
      <c r="I329" s="55"/>
      <c r="J329" s="55"/>
      <c r="K329" s="55"/>
      <c r="L329" s="32"/>
      <c r="M329" s="32"/>
      <c r="N329" s="35"/>
      <c r="O329" s="35"/>
      <c r="P329" s="35"/>
      <c r="Q329" s="35"/>
      <c r="R329" s="35"/>
      <c r="S329" s="15"/>
    </row>
    <row r="330" spans="1:254" ht="18" x14ac:dyDescent="0.25">
      <c r="B330" s="6"/>
      <c r="C330" s="3" t="s">
        <v>97</v>
      </c>
      <c r="D330" s="3"/>
      <c r="E330" s="34"/>
      <c r="F330" s="194">
        <v>-100</v>
      </c>
      <c r="G330" s="55"/>
      <c r="H330" s="55"/>
      <c r="I330" s="55"/>
      <c r="J330" s="55"/>
      <c r="K330" s="55"/>
      <c r="L330" s="32"/>
      <c r="M330" s="32" t="s">
        <v>156</v>
      </c>
      <c r="N330" s="35"/>
      <c r="O330" s="35"/>
      <c r="P330" s="35"/>
      <c r="Q330" s="35"/>
      <c r="R330" s="35"/>
      <c r="S330" s="15"/>
    </row>
    <row r="331" spans="1:254" ht="18" x14ac:dyDescent="0.25">
      <c r="B331" s="6"/>
      <c r="C331" s="3"/>
      <c r="D331" s="3"/>
      <c r="E331" s="410"/>
      <c r="F331" s="193">
        <f>SUM(F329:F330)</f>
        <v>-300</v>
      </c>
      <c r="G331" s="55">
        <f>+N292</f>
        <v>0.36868739653195204</v>
      </c>
      <c r="H331" s="55">
        <f>+O292</f>
        <v>0.10677217559244044</v>
      </c>
      <c r="I331" s="55">
        <f>+P292</f>
        <v>6.3611610590137799E-2</v>
      </c>
      <c r="J331" s="55">
        <f>+Q292</f>
        <v>0.2250563955536086</v>
      </c>
      <c r="K331" s="55">
        <f>+R292</f>
        <v>0.23586936794935121</v>
      </c>
      <c r="L331" s="32" t="s">
        <v>111</v>
      </c>
      <c r="M331" s="32" t="s">
        <v>157</v>
      </c>
      <c r="N331" s="38">
        <f>$F331*G331</f>
        <v>-110.60621895958562</v>
      </c>
      <c r="O331" s="38">
        <f>$F331*H331</f>
        <v>-32.031652677732133</v>
      </c>
      <c r="P331" s="38">
        <f>$F331*I331</f>
        <v>-19.083483177041341</v>
      </c>
      <c r="Q331" s="38">
        <f>$F331*J331</f>
        <v>-67.516918666082574</v>
      </c>
      <c r="R331" s="38">
        <f>$F331*K331</f>
        <v>-70.760810384805367</v>
      </c>
      <c r="S331" s="15"/>
    </row>
    <row r="332" spans="1:254" ht="12.75" customHeight="1" x14ac:dyDescent="0.25">
      <c r="B332" s="33"/>
      <c r="C332" s="3"/>
      <c r="D332" s="3"/>
      <c r="E332" s="34"/>
      <c r="F332" s="192"/>
      <c r="G332" s="55"/>
      <c r="H332" s="55"/>
      <c r="I332" s="55"/>
      <c r="J332" s="55"/>
      <c r="K332" s="55"/>
      <c r="L332" s="32"/>
      <c r="M332" s="32"/>
      <c r="N332" s="35"/>
      <c r="O332" s="35"/>
      <c r="P332" s="35"/>
      <c r="Q332" s="35"/>
      <c r="R332" s="35"/>
      <c r="S332" s="15"/>
    </row>
    <row r="333" spans="1:254" ht="18" x14ac:dyDescent="0.25">
      <c r="A333" s="195"/>
      <c r="B333" s="196" t="s">
        <v>62</v>
      </c>
      <c r="C333" s="197"/>
      <c r="D333" s="197"/>
      <c r="E333" s="198">
        <f>+E318+E312+E306+E286+E284+E236+E176+E114+E324</f>
        <v>303</v>
      </c>
      <c r="F333" s="93">
        <f>F291+F310+F316+F322+F324+F331+F326+F130</f>
        <v>109914.30899999998</v>
      </c>
      <c r="G333" s="55"/>
      <c r="H333" s="55"/>
      <c r="I333" s="55"/>
      <c r="J333" s="55"/>
      <c r="K333" s="55"/>
      <c r="L333" s="199"/>
      <c r="M333" s="200"/>
      <c r="N333" s="39">
        <f>N291+N310+N316+N322+N324+N326+N331</f>
        <v>40647.13804617009</v>
      </c>
      <c r="O333" s="39">
        <f>O291+O310+O316+O322+O324+O326+O331</f>
        <v>11829.908223435052</v>
      </c>
      <c r="P333" s="39">
        <f>P291+P310+P316+P322+P324+P326+P331</f>
        <v>7011.3717595042754</v>
      </c>
      <c r="Q333" s="39">
        <f>Q291+Q310+Q316+Q322+Q324+Q326+Q331</f>
        <v>24482.112539278634</v>
      </c>
      <c r="R333" s="39">
        <f>R291+R310+R316+R322+R324+R326+R331</f>
        <v>25943.444012710726</v>
      </c>
      <c r="S333" s="35"/>
      <c r="T333" s="195"/>
      <c r="U333" s="398">
        <f>SUM(N333:R333)</f>
        <v>109913.97458109878</v>
      </c>
      <c r="V333" s="195"/>
      <c r="W333" s="195"/>
      <c r="X333" s="195"/>
      <c r="Y333" s="195"/>
      <c r="Z333" s="195"/>
      <c r="AA333" s="195"/>
      <c r="AB333" s="195"/>
      <c r="AC333" s="195"/>
      <c r="AD333" s="195"/>
      <c r="AE333" s="195"/>
      <c r="AF333" s="195"/>
      <c r="AG333" s="195"/>
      <c r="AH333" s="195"/>
      <c r="AI333" s="195"/>
      <c r="AJ333" s="195"/>
      <c r="AK333" s="195"/>
      <c r="AL333" s="195"/>
      <c r="AM333" s="195"/>
      <c r="AN333" s="195"/>
      <c r="AO333" s="195"/>
      <c r="AP333" s="195"/>
      <c r="AQ333" s="195"/>
      <c r="AR333" s="195"/>
      <c r="AS333" s="195"/>
      <c r="AT333" s="195"/>
      <c r="AU333" s="195"/>
      <c r="AV333" s="195"/>
      <c r="AW333" s="195"/>
      <c r="AX333" s="195"/>
      <c r="AY333" s="195"/>
      <c r="AZ333" s="195"/>
      <c r="BA333" s="195"/>
      <c r="BB333" s="195"/>
      <c r="BC333" s="195"/>
      <c r="BD333" s="195"/>
      <c r="BE333" s="195"/>
      <c r="BF333" s="195"/>
      <c r="BG333" s="195"/>
      <c r="BH333" s="195"/>
      <c r="BI333" s="195"/>
      <c r="BJ333" s="195"/>
      <c r="BK333" s="195"/>
      <c r="BL333" s="195"/>
      <c r="BM333" s="195"/>
      <c r="BN333" s="195"/>
      <c r="BO333" s="195"/>
      <c r="BP333" s="195"/>
      <c r="BQ333" s="195"/>
      <c r="BR333" s="195"/>
      <c r="BS333" s="195"/>
      <c r="BT333" s="195"/>
      <c r="BU333" s="195"/>
      <c r="BV333" s="195"/>
      <c r="BW333" s="195"/>
      <c r="BX333" s="195"/>
      <c r="BY333" s="195"/>
      <c r="BZ333" s="195"/>
      <c r="CA333" s="195"/>
      <c r="CB333" s="195"/>
      <c r="CC333" s="195"/>
      <c r="CD333" s="195"/>
      <c r="CE333" s="195"/>
      <c r="CF333" s="195"/>
      <c r="CG333" s="195"/>
      <c r="CH333" s="195"/>
      <c r="CI333" s="195"/>
      <c r="CJ333" s="195"/>
      <c r="CK333" s="195"/>
      <c r="CL333" s="195"/>
      <c r="CM333" s="195"/>
      <c r="CN333" s="195"/>
      <c r="CO333" s="195"/>
      <c r="CP333" s="195"/>
      <c r="CQ333" s="195"/>
      <c r="CR333" s="195"/>
      <c r="CS333" s="195"/>
      <c r="CT333" s="195"/>
      <c r="CU333" s="195"/>
      <c r="CV333" s="195"/>
      <c r="CW333" s="195"/>
      <c r="CX333" s="195"/>
      <c r="CY333" s="195"/>
      <c r="CZ333" s="195"/>
      <c r="DA333" s="195"/>
      <c r="DB333" s="195"/>
      <c r="DC333" s="195"/>
      <c r="DD333" s="195"/>
      <c r="DE333" s="195"/>
      <c r="DF333" s="195"/>
      <c r="DG333" s="195"/>
      <c r="DH333" s="195"/>
      <c r="DI333" s="195"/>
      <c r="DJ333" s="195"/>
      <c r="DK333" s="195"/>
      <c r="DL333" s="195"/>
      <c r="DM333" s="195"/>
      <c r="DN333" s="195"/>
      <c r="DO333" s="195"/>
      <c r="DP333" s="195"/>
      <c r="DQ333" s="195"/>
      <c r="DR333" s="195"/>
      <c r="DS333" s="195"/>
      <c r="DT333" s="195"/>
      <c r="DU333" s="195"/>
      <c r="DV333" s="195"/>
      <c r="DW333" s="195"/>
      <c r="DX333" s="195"/>
      <c r="DY333" s="195"/>
      <c r="DZ333" s="195"/>
      <c r="EA333" s="195"/>
      <c r="EB333" s="195"/>
      <c r="EC333" s="195"/>
      <c r="ED333" s="195"/>
      <c r="EE333" s="195"/>
      <c r="EF333" s="195"/>
      <c r="EG333" s="195"/>
      <c r="EH333" s="195"/>
      <c r="EI333" s="195"/>
      <c r="EJ333" s="195"/>
      <c r="EK333" s="195"/>
      <c r="EL333" s="195"/>
      <c r="EM333" s="195"/>
      <c r="EN333" s="195"/>
      <c r="EO333" s="195"/>
      <c r="EP333" s="195"/>
      <c r="EQ333" s="195"/>
      <c r="ER333" s="195"/>
      <c r="ES333" s="195"/>
      <c r="ET333" s="195"/>
      <c r="EU333" s="195"/>
      <c r="EV333" s="195"/>
      <c r="EW333" s="195"/>
      <c r="EX333" s="195"/>
      <c r="EY333" s="195"/>
      <c r="EZ333" s="195"/>
      <c r="FA333" s="195"/>
      <c r="FB333" s="195"/>
      <c r="FC333" s="195"/>
      <c r="FD333" s="195"/>
      <c r="FE333" s="195"/>
      <c r="FF333" s="195"/>
      <c r="FG333" s="195"/>
      <c r="FH333" s="195"/>
      <c r="FI333" s="195"/>
      <c r="FJ333" s="195"/>
      <c r="FK333" s="195"/>
      <c r="FL333" s="195"/>
      <c r="FM333" s="195"/>
      <c r="FN333" s="195"/>
      <c r="FO333" s="195"/>
      <c r="FP333" s="195"/>
      <c r="FQ333" s="195"/>
      <c r="FR333" s="195"/>
      <c r="FS333" s="195"/>
      <c r="FT333" s="195"/>
      <c r="FU333" s="195"/>
      <c r="FV333" s="195"/>
      <c r="FW333" s="195"/>
      <c r="FX333" s="195"/>
      <c r="FY333" s="195"/>
      <c r="FZ333" s="195"/>
      <c r="GA333" s="195"/>
      <c r="GB333" s="195"/>
      <c r="GC333" s="195"/>
      <c r="GD333" s="195"/>
      <c r="GE333" s="195"/>
      <c r="GF333" s="195"/>
      <c r="GG333" s="195"/>
      <c r="GH333" s="195"/>
      <c r="GI333" s="195"/>
      <c r="GJ333" s="195"/>
      <c r="GK333" s="195"/>
      <c r="GL333" s="195"/>
      <c r="GM333" s="195"/>
      <c r="GN333" s="195"/>
      <c r="GO333" s="195"/>
      <c r="GP333" s="195"/>
      <c r="GQ333" s="195"/>
      <c r="GR333" s="195"/>
      <c r="GS333" s="195"/>
      <c r="GT333" s="195"/>
      <c r="GU333" s="195"/>
      <c r="GV333" s="195"/>
      <c r="GW333" s="195"/>
      <c r="GX333" s="195"/>
      <c r="GY333" s="195"/>
      <c r="GZ333" s="195"/>
      <c r="HA333" s="195"/>
      <c r="HB333" s="195"/>
      <c r="HC333" s="195"/>
      <c r="HD333" s="195"/>
      <c r="HE333" s="195"/>
      <c r="HF333" s="195"/>
      <c r="HG333" s="195"/>
      <c r="HH333" s="195"/>
      <c r="HI333" s="195"/>
      <c r="HJ333" s="195"/>
      <c r="HK333" s="195"/>
      <c r="HL333" s="195"/>
      <c r="HM333" s="195"/>
      <c r="HN333" s="195"/>
      <c r="HO333" s="195"/>
      <c r="HP333" s="195"/>
      <c r="HQ333" s="195"/>
      <c r="HR333" s="195"/>
      <c r="HS333" s="195"/>
      <c r="HT333" s="195"/>
      <c r="HU333" s="195"/>
      <c r="HV333" s="195"/>
      <c r="HW333" s="195"/>
      <c r="HX333" s="195"/>
      <c r="HY333" s="195"/>
      <c r="HZ333" s="195"/>
      <c r="IA333" s="195"/>
      <c r="IB333" s="195"/>
      <c r="IC333" s="195"/>
      <c r="ID333" s="195"/>
      <c r="IE333" s="195"/>
      <c r="IF333" s="195"/>
      <c r="IG333" s="195"/>
      <c r="IH333" s="195"/>
      <c r="II333" s="195"/>
      <c r="IJ333" s="195"/>
      <c r="IK333" s="195"/>
      <c r="IL333" s="195"/>
      <c r="IM333" s="195"/>
      <c r="IN333" s="195"/>
      <c r="IO333" s="195"/>
      <c r="IP333" s="195"/>
      <c r="IQ333" s="195"/>
      <c r="IR333" s="195"/>
      <c r="IS333" s="195"/>
      <c r="IT333" s="195"/>
    </row>
    <row r="334" spans="1:254" ht="7.5" customHeight="1" x14ac:dyDescent="0.25">
      <c r="A334" s="201"/>
      <c r="B334" s="202"/>
      <c r="C334" s="203"/>
      <c r="D334" s="203"/>
      <c r="E334" s="34"/>
      <c r="F334" s="85"/>
      <c r="G334" s="55"/>
      <c r="H334" s="55"/>
      <c r="I334" s="55"/>
      <c r="J334" s="55"/>
      <c r="K334" s="55"/>
      <c r="L334" s="199"/>
      <c r="M334" s="199"/>
      <c r="N334" s="35"/>
      <c r="O334" s="35"/>
      <c r="P334" s="35"/>
      <c r="Q334" s="35"/>
      <c r="R334" s="35"/>
      <c r="S334" s="35"/>
      <c r="T334" s="195"/>
      <c r="U334" s="195"/>
      <c r="V334" s="195"/>
      <c r="W334" s="195"/>
      <c r="X334" s="195"/>
      <c r="Y334" s="195"/>
      <c r="Z334" s="195"/>
      <c r="AA334" s="195"/>
      <c r="AB334" s="195"/>
      <c r="AC334" s="195"/>
      <c r="AD334" s="195"/>
      <c r="AE334" s="195"/>
      <c r="AF334" s="195"/>
      <c r="AG334" s="195"/>
      <c r="AH334" s="195"/>
      <c r="AI334" s="195"/>
      <c r="AJ334" s="195"/>
      <c r="AK334" s="195"/>
      <c r="AL334" s="195"/>
      <c r="AM334" s="195"/>
      <c r="AN334" s="195"/>
      <c r="AO334" s="195"/>
      <c r="AP334" s="195"/>
      <c r="AQ334" s="195"/>
      <c r="AR334" s="195"/>
      <c r="AS334" s="195"/>
      <c r="AT334" s="195"/>
      <c r="AU334" s="195"/>
      <c r="AV334" s="195"/>
      <c r="AW334" s="195"/>
      <c r="AX334" s="195"/>
      <c r="AY334" s="195"/>
      <c r="AZ334" s="195"/>
      <c r="BA334" s="195"/>
      <c r="BB334" s="195"/>
      <c r="BC334" s="195"/>
      <c r="BD334" s="195"/>
      <c r="BE334" s="195"/>
      <c r="BF334" s="195"/>
      <c r="BG334" s="195"/>
      <c r="BH334" s="195"/>
      <c r="BI334" s="195"/>
      <c r="BJ334" s="195"/>
      <c r="BK334" s="195"/>
      <c r="BL334" s="195"/>
      <c r="BM334" s="195"/>
      <c r="BN334" s="195"/>
      <c r="BO334" s="195"/>
      <c r="BP334" s="195"/>
      <c r="BQ334" s="195"/>
      <c r="BR334" s="195"/>
      <c r="BS334" s="195"/>
      <c r="BT334" s="195"/>
      <c r="BU334" s="195"/>
      <c r="BV334" s="195"/>
      <c r="BW334" s="195"/>
      <c r="BX334" s="195"/>
      <c r="BY334" s="195"/>
      <c r="BZ334" s="195"/>
      <c r="CA334" s="195"/>
      <c r="CB334" s="195"/>
      <c r="CC334" s="195"/>
      <c r="CD334" s="195"/>
      <c r="CE334" s="195"/>
      <c r="CF334" s="195"/>
      <c r="CG334" s="195"/>
      <c r="CH334" s="195"/>
      <c r="CI334" s="195"/>
      <c r="CJ334" s="195"/>
      <c r="CK334" s="195"/>
      <c r="CL334" s="195"/>
      <c r="CM334" s="195"/>
      <c r="CN334" s="195"/>
      <c r="CO334" s="195"/>
      <c r="CP334" s="195"/>
      <c r="CQ334" s="195"/>
      <c r="CR334" s="195"/>
      <c r="CS334" s="195"/>
      <c r="CT334" s="195"/>
      <c r="CU334" s="195"/>
      <c r="CV334" s="195"/>
      <c r="CW334" s="195"/>
      <c r="CX334" s="195"/>
      <c r="CY334" s="195"/>
      <c r="CZ334" s="195"/>
      <c r="DA334" s="195"/>
      <c r="DB334" s="195"/>
      <c r="DC334" s="195"/>
      <c r="DD334" s="195"/>
      <c r="DE334" s="195"/>
      <c r="DF334" s="195"/>
      <c r="DG334" s="195"/>
      <c r="DH334" s="195"/>
      <c r="DI334" s="195"/>
      <c r="DJ334" s="195"/>
      <c r="DK334" s="195"/>
      <c r="DL334" s="195"/>
      <c r="DM334" s="195"/>
      <c r="DN334" s="195"/>
      <c r="DO334" s="195"/>
      <c r="DP334" s="195"/>
      <c r="DQ334" s="195"/>
      <c r="DR334" s="195"/>
      <c r="DS334" s="195"/>
      <c r="DT334" s="195"/>
      <c r="DU334" s="195"/>
      <c r="DV334" s="195"/>
      <c r="DW334" s="195"/>
      <c r="DX334" s="195"/>
      <c r="DY334" s="195"/>
      <c r="DZ334" s="195"/>
      <c r="EA334" s="195"/>
      <c r="EB334" s="195"/>
      <c r="EC334" s="195"/>
      <c r="ED334" s="195"/>
      <c r="EE334" s="195"/>
      <c r="EF334" s="195"/>
      <c r="EG334" s="195"/>
      <c r="EH334" s="195"/>
      <c r="EI334" s="195"/>
      <c r="EJ334" s="195"/>
      <c r="EK334" s="195"/>
      <c r="EL334" s="195"/>
      <c r="EM334" s="195"/>
      <c r="EN334" s="195"/>
      <c r="EO334" s="195"/>
      <c r="EP334" s="195"/>
      <c r="EQ334" s="195"/>
      <c r="ER334" s="195"/>
      <c r="ES334" s="195"/>
      <c r="ET334" s="195"/>
      <c r="EU334" s="195"/>
      <c r="EV334" s="195"/>
      <c r="EW334" s="195"/>
      <c r="EX334" s="195"/>
      <c r="EY334" s="195"/>
      <c r="EZ334" s="195"/>
      <c r="FA334" s="195"/>
      <c r="FB334" s="195"/>
      <c r="FC334" s="195"/>
      <c r="FD334" s="195"/>
      <c r="FE334" s="195"/>
      <c r="FF334" s="195"/>
      <c r="FG334" s="195"/>
      <c r="FH334" s="195"/>
      <c r="FI334" s="195"/>
      <c r="FJ334" s="195"/>
      <c r="FK334" s="195"/>
      <c r="FL334" s="195"/>
      <c r="FM334" s="195"/>
      <c r="FN334" s="195"/>
      <c r="FO334" s="195"/>
      <c r="FP334" s="195"/>
      <c r="FQ334" s="195"/>
      <c r="FR334" s="195"/>
      <c r="FS334" s="195"/>
      <c r="FT334" s="195"/>
      <c r="FU334" s="195"/>
      <c r="FV334" s="195"/>
      <c r="FW334" s="195"/>
      <c r="FX334" s="195"/>
      <c r="FY334" s="195"/>
      <c r="FZ334" s="195"/>
      <c r="GA334" s="195"/>
      <c r="GB334" s="195"/>
      <c r="GC334" s="195"/>
      <c r="GD334" s="195"/>
      <c r="GE334" s="195"/>
      <c r="GF334" s="195"/>
      <c r="GG334" s="195"/>
      <c r="GH334" s="195"/>
      <c r="GI334" s="195"/>
      <c r="GJ334" s="195"/>
      <c r="GK334" s="195"/>
      <c r="GL334" s="195"/>
      <c r="GM334" s="195"/>
      <c r="GN334" s="195"/>
      <c r="GO334" s="195"/>
      <c r="GP334" s="195"/>
      <c r="GQ334" s="195"/>
      <c r="GR334" s="195"/>
      <c r="GS334" s="195"/>
      <c r="GT334" s="195"/>
      <c r="GU334" s="195"/>
      <c r="GV334" s="195"/>
      <c r="GW334" s="195"/>
      <c r="GX334" s="195"/>
      <c r="GY334" s="195"/>
      <c r="GZ334" s="195"/>
      <c r="HA334" s="195"/>
      <c r="HB334" s="195"/>
      <c r="HC334" s="195"/>
      <c r="HD334" s="195"/>
      <c r="HE334" s="195"/>
      <c r="HF334" s="195"/>
      <c r="HG334" s="195"/>
      <c r="HH334" s="195"/>
      <c r="HI334" s="195"/>
      <c r="HJ334" s="195"/>
      <c r="HK334" s="195"/>
      <c r="HL334" s="195"/>
      <c r="HM334" s="195"/>
      <c r="HN334" s="195"/>
      <c r="HO334" s="195"/>
      <c r="HP334" s="195"/>
      <c r="HQ334" s="195"/>
      <c r="HR334" s="195"/>
      <c r="HS334" s="195"/>
      <c r="HT334" s="195"/>
      <c r="HU334" s="195"/>
      <c r="HV334" s="195"/>
      <c r="HW334" s="195"/>
      <c r="HX334" s="195"/>
      <c r="HY334" s="195"/>
      <c r="HZ334" s="195"/>
      <c r="IA334" s="195"/>
      <c r="IB334" s="195"/>
      <c r="IC334" s="195"/>
      <c r="ID334" s="195"/>
      <c r="IE334" s="195"/>
      <c r="IF334" s="195"/>
      <c r="IG334" s="195"/>
      <c r="IH334" s="195"/>
      <c r="II334" s="195"/>
      <c r="IJ334" s="195"/>
      <c r="IK334" s="195"/>
      <c r="IL334" s="195"/>
      <c r="IM334" s="195"/>
      <c r="IN334" s="195"/>
      <c r="IO334" s="195"/>
      <c r="IP334" s="195"/>
      <c r="IQ334" s="195"/>
      <c r="IR334" s="195"/>
      <c r="IS334" s="195"/>
      <c r="IT334" s="195"/>
    </row>
    <row r="335" spans="1:254" ht="18" x14ac:dyDescent="0.25">
      <c r="A335" s="195"/>
      <c r="B335" s="196" t="s">
        <v>63</v>
      </c>
      <c r="C335" s="197"/>
      <c r="D335" s="197"/>
      <c r="E335" s="101"/>
      <c r="F335" s="204"/>
      <c r="G335" s="103"/>
      <c r="H335" s="103"/>
      <c r="I335" s="103"/>
      <c r="J335" s="103"/>
      <c r="K335" s="103"/>
      <c r="L335" s="205"/>
      <c r="M335" s="291"/>
      <c r="N335" s="206">
        <f>N333/$F333</f>
        <v>0.36980752020348961</v>
      </c>
      <c r="O335" s="206">
        <f>O333/$F333</f>
        <v>0.10762846376475928</v>
      </c>
      <c r="P335" s="206">
        <f>P333/$F333</f>
        <v>6.3789435818627366E-2</v>
      </c>
      <c r="Q335" s="207">
        <f>Q333/F333</f>
        <v>0.22273817451082406</v>
      </c>
      <c r="R335" s="206">
        <f>R333/$F333</f>
        <v>0.23603336316030274</v>
      </c>
      <c r="S335" s="203"/>
      <c r="T335" s="195"/>
      <c r="U335" s="195"/>
      <c r="V335" s="195"/>
      <c r="W335" s="195"/>
      <c r="X335" s="195"/>
      <c r="Y335" s="195"/>
      <c r="Z335" s="195"/>
      <c r="AA335" s="195"/>
      <c r="AB335" s="195"/>
      <c r="AC335" s="195"/>
      <c r="AD335" s="195"/>
      <c r="AE335" s="195"/>
      <c r="AF335" s="195"/>
      <c r="AG335" s="195"/>
      <c r="AH335" s="195"/>
      <c r="AI335" s="195"/>
      <c r="AJ335" s="195"/>
      <c r="AK335" s="195"/>
      <c r="AL335" s="195"/>
      <c r="AM335" s="195"/>
      <c r="AN335" s="195"/>
      <c r="AO335" s="195"/>
      <c r="AP335" s="195"/>
      <c r="AQ335" s="195"/>
      <c r="AR335" s="195"/>
      <c r="AS335" s="195"/>
      <c r="AT335" s="195"/>
      <c r="AU335" s="195"/>
      <c r="AV335" s="195"/>
      <c r="AW335" s="195"/>
      <c r="AX335" s="195"/>
      <c r="AY335" s="195"/>
      <c r="AZ335" s="195"/>
      <c r="BA335" s="195"/>
      <c r="BB335" s="195"/>
      <c r="BC335" s="195"/>
      <c r="BD335" s="195"/>
      <c r="BE335" s="195"/>
      <c r="BF335" s="195"/>
      <c r="BG335" s="195"/>
      <c r="BH335" s="195"/>
      <c r="BI335" s="195"/>
      <c r="BJ335" s="195"/>
      <c r="BK335" s="195"/>
      <c r="BL335" s="195"/>
      <c r="BM335" s="195"/>
      <c r="BN335" s="195"/>
      <c r="BO335" s="195"/>
      <c r="BP335" s="195"/>
      <c r="BQ335" s="195"/>
      <c r="BR335" s="195"/>
      <c r="BS335" s="195"/>
      <c r="BT335" s="195"/>
      <c r="BU335" s="195"/>
      <c r="BV335" s="195"/>
      <c r="BW335" s="195"/>
      <c r="BX335" s="195"/>
      <c r="BY335" s="195"/>
      <c r="BZ335" s="195"/>
      <c r="CA335" s="195"/>
      <c r="CB335" s="195"/>
      <c r="CC335" s="195"/>
      <c r="CD335" s="195"/>
      <c r="CE335" s="195"/>
      <c r="CF335" s="195"/>
      <c r="CG335" s="195"/>
      <c r="CH335" s="195"/>
      <c r="CI335" s="195"/>
      <c r="CJ335" s="195"/>
      <c r="CK335" s="195"/>
      <c r="CL335" s="195"/>
      <c r="CM335" s="195"/>
      <c r="CN335" s="195"/>
      <c r="CO335" s="195"/>
      <c r="CP335" s="195"/>
      <c r="CQ335" s="195"/>
      <c r="CR335" s="195"/>
      <c r="CS335" s="195"/>
      <c r="CT335" s="195"/>
      <c r="CU335" s="195"/>
      <c r="CV335" s="195"/>
      <c r="CW335" s="195"/>
      <c r="CX335" s="195"/>
      <c r="CY335" s="195"/>
      <c r="CZ335" s="195"/>
      <c r="DA335" s="195"/>
      <c r="DB335" s="195"/>
      <c r="DC335" s="195"/>
      <c r="DD335" s="195"/>
      <c r="DE335" s="195"/>
      <c r="DF335" s="195"/>
      <c r="DG335" s="195"/>
      <c r="DH335" s="195"/>
      <c r="DI335" s="195"/>
      <c r="DJ335" s="195"/>
      <c r="DK335" s="195"/>
      <c r="DL335" s="195"/>
      <c r="DM335" s="195"/>
      <c r="DN335" s="195"/>
      <c r="DO335" s="195"/>
      <c r="DP335" s="195"/>
      <c r="DQ335" s="195"/>
      <c r="DR335" s="195"/>
      <c r="DS335" s="195"/>
      <c r="DT335" s="195"/>
      <c r="DU335" s="195"/>
      <c r="DV335" s="195"/>
      <c r="DW335" s="195"/>
      <c r="DX335" s="195"/>
      <c r="DY335" s="195"/>
      <c r="DZ335" s="195"/>
      <c r="EA335" s="195"/>
      <c r="EB335" s="195"/>
      <c r="EC335" s="195"/>
      <c r="ED335" s="195"/>
      <c r="EE335" s="195"/>
      <c r="EF335" s="195"/>
      <c r="EG335" s="195"/>
      <c r="EH335" s="195"/>
      <c r="EI335" s="195"/>
      <c r="EJ335" s="195"/>
      <c r="EK335" s="195"/>
      <c r="EL335" s="195"/>
      <c r="EM335" s="195"/>
      <c r="EN335" s="195"/>
      <c r="EO335" s="195"/>
      <c r="EP335" s="195"/>
      <c r="EQ335" s="195"/>
      <c r="ER335" s="195"/>
      <c r="ES335" s="195"/>
      <c r="ET335" s="195"/>
      <c r="EU335" s="195"/>
      <c r="EV335" s="195"/>
      <c r="EW335" s="195"/>
      <c r="EX335" s="195"/>
      <c r="EY335" s="195"/>
      <c r="EZ335" s="195"/>
      <c r="FA335" s="195"/>
      <c r="FB335" s="195"/>
      <c r="FC335" s="195"/>
      <c r="FD335" s="195"/>
      <c r="FE335" s="195"/>
      <c r="FF335" s="195"/>
      <c r="FG335" s="195"/>
      <c r="FH335" s="195"/>
      <c r="FI335" s="195"/>
      <c r="FJ335" s="195"/>
      <c r="FK335" s="195"/>
      <c r="FL335" s="195"/>
      <c r="FM335" s="195"/>
      <c r="FN335" s="195"/>
      <c r="FO335" s="195"/>
      <c r="FP335" s="195"/>
      <c r="FQ335" s="195"/>
      <c r="FR335" s="195"/>
      <c r="FS335" s="195"/>
      <c r="FT335" s="195"/>
      <c r="FU335" s="195"/>
      <c r="FV335" s="195"/>
      <c r="FW335" s="195"/>
      <c r="FX335" s="195"/>
      <c r="FY335" s="195"/>
      <c r="FZ335" s="195"/>
      <c r="GA335" s="195"/>
      <c r="GB335" s="195"/>
      <c r="GC335" s="195"/>
      <c r="GD335" s="195"/>
      <c r="GE335" s="195"/>
      <c r="GF335" s="195"/>
      <c r="GG335" s="195"/>
      <c r="GH335" s="195"/>
      <c r="GI335" s="195"/>
      <c r="GJ335" s="195"/>
      <c r="GK335" s="195"/>
      <c r="GL335" s="195"/>
      <c r="GM335" s="195"/>
      <c r="GN335" s="195"/>
      <c r="GO335" s="195"/>
      <c r="GP335" s="195"/>
      <c r="GQ335" s="195"/>
      <c r="GR335" s="195"/>
      <c r="GS335" s="195"/>
      <c r="GT335" s="195"/>
      <c r="GU335" s="195"/>
      <c r="GV335" s="195"/>
      <c r="GW335" s="195"/>
      <c r="GX335" s="195"/>
      <c r="GY335" s="195"/>
      <c r="GZ335" s="195"/>
      <c r="HA335" s="195"/>
      <c r="HB335" s="195"/>
      <c r="HC335" s="195"/>
      <c r="HD335" s="195"/>
      <c r="HE335" s="195"/>
      <c r="HF335" s="195"/>
      <c r="HG335" s="195"/>
      <c r="HH335" s="195"/>
      <c r="HI335" s="195"/>
      <c r="HJ335" s="195"/>
      <c r="HK335" s="195"/>
      <c r="HL335" s="195"/>
      <c r="HM335" s="195"/>
      <c r="HN335" s="195"/>
      <c r="HO335" s="195"/>
      <c r="HP335" s="195"/>
      <c r="HQ335" s="195"/>
      <c r="HR335" s="195"/>
      <c r="HS335" s="195"/>
      <c r="HT335" s="195"/>
      <c r="HU335" s="195"/>
      <c r="HV335" s="195"/>
      <c r="HW335" s="195"/>
      <c r="HX335" s="195"/>
      <c r="HY335" s="195"/>
      <c r="HZ335" s="195"/>
      <c r="IA335" s="195"/>
      <c r="IB335" s="195"/>
      <c r="IC335" s="195"/>
      <c r="ID335" s="195"/>
      <c r="IE335" s="195"/>
      <c r="IF335" s="195"/>
      <c r="IG335" s="195"/>
      <c r="IH335" s="195"/>
      <c r="II335" s="195"/>
      <c r="IJ335" s="195"/>
      <c r="IK335" s="195"/>
      <c r="IL335" s="195"/>
      <c r="IM335" s="195"/>
      <c r="IN335" s="195"/>
      <c r="IO335" s="195"/>
      <c r="IP335" s="195"/>
      <c r="IQ335" s="195"/>
      <c r="IR335" s="195"/>
      <c r="IS335" s="195"/>
      <c r="IT335" s="195"/>
    </row>
    <row r="336" spans="1:254" ht="12.75" customHeight="1" x14ac:dyDescent="0.25">
      <c r="A336" s="195"/>
      <c r="B336" s="196"/>
      <c r="C336" s="197"/>
      <c r="D336" s="197"/>
      <c r="E336" s="197"/>
      <c r="F336" s="201"/>
      <c r="G336" s="208"/>
      <c r="H336" s="208"/>
      <c r="I336" s="208"/>
      <c r="J336" s="208"/>
      <c r="K336" s="208"/>
      <c r="L336" s="202"/>
      <c r="M336" s="202"/>
      <c r="N336" s="209"/>
      <c r="O336" s="209"/>
      <c r="P336" s="209"/>
      <c r="Q336" s="209"/>
      <c r="R336" s="209"/>
      <c r="S336" s="203"/>
      <c r="T336" s="195"/>
      <c r="U336" s="195"/>
      <c r="V336" s="195"/>
      <c r="W336" s="195"/>
      <c r="X336" s="195"/>
      <c r="Y336" s="195"/>
      <c r="Z336" s="195"/>
      <c r="AA336" s="195"/>
      <c r="AB336" s="195"/>
      <c r="AC336" s="195"/>
      <c r="AD336" s="195"/>
      <c r="AE336" s="195"/>
      <c r="AF336" s="195"/>
      <c r="AG336" s="195"/>
      <c r="AH336" s="195"/>
      <c r="AI336" s="195"/>
      <c r="AJ336" s="195"/>
      <c r="AK336" s="195"/>
      <c r="AL336" s="195"/>
      <c r="AM336" s="195"/>
      <c r="AN336" s="195"/>
      <c r="AO336" s="195"/>
      <c r="AP336" s="195"/>
      <c r="AQ336" s="195"/>
      <c r="AR336" s="195"/>
      <c r="AS336" s="195"/>
      <c r="AT336" s="195"/>
      <c r="AU336" s="195"/>
      <c r="AV336" s="195"/>
      <c r="AW336" s="195"/>
      <c r="AX336" s="195"/>
      <c r="AY336" s="195"/>
      <c r="AZ336" s="195"/>
      <c r="BA336" s="195"/>
      <c r="BB336" s="195"/>
      <c r="BC336" s="195"/>
      <c r="BD336" s="195"/>
      <c r="BE336" s="195"/>
      <c r="BF336" s="195"/>
      <c r="BG336" s="195"/>
      <c r="BH336" s="195"/>
      <c r="BI336" s="195"/>
      <c r="BJ336" s="195"/>
      <c r="BK336" s="195"/>
      <c r="BL336" s="195"/>
      <c r="BM336" s="195"/>
      <c r="BN336" s="195"/>
      <c r="BO336" s="195"/>
      <c r="BP336" s="195"/>
      <c r="BQ336" s="195"/>
      <c r="BR336" s="195"/>
      <c r="BS336" s="195"/>
      <c r="BT336" s="195"/>
      <c r="BU336" s="195"/>
      <c r="BV336" s="195"/>
      <c r="BW336" s="195"/>
      <c r="BX336" s="195"/>
      <c r="BY336" s="195"/>
      <c r="BZ336" s="195"/>
      <c r="CA336" s="195"/>
      <c r="CB336" s="195"/>
      <c r="CC336" s="195"/>
      <c r="CD336" s="195"/>
      <c r="CE336" s="195"/>
      <c r="CF336" s="195"/>
      <c r="CG336" s="195"/>
      <c r="CH336" s="195"/>
      <c r="CI336" s="195"/>
      <c r="CJ336" s="195"/>
      <c r="CK336" s="195"/>
      <c r="CL336" s="195"/>
      <c r="CM336" s="195"/>
      <c r="CN336" s="195"/>
      <c r="CO336" s="195"/>
      <c r="CP336" s="195"/>
      <c r="CQ336" s="195"/>
      <c r="CR336" s="195"/>
      <c r="CS336" s="195"/>
      <c r="CT336" s="195"/>
      <c r="CU336" s="195"/>
      <c r="CV336" s="195"/>
      <c r="CW336" s="195"/>
      <c r="CX336" s="195"/>
      <c r="CY336" s="195"/>
      <c r="CZ336" s="195"/>
      <c r="DA336" s="195"/>
      <c r="DB336" s="195"/>
      <c r="DC336" s="195"/>
      <c r="DD336" s="195"/>
      <c r="DE336" s="195"/>
      <c r="DF336" s="195"/>
      <c r="DG336" s="195"/>
      <c r="DH336" s="195"/>
      <c r="DI336" s="195"/>
      <c r="DJ336" s="195"/>
      <c r="DK336" s="195"/>
      <c r="DL336" s="195"/>
      <c r="DM336" s="195"/>
      <c r="DN336" s="195"/>
      <c r="DO336" s="195"/>
      <c r="DP336" s="195"/>
      <c r="DQ336" s="195"/>
      <c r="DR336" s="195"/>
      <c r="DS336" s="195"/>
      <c r="DT336" s="195"/>
      <c r="DU336" s="195"/>
      <c r="DV336" s="195"/>
      <c r="DW336" s="195"/>
      <c r="DX336" s="195"/>
      <c r="DY336" s="195"/>
      <c r="DZ336" s="195"/>
      <c r="EA336" s="195"/>
      <c r="EB336" s="195"/>
      <c r="EC336" s="195"/>
      <c r="ED336" s="195"/>
      <c r="EE336" s="195"/>
      <c r="EF336" s="195"/>
      <c r="EG336" s="195"/>
      <c r="EH336" s="195"/>
      <c r="EI336" s="195"/>
      <c r="EJ336" s="195"/>
      <c r="EK336" s="195"/>
      <c r="EL336" s="195"/>
      <c r="EM336" s="195"/>
      <c r="EN336" s="195"/>
      <c r="EO336" s="195"/>
      <c r="EP336" s="195"/>
      <c r="EQ336" s="195"/>
      <c r="ER336" s="195"/>
      <c r="ES336" s="195"/>
      <c r="ET336" s="195"/>
      <c r="EU336" s="195"/>
      <c r="EV336" s="195"/>
      <c r="EW336" s="195"/>
      <c r="EX336" s="195"/>
      <c r="EY336" s="195"/>
      <c r="EZ336" s="195"/>
      <c r="FA336" s="195"/>
      <c r="FB336" s="195"/>
      <c r="FC336" s="195"/>
      <c r="FD336" s="195"/>
      <c r="FE336" s="195"/>
      <c r="FF336" s="195"/>
      <c r="FG336" s="195"/>
      <c r="FH336" s="195"/>
      <c r="FI336" s="195"/>
      <c r="FJ336" s="195"/>
      <c r="FK336" s="195"/>
      <c r="FL336" s="195"/>
      <c r="FM336" s="195"/>
      <c r="FN336" s="195"/>
      <c r="FO336" s="195"/>
      <c r="FP336" s="195"/>
      <c r="FQ336" s="195"/>
      <c r="FR336" s="195"/>
      <c r="FS336" s="195"/>
      <c r="FT336" s="195"/>
      <c r="FU336" s="195"/>
      <c r="FV336" s="195"/>
      <c r="FW336" s="195"/>
      <c r="FX336" s="195"/>
      <c r="FY336" s="195"/>
      <c r="FZ336" s="195"/>
      <c r="GA336" s="195"/>
      <c r="GB336" s="195"/>
      <c r="GC336" s="195"/>
      <c r="GD336" s="195"/>
      <c r="GE336" s="195"/>
      <c r="GF336" s="195"/>
      <c r="GG336" s="195"/>
      <c r="GH336" s="195"/>
      <c r="GI336" s="195"/>
      <c r="GJ336" s="195"/>
      <c r="GK336" s="195"/>
      <c r="GL336" s="195"/>
      <c r="GM336" s="195"/>
      <c r="GN336" s="195"/>
      <c r="GO336" s="195"/>
      <c r="GP336" s="195"/>
      <c r="GQ336" s="195"/>
      <c r="GR336" s="195"/>
      <c r="GS336" s="195"/>
      <c r="GT336" s="195"/>
      <c r="GU336" s="195"/>
      <c r="GV336" s="195"/>
      <c r="GW336" s="195"/>
      <c r="GX336" s="195"/>
      <c r="GY336" s="195"/>
      <c r="GZ336" s="195"/>
      <c r="HA336" s="195"/>
      <c r="HB336" s="195"/>
      <c r="HC336" s="195"/>
      <c r="HD336" s="195"/>
      <c r="HE336" s="195"/>
      <c r="HF336" s="195"/>
      <c r="HG336" s="195"/>
      <c r="HH336" s="195"/>
      <c r="HI336" s="195"/>
      <c r="HJ336" s="195"/>
      <c r="HK336" s="195"/>
      <c r="HL336" s="195"/>
      <c r="HM336" s="195"/>
      <c r="HN336" s="195"/>
      <c r="HO336" s="195"/>
      <c r="HP336" s="195"/>
      <c r="HQ336" s="195"/>
      <c r="HR336" s="195"/>
      <c r="HS336" s="195"/>
      <c r="HT336" s="195"/>
      <c r="HU336" s="195"/>
      <c r="HV336" s="195"/>
      <c r="HW336" s="195"/>
      <c r="HX336" s="195"/>
      <c r="HY336" s="195"/>
      <c r="HZ336" s="195"/>
      <c r="IA336" s="195"/>
      <c r="IB336" s="195"/>
      <c r="IC336" s="195"/>
      <c r="ID336" s="195"/>
      <c r="IE336" s="195"/>
      <c r="IF336" s="195"/>
      <c r="IG336" s="195"/>
      <c r="IH336" s="195"/>
      <c r="II336" s="195"/>
      <c r="IJ336" s="195"/>
      <c r="IK336" s="195"/>
      <c r="IL336" s="195"/>
      <c r="IM336" s="195"/>
      <c r="IN336" s="195"/>
      <c r="IO336" s="195"/>
      <c r="IP336" s="195"/>
      <c r="IQ336" s="195"/>
      <c r="IR336" s="195"/>
      <c r="IS336" s="195"/>
      <c r="IT336" s="195"/>
    </row>
    <row r="337" spans="1:254" ht="30" x14ac:dyDescent="0.4">
      <c r="A337" s="1" t="s">
        <v>278</v>
      </c>
      <c r="B337" s="210"/>
      <c r="C337" s="1"/>
      <c r="D337" s="1"/>
      <c r="E337" s="1"/>
      <c r="F337" s="3"/>
      <c r="G337" s="211"/>
      <c r="H337" s="211"/>
      <c r="I337" s="211"/>
      <c r="J337" s="2"/>
      <c r="K337" s="2" t="s">
        <v>218</v>
      </c>
      <c r="L337" s="2"/>
      <c r="M337" s="6"/>
      <c r="N337" s="3"/>
      <c r="O337" s="3"/>
      <c r="P337" s="3"/>
      <c r="Q337" s="3"/>
      <c r="R337" s="3"/>
      <c r="S337" s="3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  <c r="FL337" s="7"/>
      <c r="FM337" s="7"/>
      <c r="FN337" s="7"/>
      <c r="FO337" s="7"/>
      <c r="FP337" s="7"/>
      <c r="FQ337" s="7"/>
      <c r="FR337" s="7"/>
      <c r="FS337" s="7"/>
      <c r="FT337" s="7"/>
      <c r="FU337" s="7"/>
      <c r="FV337" s="7"/>
      <c r="FW337" s="7"/>
      <c r="FX337" s="7"/>
      <c r="FY337" s="7"/>
      <c r="FZ337" s="7"/>
      <c r="GA337" s="7"/>
      <c r="GB337" s="7"/>
      <c r="GC337" s="7"/>
      <c r="GD337" s="7"/>
      <c r="GE337" s="7"/>
      <c r="GF337" s="7"/>
      <c r="GG337" s="7"/>
      <c r="GH337" s="7"/>
      <c r="GI337" s="7"/>
      <c r="GJ337" s="7"/>
      <c r="GK337" s="7"/>
      <c r="GL337" s="7"/>
      <c r="GM337" s="7"/>
      <c r="GN337" s="7"/>
      <c r="GO337" s="7"/>
      <c r="GP337" s="7"/>
      <c r="GQ337" s="7"/>
      <c r="GR337" s="7"/>
      <c r="GS337" s="7"/>
      <c r="GT337" s="7"/>
      <c r="GU337" s="7"/>
      <c r="GV337" s="7"/>
      <c r="GW337" s="7"/>
      <c r="GX337" s="7"/>
      <c r="GY337" s="7"/>
      <c r="GZ337" s="7"/>
      <c r="HA337" s="7"/>
      <c r="HB337" s="7"/>
      <c r="HC337" s="7"/>
      <c r="HD337" s="7"/>
      <c r="HE337" s="7"/>
      <c r="HF337" s="7"/>
      <c r="HG337" s="7"/>
      <c r="HH337" s="7"/>
      <c r="HI337" s="7"/>
      <c r="HJ337" s="7"/>
      <c r="HK337" s="7"/>
      <c r="HL337" s="7"/>
      <c r="HM337" s="7"/>
      <c r="HN337" s="7"/>
      <c r="HO337" s="7"/>
      <c r="HP337" s="7"/>
      <c r="HQ337" s="7"/>
      <c r="HR337" s="7"/>
      <c r="HS337" s="7"/>
      <c r="HT337" s="7"/>
      <c r="HU337" s="7"/>
      <c r="HV337" s="7"/>
      <c r="HW337" s="7"/>
      <c r="HX337" s="7"/>
      <c r="HY337" s="7"/>
      <c r="HZ337" s="7"/>
      <c r="IA337" s="7"/>
      <c r="IB337" s="7"/>
      <c r="IC337" s="7"/>
      <c r="ID337" s="7"/>
      <c r="IE337" s="7"/>
      <c r="IF337" s="7"/>
      <c r="IG337" s="7"/>
      <c r="IH337" s="7"/>
      <c r="II337" s="7"/>
      <c r="IJ337" s="7"/>
      <c r="IK337" s="7"/>
      <c r="IL337" s="7"/>
      <c r="IM337" s="7"/>
      <c r="IN337" s="7"/>
      <c r="IO337" s="7"/>
      <c r="IP337" s="7"/>
      <c r="IQ337" s="7"/>
      <c r="IR337" s="7"/>
      <c r="IS337" s="7"/>
      <c r="IT337" s="7"/>
    </row>
    <row r="338" spans="1:254" ht="30" x14ac:dyDescent="0.4">
      <c r="A338" s="1"/>
      <c r="B338" s="210"/>
      <c r="C338" s="1"/>
      <c r="D338" s="1"/>
      <c r="E338" s="1"/>
      <c r="F338" s="3"/>
      <c r="G338" s="211"/>
      <c r="H338" s="211"/>
      <c r="I338" s="211"/>
      <c r="J338" s="2"/>
      <c r="K338" s="2" t="s">
        <v>253</v>
      </c>
      <c r="L338" s="2"/>
      <c r="M338" s="6"/>
      <c r="N338" s="3"/>
      <c r="O338" s="3"/>
      <c r="P338" s="3"/>
      <c r="Q338" s="3"/>
      <c r="R338" s="3"/>
      <c r="S338" s="3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  <c r="FL338" s="7"/>
      <c r="FM338" s="7"/>
      <c r="FN338" s="7"/>
      <c r="FO338" s="7"/>
      <c r="FP338" s="7"/>
      <c r="FQ338" s="7"/>
      <c r="FR338" s="7"/>
      <c r="FS338" s="7"/>
      <c r="FT338" s="7"/>
      <c r="FU338" s="7"/>
      <c r="FV338" s="7"/>
      <c r="FW338" s="7"/>
      <c r="FX338" s="7"/>
      <c r="FY338" s="7"/>
      <c r="FZ338" s="7"/>
      <c r="GA338" s="7"/>
      <c r="GB338" s="7"/>
      <c r="GC338" s="7"/>
      <c r="GD338" s="7"/>
      <c r="GE338" s="7"/>
      <c r="GF338" s="7"/>
      <c r="GG338" s="7"/>
      <c r="GH338" s="7"/>
      <c r="GI338" s="7"/>
      <c r="GJ338" s="7"/>
      <c r="GK338" s="7"/>
      <c r="GL338" s="7"/>
      <c r="GM338" s="7"/>
      <c r="GN338" s="7"/>
      <c r="GO338" s="7"/>
      <c r="GP338" s="7"/>
      <c r="GQ338" s="7"/>
      <c r="GR338" s="7"/>
      <c r="GS338" s="7"/>
      <c r="GT338" s="7"/>
      <c r="GU338" s="7"/>
      <c r="GV338" s="7"/>
      <c r="GW338" s="7"/>
      <c r="GX338" s="7"/>
      <c r="GY338" s="7"/>
      <c r="GZ338" s="7"/>
      <c r="HA338" s="7"/>
      <c r="HB338" s="7"/>
      <c r="HC338" s="7"/>
      <c r="HD338" s="7"/>
      <c r="HE338" s="7"/>
      <c r="HF338" s="7"/>
      <c r="HG338" s="7"/>
      <c r="HH338" s="7"/>
      <c r="HI338" s="7"/>
      <c r="HJ338" s="7"/>
      <c r="HK338" s="7"/>
      <c r="HL338" s="7"/>
      <c r="HM338" s="7"/>
      <c r="HN338" s="7"/>
      <c r="HO338" s="7"/>
      <c r="HP338" s="7"/>
      <c r="HQ338" s="7"/>
      <c r="HR338" s="7"/>
      <c r="HS338" s="7"/>
      <c r="HT338" s="7"/>
      <c r="HU338" s="7"/>
      <c r="HV338" s="7"/>
      <c r="HW338" s="7"/>
      <c r="HX338" s="7"/>
      <c r="HY338" s="7"/>
      <c r="HZ338" s="7"/>
      <c r="IA338" s="7"/>
      <c r="IB338" s="7"/>
      <c r="IC338" s="7"/>
      <c r="ID338" s="7"/>
      <c r="IE338" s="7"/>
      <c r="IF338" s="7"/>
      <c r="IG338" s="7"/>
      <c r="IH338" s="7"/>
      <c r="II338" s="7"/>
      <c r="IJ338" s="7"/>
      <c r="IK338" s="7"/>
      <c r="IL338" s="7"/>
      <c r="IM338" s="7"/>
      <c r="IN338" s="7"/>
      <c r="IO338" s="7"/>
      <c r="IP338" s="7"/>
      <c r="IQ338" s="7"/>
      <c r="IR338" s="7"/>
      <c r="IS338" s="7"/>
      <c r="IT338" s="7"/>
    </row>
    <row r="339" spans="1:254" x14ac:dyDescent="0.2">
      <c r="A339" s="1"/>
      <c r="B339" s="210"/>
      <c r="C339" s="1"/>
      <c r="D339" s="1"/>
      <c r="E339" s="1"/>
      <c r="F339" s="3"/>
      <c r="G339" s="211"/>
      <c r="H339" s="211"/>
      <c r="I339" s="211"/>
      <c r="J339" s="3"/>
      <c r="K339" s="70"/>
      <c r="L339" s="6"/>
      <c r="M339" s="6"/>
      <c r="N339" s="3"/>
      <c r="O339" s="3"/>
      <c r="P339" s="3"/>
      <c r="Q339" s="3"/>
      <c r="R339" s="3"/>
      <c r="S339" s="3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7"/>
      <c r="FN339" s="7"/>
      <c r="FO339" s="7"/>
      <c r="FP339" s="7"/>
      <c r="FQ339" s="7"/>
      <c r="FR339" s="7"/>
      <c r="FS339" s="7"/>
      <c r="FT339" s="7"/>
      <c r="FU339" s="7"/>
      <c r="FV339" s="7"/>
      <c r="FW339" s="7"/>
      <c r="FX339" s="7"/>
      <c r="FY339" s="7"/>
      <c r="FZ339" s="7"/>
      <c r="GA339" s="7"/>
      <c r="GB339" s="7"/>
      <c r="GC339" s="7"/>
      <c r="GD339" s="7"/>
      <c r="GE339" s="7"/>
      <c r="GF339" s="7"/>
      <c r="GG339" s="7"/>
      <c r="GH339" s="7"/>
      <c r="GI339" s="7"/>
      <c r="GJ339" s="7"/>
      <c r="GK339" s="7"/>
      <c r="GL339" s="7"/>
      <c r="GM339" s="7"/>
      <c r="GN339" s="7"/>
      <c r="GO339" s="7"/>
      <c r="GP339" s="7"/>
      <c r="GQ339" s="7"/>
      <c r="GR339" s="7"/>
      <c r="GS339" s="7"/>
      <c r="GT339" s="7"/>
      <c r="GU339" s="7"/>
      <c r="GV339" s="7"/>
      <c r="GW339" s="7"/>
      <c r="GX339" s="7"/>
      <c r="GY339" s="7"/>
      <c r="GZ339" s="7"/>
      <c r="HA339" s="7"/>
      <c r="HB339" s="7"/>
      <c r="HC339" s="7"/>
      <c r="HD339" s="7"/>
      <c r="HE339" s="7"/>
      <c r="HF339" s="7"/>
      <c r="HG339" s="7"/>
      <c r="HH339" s="7"/>
      <c r="HI339" s="7"/>
      <c r="HJ339" s="7"/>
      <c r="HK339" s="7"/>
      <c r="HL339" s="7"/>
      <c r="HM339" s="7"/>
      <c r="HN339" s="7"/>
      <c r="HO339" s="7"/>
      <c r="HP339" s="7"/>
      <c r="HQ339" s="7"/>
      <c r="HR339" s="7"/>
      <c r="HS339" s="7"/>
      <c r="HT339" s="7"/>
      <c r="HU339" s="7"/>
      <c r="HV339" s="7"/>
      <c r="HW339" s="7"/>
      <c r="HX339" s="7"/>
      <c r="HY339" s="7"/>
      <c r="HZ339" s="7"/>
      <c r="IA339" s="7"/>
      <c r="IB339" s="7"/>
      <c r="IC339" s="7"/>
      <c r="ID339" s="7"/>
      <c r="IE339" s="7"/>
      <c r="IF339" s="7"/>
      <c r="IG339" s="7"/>
      <c r="IH339" s="7"/>
      <c r="II339" s="7"/>
      <c r="IJ339" s="7"/>
      <c r="IK339" s="7"/>
      <c r="IL339" s="7"/>
      <c r="IM339" s="7"/>
      <c r="IN339" s="7"/>
      <c r="IO339" s="7"/>
      <c r="IP339" s="7"/>
      <c r="IQ339" s="7"/>
      <c r="IR339" s="7"/>
      <c r="IS339" s="7"/>
      <c r="IT339" s="7"/>
    </row>
    <row r="340" spans="1:254" x14ac:dyDescent="0.2">
      <c r="A340" s="1"/>
      <c r="B340" s="210"/>
      <c r="C340" s="1"/>
      <c r="D340" s="1"/>
      <c r="E340" s="1"/>
      <c r="F340" s="3"/>
      <c r="G340" s="211"/>
      <c r="H340" s="211"/>
      <c r="I340" s="211"/>
      <c r="J340" s="69"/>
      <c r="K340" s="69"/>
      <c r="L340" s="6"/>
      <c r="M340" s="6"/>
      <c r="N340" s="3"/>
      <c r="O340" s="3"/>
      <c r="P340" s="3"/>
      <c r="Q340" s="3"/>
      <c r="R340" s="3"/>
      <c r="S340" s="3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  <c r="FO340" s="7"/>
      <c r="FP340" s="7"/>
      <c r="FQ340" s="7"/>
      <c r="FR340" s="7"/>
      <c r="FS340" s="7"/>
      <c r="FT340" s="7"/>
      <c r="FU340" s="7"/>
      <c r="FV340" s="7"/>
      <c r="FW340" s="7"/>
      <c r="FX340" s="7"/>
      <c r="FY340" s="7"/>
      <c r="FZ340" s="7"/>
      <c r="GA340" s="7"/>
      <c r="GB340" s="7"/>
      <c r="GC340" s="7"/>
      <c r="GD340" s="7"/>
      <c r="GE340" s="7"/>
      <c r="GF340" s="7"/>
      <c r="GG340" s="7"/>
      <c r="GH340" s="7"/>
      <c r="GI340" s="7"/>
      <c r="GJ340" s="7"/>
      <c r="GK340" s="7"/>
      <c r="GL340" s="7"/>
      <c r="GM340" s="7"/>
      <c r="GN340" s="7"/>
      <c r="GO340" s="7"/>
      <c r="GP340" s="7"/>
      <c r="GQ340" s="7"/>
      <c r="GR340" s="7"/>
      <c r="GS340" s="7"/>
      <c r="GT340" s="7"/>
      <c r="GU340" s="7"/>
      <c r="GV340" s="7"/>
      <c r="GW340" s="7"/>
      <c r="GX340" s="7"/>
      <c r="GY340" s="7"/>
      <c r="GZ340" s="7"/>
      <c r="HA340" s="7"/>
      <c r="HB340" s="7"/>
      <c r="HC340" s="7"/>
      <c r="HD340" s="7"/>
      <c r="HE340" s="7"/>
      <c r="HF340" s="7"/>
      <c r="HG340" s="7"/>
      <c r="HH340" s="7"/>
      <c r="HI340" s="7"/>
      <c r="HJ340" s="7"/>
      <c r="HK340" s="7"/>
      <c r="HL340" s="7"/>
      <c r="HM340" s="7"/>
      <c r="HN340" s="7"/>
      <c r="HO340" s="7"/>
      <c r="HP340" s="7"/>
      <c r="HQ340" s="7"/>
      <c r="HR340" s="7"/>
      <c r="HS340" s="7"/>
      <c r="HT340" s="7"/>
      <c r="HU340" s="7"/>
      <c r="HV340" s="7"/>
      <c r="HW340" s="7"/>
      <c r="HX340" s="7"/>
      <c r="HY340" s="7"/>
      <c r="HZ340" s="7"/>
      <c r="IA340" s="7"/>
      <c r="IB340" s="7"/>
      <c r="IC340" s="7"/>
      <c r="ID340" s="7"/>
      <c r="IE340" s="7"/>
      <c r="IF340" s="7"/>
      <c r="IG340" s="7"/>
      <c r="IH340" s="7"/>
      <c r="II340" s="7"/>
      <c r="IJ340" s="7"/>
      <c r="IK340" s="7"/>
      <c r="IL340" s="7"/>
      <c r="IM340" s="7"/>
      <c r="IN340" s="7"/>
      <c r="IO340" s="7"/>
      <c r="IP340" s="7"/>
      <c r="IQ340" s="7"/>
      <c r="IR340" s="7"/>
      <c r="IS340" s="7"/>
      <c r="IT340" s="7"/>
    </row>
    <row r="341" spans="1:254" ht="15.75" x14ac:dyDescent="0.25">
      <c r="B341" s="1"/>
      <c r="C341" s="1"/>
      <c r="D341" s="1"/>
      <c r="E341" s="1"/>
      <c r="F341" s="9"/>
      <c r="G341" s="10" t="s">
        <v>0</v>
      </c>
      <c r="H341" s="10"/>
      <c r="I341" s="10"/>
      <c r="J341" s="11"/>
      <c r="K341" s="11"/>
      <c r="L341" s="310"/>
      <c r="M341" s="307"/>
      <c r="N341" s="12" t="s">
        <v>183</v>
      </c>
      <c r="O341" s="13"/>
      <c r="P341" s="13"/>
      <c r="Q341" s="14"/>
      <c r="R341" s="13"/>
      <c r="S341" s="15"/>
    </row>
    <row r="342" spans="1:254" ht="15.75" x14ac:dyDescent="0.25">
      <c r="B342" s="1" t="s">
        <v>231</v>
      </c>
      <c r="C342" s="1"/>
      <c r="D342" s="1"/>
      <c r="E342" s="212"/>
      <c r="F342" s="18" t="s">
        <v>241</v>
      </c>
      <c r="G342" s="18" t="s">
        <v>159</v>
      </c>
      <c r="H342" s="18"/>
      <c r="I342" s="18"/>
      <c r="J342" s="18" t="s">
        <v>3</v>
      </c>
      <c r="K342" s="18" t="s">
        <v>4</v>
      </c>
      <c r="L342" s="311"/>
      <c r="M342" s="308"/>
      <c r="N342" s="18" t="s">
        <v>159</v>
      </c>
      <c r="O342" s="18"/>
      <c r="P342" s="18"/>
      <c r="Q342" s="18" t="s">
        <v>3</v>
      </c>
      <c r="R342" s="18" t="s">
        <v>4</v>
      </c>
      <c r="S342" s="15"/>
    </row>
    <row r="343" spans="1:254" ht="15.75" x14ac:dyDescent="0.25">
      <c r="B343" s="213"/>
      <c r="C343" s="1"/>
      <c r="D343" s="1"/>
      <c r="E343" s="214"/>
      <c r="F343" s="23" t="s">
        <v>7</v>
      </c>
      <c r="G343" s="23" t="s">
        <v>160</v>
      </c>
      <c r="H343" s="23" t="s">
        <v>8</v>
      </c>
      <c r="I343" s="23" t="s">
        <v>9</v>
      </c>
      <c r="J343" s="23" t="s">
        <v>10</v>
      </c>
      <c r="K343" s="23" t="s">
        <v>184</v>
      </c>
      <c r="L343" s="293" t="s">
        <v>107</v>
      </c>
      <c r="M343" s="75" t="s">
        <v>12</v>
      </c>
      <c r="N343" s="23" t="s">
        <v>160</v>
      </c>
      <c r="O343" s="23" t="s">
        <v>8</v>
      </c>
      <c r="P343" s="23" t="s">
        <v>9</v>
      </c>
      <c r="Q343" s="23" t="s">
        <v>10</v>
      </c>
      <c r="R343" s="293" t="s">
        <v>184</v>
      </c>
      <c r="S343" s="15"/>
    </row>
    <row r="344" spans="1:254" ht="18" x14ac:dyDescent="0.25">
      <c r="B344" s="196" t="s">
        <v>64</v>
      </c>
      <c r="C344" s="1"/>
      <c r="D344" s="1"/>
      <c r="E344" s="1"/>
      <c r="F344" s="295"/>
      <c r="G344" s="78" t="s">
        <v>234</v>
      </c>
      <c r="H344" s="297"/>
      <c r="I344" s="297"/>
      <c r="J344" s="297"/>
      <c r="K344" s="77" t="s">
        <v>113</v>
      </c>
      <c r="L344" s="78"/>
      <c r="M344" s="309"/>
      <c r="N344" s="78" t="s">
        <v>234</v>
      </c>
      <c r="O344" s="295"/>
      <c r="P344" s="295"/>
      <c r="Q344" s="295"/>
      <c r="R344" s="78" t="s">
        <v>113</v>
      </c>
      <c r="S344" s="15"/>
    </row>
    <row r="345" spans="1:254" ht="15.75" x14ac:dyDescent="0.25">
      <c r="B345" s="180" t="s">
        <v>238</v>
      </c>
      <c r="C345" s="1"/>
      <c r="D345" s="1"/>
      <c r="E345" s="1"/>
      <c r="F345" s="15"/>
      <c r="G345" s="31"/>
      <c r="H345" s="31"/>
      <c r="I345" s="31"/>
      <c r="J345" s="31"/>
      <c r="K345" s="31"/>
      <c r="L345" s="32"/>
      <c r="M345" s="32"/>
      <c r="N345" s="15"/>
      <c r="O345" s="15"/>
      <c r="P345" s="15"/>
      <c r="Q345" s="15"/>
      <c r="R345" s="15"/>
      <c r="S345" s="15"/>
    </row>
    <row r="346" spans="1:254" s="142" customFormat="1" ht="92.25" customHeight="1" x14ac:dyDescent="0.2">
      <c r="B346" s="215" t="s">
        <v>65</v>
      </c>
      <c r="C346" s="215"/>
      <c r="D346" s="215"/>
      <c r="E346" s="290"/>
      <c r="F346" s="146">
        <f>9690.662+1692.37</f>
        <v>11383.031999999999</v>
      </c>
      <c r="G346" s="401">
        <v>1</v>
      </c>
      <c r="H346" s="401">
        <v>0</v>
      </c>
      <c r="I346" s="401">
        <v>0</v>
      </c>
      <c r="J346" s="401">
        <v>0</v>
      </c>
      <c r="K346" s="401">
        <v>0</v>
      </c>
      <c r="L346" s="148" t="s">
        <v>252</v>
      </c>
      <c r="M346" s="148" t="s">
        <v>18</v>
      </c>
      <c r="N346" s="146">
        <f>$F346*G346</f>
        <v>11383.031999999999</v>
      </c>
      <c r="O346" s="146">
        <f>$F346*H346</f>
        <v>0</v>
      </c>
      <c r="P346" s="146">
        <f>$F346*I346</f>
        <v>0</v>
      </c>
      <c r="Q346" s="146">
        <f>$F346*J346</f>
        <v>0</v>
      </c>
      <c r="R346" s="146">
        <f>$F346*K346</f>
        <v>0</v>
      </c>
      <c r="S346" s="150"/>
    </row>
    <row r="347" spans="1:254" s="142" customFormat="1" ht="18" x14ac:dyDescent="0.2">
      <c r="B347" s="215"/>
      <c r="C347" s="215"/>
      <c r="D347" s="216"/>
      <c r="E347" s="216"/>
      <c r="F347" s="149"/>
      <c r="G347" s="147"/>
      <c r="H347" s="147"/>
      <c r="I347" s="147"/>
      <c r="J347" s="147"/>
      <c r="K347" s="147"/>
      <c r="L347" s="148"/>
      <c r="M347" s="148"/>
      <c r="N347" s="149"/>
      <c r="O347" s="149"/>
      <c r="P347" s="149"/>
      <c r="Q347" s="149"/>
      <c r="R347" s="149"/>
      <c r="S347" s="150"/>
    </row>
    <row r="348" spans="1:254" s="142" customFormat="1" ht="90" x14ac:dyDescent="0.2">
      <c r="B348" s="215" t="s">
        <v>239</v>
      </c>
      <c r="C348" s="217"/>
      <c r="D348" s="215"/>
      <c r="E348" s="290"/>
      <c r="F348" s="218">
        <v>53263.31</v>
      </c>
      <c r="G348" s="403">
        <v>9.1623556429815622E-2</v>
      </c>
      <c r="H348" s="403">
        <v>0.18907897348092545</v>
      </c>
      <c r="I348" s="403">
        <v>9.80702041798059E-2</v>
      </c>
      <c r="J348" s="403">
        <v>0.24019546764788757</v>
      </c>
      <c r="K348" s="404">
        <v>0.38103179826156552</v>
      </c>
      <c r="L348" s="148" t="s">
        <v>251</v>
      </c>
      <c r="M348" s="148" t="s">
        <v>18</v>
      </c>
      <c r="N348" s="146">
        <f>$F348*G348</f>
        <v>4880.1738894237624</v>
      </c>
      <c r="O348" s="146">
        <f>$F348*H348</f>
        <v>10070.971978996311</v>
      </c>
      <c r="P348" s="146">
        <f>$F348*I348</f>
        <v>5223.5436869922969</v>
      </c>
      <c r="Q348" s="146">
        <f>$F348*J348</f>
        <v>12793.605653924405</v>
      </c>
      <c r="R348" s="146">
        <f>$F348*K348</f>
        <v>20295.014790663226</v>
      </c>
      <c r="S348" s="150"/>
    </row>
    <row r="349" spans="1:254" s="142" customFormat="1" ht="18" x14ac:dyDescent="0.2">
      <c r="B349" s="215"/>
      <c r="C349" s="215"/>
      <c r="D349" s="215"/>
      <c r="E349" s="215"/>
      <c r="F349" s="218"/>
      <c r="G349" s="401"/>
      <c r="H349" s="401"/>
      <c r="I349" s="401"/>
      <c r="J349" s="401"/>
      <c r="K349" s="401"/>
      <c r="L349" s="148"/>
      <c r="M349" s="148"/>
      <c r="N349" s="149"/>
      <c r="O349" s="149"/>
      <c r="P349" s="149"/>
      <c r="Q349" s="149"/>
      <c r="R349" s="149"/>
      <c r="S349" s="150"/>
    </row>
    <row r="350" spans="1:254" s="142" customFormat="1" ht="92.25" customHeight="1" x14ac:dyDescent="0.2">
      <c r="B350" s="215" t="s">
        <v>240</v>
      </c>
      <c r="C350" s="217"/>
      <c r="D350" s="215"/>
      <c r="E350" s="402"/>
      <c r="F350" s="218">
        <v>2992</v>
      </c>
      <c r="G350" s="147">
        <f>N335</f>
        <v>0.36980752020348961</v>
      </c>
      <c r="H350" s="147">
        <f>O335</f>
        <v>0.10762846376475928</v>
      </c>
      <c r="I350" s="147">
        <f>P335</f>
        <v>6.3789435818627366E-2</v>
      </c>
      <c r="J350" s="147">
        <f>Q335</f>
        <v>0.22273817451082406</v>
      </c>
      <c r="K350" s="147">
        <f>R335</f>
        <v>0.23603336316030274</v>
      </c>
      <c r="L350" s="148" t="s">
        <v>251</v>
      </c>
      <c r="M350" s="148" t="s">
        <v>105</v>
      </c>
      <c r="N350" s="146">
        <f>$F350*G350</f>
        <v>1106.464100448841</v>
      </c>
      <c r="O350" s="146">
        <f>$F350*H350</f>
        <v>322.02436358415974</v>
      </c>
      <c r="P350" s="146">
        <f>$F350*I350</f>
        <v>190.85799196933309</v>
      </c>
      <c r="Q350" s="146">
        <f>$F350*J350</f>
        <v>666.4326181363856</v>
      </c>
      <c r="R350" s="146">
        <f>$F350*K350</f>
        <v>706.21182257562577</v>
      </c>
      <c r="S350" s="150"/>
    </row>
    <row r="351" spans="1:254" s="142" customFormat="1" ht="18" x14ac:dyDescent="0.2">
      <c r="B351" s="215"/>
      <c r="C351" s="215"/>
      <c r="D351" s="215"/>
      <c r="E351" s="216"/>
      <c r="F351" s="218"/>
      <c r="G351" s="147"/>
      <c r="H351" s="147"/>
      <c r="I351" s="147"/>
      <c r="J351" s="147"/>
      <c r="K351" s="147"/>
      <c r="L351" s="148"/>
      <c r="M351" s="148"/>
      <c r="N351" s="149"/>
      <c r="O351" s="149"/>
      <c r="P351" s="149"/>
      <c r="Q351" s="149"/>
      <c r="R351" s="149"/>
      <c r="S351" s="150"/>
    </row>
    <row r="352" spans="1:254" s="142" customFormat="1" ht="51.75" customHeight="1" x14ac:dyDescent="0.2">
      <c r="B352" s="215" t="s">
        <v>66</v>
      </c>
      <c r="C352" s="215"/>
      <c r="D352" s="215"/>
      <c r="E352" s="290"/>
      <c r="F352" s="218">
        <v>27447</v>
      </c>
      <c r="G352" s="147">
        <f>+G211</f>
        <v>0.40558692196550095</v>
      </c>
      <c r="H352" s="147">
        <f>+H211</f>
        <v>0.11992523280648872</v>
      </c>
      <c r="I352" s="147">
        <f>+I211</f>
        <v>6.7084576301132279E-2</v>
      </c>
      <c r="J352" s="147">
        <f>+J211</f>
        <v>0.23386827931524498</v>
      </c>
      <c r="K352" s="147">
        <f>+K211</f>
        <v>0.17353204820987198</v>
      </c>
      <c r="L352" s="148" t="s">
        <v>236</v>
      </c>
      <c r="M352" s="148" t="s">
        <v>125</v>
      </c>
      <c r="N352" s="146">
        <f>$F352*G352</f>
        <v>11132.144247187105</v>
      </c>
      <c r="O352" s="146">
        <f>$F352*H352</f>
        <v>3291.5878648396956</v>
      </c>
      <c r="P352" s="146">
        <f>$F352*I352</f>
        <v>1841.2703657371776</v>
      </c>
      <c r="Q352" s="146">
        <f>$F352*J352</f>
        <v>6418.982662365529</v>
      </c>
      <c r="R352" s="146">
        <f>$F352*K352</f>
        <v>4762.9341272163565</v>
      </c>
      <c r="S352" s="150"/>
    </row>
    <row r="353" spans="2:19" s="142" customFormat="1" ht="18" x14ac:dyDescent="0.2">
      <c r="B353" s="215"/>
      <c r="C353" s="215"/>
      <c r="D353" s="215"/>
      <c r="E353" s="215"/>
      <c r="F353" s="218"/>
      <c r="G353" s="147"/>
      <c r="H353" s="147"/>
      <c r="I353" s="147"/>
      <c r="J353" s="147"/>
      <c r="K353" s="147"/>
      <c r="L353" s="148"/>
      <c r="M353" s="148"/>
      <c r="N353" s="149"/>
      <c r="O353" s="149"/>
      <c r="P353" s="149"/>
      <c r="Q353" s="149"/>
      <c r="R353" s="149"/>
      <c r="S353" s="150"/>
    </row>
    <row r="354" spans="2:19" s="142" customFormat="1" ht="56.25" customHeight="1" x14ac:dyDescent="0.2">
      <c r="B354" s="215" t="s">
        <v>67</v>
      </c>
      <c r="C354" s="215"/>
      <c r="D354" s="215"/>
      <c r="E354" s="215"/>
      <c r="F354" s="218">
        <v>5541</v>
      </c>
      <c r="G354" s="147">
        <f>+G144</f>
        <v>0.1</v>
      </c>
      <c r="H354" s="147">
        <f>+H144</f>
        <v>0</v>
      </c>
      <c r="I354" s="147">
        <f>+I144</f>
        <v>0</v>
      </c>
      <c r="J354" s="147">
        <f>+J144</f>
        <v>0.1</v>
      </c>
      <c r="K354" s="147">
        <f>+K144</f>
        <v>0.8</v>
      </c>
      <c r="L354" s="148" t="s">
        <v>235</v>
      </c>
      <c r="M354" s="148" t="s">
        <v>126</v>
      </c>
      <c r="N354" s="146">
        <f>$F354*G354</f>
        <v>554.1</v>
      </c>
      <c r="O354" s="146">
        <f>$F354*H354</f>
        <v>0</v>
      </c>
      <c r="P354" s="146">
        <f>$F354*I354</f>
        <v>0</v>
      </c>
      <c r="Q354" s="146">
        <f>$F354*J354</f>
        <v>554.1</v>
      </c>
      <c r="R354" s="146">
        <f>$F354*K354</f>
        <v>4432.8</v>
      </c>
      <c r="S354" s="150"/>
    </row>
    <row r="355" spans="2:19" s="142" customFormat="1" ht="18" x14ac:dyDescent="0.2">
      <c r="B355" s="215"/>
      <c r="C355" s="215"/>
      <c r="D355" s="215"/>
      <c r="E355" s="215"/>
      <c r="F355" s="218"/>
      <c r="G355" s="147"/>
      <c r="H355" s="147"/>
      <c r="I355" s="147"/>
      <c r="J355" s="147"/>
      <c r="K355" s="147"/>
      <c r="L355" s="148"/>
      <c r="M355" s="148"/>
      <c r="N355" s="149"/>
      <c r="O355" s="149"/>
      <c r="P355" s="149"/>
      <c r="Q355" s="149"/>
      <c r="R355" s="149"/>
      <c r="S355" s="150"/>
    </row>
    <row r="356" spans="2:19" s="142" customFormat="1" ht="47.25" customHeight="1" x14ac:dyDescent="0.2">
      <c r="B356" s="215" t="s">
        <v>68</v>
      </c>
      <c r="C356" s="215"/>
      <c r="D356" s="215"/>
      <c r="E356" s="215"/>
      <c r="F356" s="218">
        <v>7329</v>
      </c>
      <c r="G356" s="147">
        <f>G205</f>
        <v>0.28000000000000003</v>
      </c>
      <c r="H356" s="147">
        <f>H205</f>
        <v>0.05</v>
      </c>
      <c r="I356" s="147">
        <f>I205</f>
        <v>0.05</v>
      </c>
      <c r="J356" s="147">
        <f>J205</f>
        <v>0.3</v>
      </c>
      <c r="K356" s="147">
        <f>K205</f>
        <v>0.32</v>
      </c>
      <c r="L356" s="148" t="s">
        <v>236</v>
      </c>
      <c r="M356" s="148" t="s">
        <v>120</v>
      </c>
      <c r="N356" s="146">
        <f>$F356*G356</f>
        <v>2052.1200000000003</v>
      </c>
      <c r="O356" s="146">
        <f>$F356*H356</f>
        <v>366.45000000000005</v>
      </c>
      <c r="P356" s="146">
        <f>$F356*I356</f>
        <v>366.45000000000005</v>
      </c>
      <c r="Q356" s="146">
        <f>$F356*J356</f>
        <v>2198.6999999999998</v>
      </c>
      <c r="R356" s="146">
        <f>$F356*K356</f>
        <v>2345.2800000000002</v>
      </c>
      <c r="S356" s="150"/>
    </row>
    <row r="357" spans="2:19" s="142" customFormat="1" ht="9.75" customHeight="1" x14ac:dyDescent="0.2">
      <c r="B357" s="215"/>
      <c r="C357" s="215"/>
      <c r="D357" s="215"/>
      <c r="E357" s="215"/>
      <c r="F357" s="218"/>
      <c r="G357" s="147"/>
      <c r="H357" s="147"/>
      <c r="I357" s="147"/>
      <c r="J357" s="147"/>
      <c r="K357" s="147"/>
      <c r="L357" s="148"/>
      <c r="M357" s="148"/>
      <c r="N357" s="149"/>
      <c r="O357" s="149"/>
      <c r="P357" s="149"/>
      <c r="Q357" s="149"/>
      <c r="R357" s="149"/>
      <c r="S357" s="150"/>
    </row>
    <row r="358" spans="2:19" s="142" customFormat="1" ht="18" x14ac:dyDescent="0.2">
      <c r="B358" s="215" t="s">
        <v>232</v>
      </c>
      <c r="C358" s="215"/>
      <c r="D358" s="215"/>
      <c r="E358" s="215"/>
      <c r="F358" s="218">
        <f>14091+351</f>
        <v>14442</v>
      </c>
      <c r="G358" s="147">
        <f>N335</f>
        <v>0.36980752020348961</v>
      </c>
      <c r="H358" s="147">
        <f>O335</f>
        <v>0.10762846376475928</v>
      </c>
      <c r="I358" s="147">
        <f>P335</f>
        <v>6.3789435818627366E-2</v>
      </c>
      <c r="J358" s="147">
        <f>Q335</f>
        <v>0.22273817451082406</v>
      </c>
      <c r="K358" s="147">
        <f>R335</f>
        <v>0.23603336316030274</v>
      </c>
      <c r="L358" s="148" t="s">
        <v>111</v>
      </c>
      <c r="M358" s="148" t="s">
        <v>69</v>
      </c>
      <c r="N358" s="146">
        <f>$F358*G358</f>
        <v>5340.7602067787966</v>
      </c>
      <c r="O358" s="146">
        <f>$F358*H358</f>
        <v>1554.3702736906534</v>
      </c>
      <c r="P358" s="146">
        <f>$F358*I358</f>
        <v>921.24703209261645</v>
      </c>
      <c r="Q358" s="146">
        <f>$F358*J358</f>
        <v>3216.7847162853209</v>
      </c>
      <c r="R358" s="146">
        <f>$F358*K358</f>
        <v>3408.7938307610921</v>
      </c>
      <c r="S358" s="150"/>
    </row>
    <row r="359" spans="2:19" s="142" customFormat="1" ht="18" x14ac:dyDescent="0.2">
      <c r="B359" s="215"/>
      <c r="C359" s="215"/>
      <c r="D359" s="215"/>
      <c r="E359" s="215"/>
      <c r="F359" s="218"/>
      <c r="G359" s="147"/>
      <c r="H359" s="147"/>
      <c r="I359" s="147"/>
      <c r="J359" s="147"/>
      <c r="K359" s="147"/>
      <c r="L359" s="148"/>
      <c r="M359" s="148" t="s">
        <v>70</v>
      </c>
      <c r="N359" s="149"/>
      <c r="O359" s="149"/>
      <c r="P359" s="149"/>
      <c r="Q359" s="149"/>
      <c r="R359" s="149"/>
      <c r="S359" s="150"/>
    </row>
    <row r="360" spans="2:19" s="142" customFormat="1" ht="18" x14ac:dyDescent="0.2">
      <c r="B360" s="215"/>
      <c r="C360" s="215"/>
      <c r="D360" s="215"/>
      <c r="E360" s="215"/>
      <c r="F360" s="218"/>
      <c r="G360" s="147"/>
      <c r="H360" s="147"/>
      <c r="I360" s="147"/>
      <c r="J360" s="147"/>
      <c r="K360" s="147"/>
      <c r="L360" s="148"/>
      <c r="M360" s="148"/>
      <c r="N360" s="149"/>
      <c r="O360" s="149"/>
      <c r="P360" s="149"/>
      <c r="Q360" s="149"/>
      <c r="R360" s="149"/>
      <c r="S360" s="150"/>
    </row>
    <row r="361" spans="2:19" s="142" customFormat="1" ht="18" x14ac:dyDescent="0.2">
      <c r="B361" s="215" t="s">
        <v>71</v>
      </c>
      <c r="C361" s="215"/>
      <c r="D361" s="215"/>
      <c r="E361" s="215"/>
      <c r="F361" s="218">
        <v>977</v>
      </c>
      <c r="G361" s="147">
        <f>N335</f>
        <v>0.36980752020348961</v>
      </c>
      <c r="H361" s="147">
        <f>O335</f>
        <v>0.10762846376475928</v>
      </c>
      <c r="I361" s="147">
        <f>P335</f>
        <v>6.3789435818627366E-2</v>
      </c>
      <c r="J361" s="147">
        <f>Q335</f>
        <v>0.22273817451082406</v>
      </c>
      <c r="K361" s="147">
        <f>R335</f>
        <v>0.23603336316030274</v>
      </c>
      <c r="L361" s="148" t="s">
        <v>111</v>
      </c>
      <c r="M361" s="148" t="s">
        <v>69</v>
      </c>
      <c r="N361" s="146">
        <f>$F361*G361</f>
        <v>361.30194723880936</v>
      </c>
      <c r="O361" s="146">
        <f>$F361*H361</f>
        <v>105.15300909816982</v>
      </c>
      <c r="P361" s="146">
        <f>$F361*I361</f>
        <v>62.322278794798933</v>
      </c>
      <c r="Q361" s="146">
        <f>$F361*J361</f>
        <v>217.61519649707512</v>
      </c>
      <c r="R361" s="146">
        <f>$F361*K361</f>
        <v>230.60459580761577</v>
      </c>
      <c r="S361" s="150"/>
    </row>
    <row r="362" spans="2:19" s="142" customFormat="1" ht="18" x14ac:dyDescent="0.2">
      <c r="B362" s="215"/>
      <c r="C362" s="215"/>
      <c r="D362" s="215"/>
      <c r="E362" s="215"/>
      <c r="F362" s="218"/>
      <c r="G362" s="147"/>
      <c r="H362" s="147"/>
      <c r="I362" s="147"/>
      <c r="J362" s="147"/>
      <c r="K362" s="147"/>
      <c r="L362" s="148"/>
      <c r="M362" s="148" t="s">
        <v>70</v>
      </c>
      <c r="N362" s="149"/>
      <c r="O362" s="149"/>
      <c r="P362" s="149"/>
      <c r="Q362" s="149"/>
      <c r="R362" s="149"/>
      <c r="S362" s="150"/>
    </row>
    <row r="363" spans="2:19" s="142" customFormat="1" ht="18" x14ac:dyDescent="0.2">
      <c r="B363" s="215"/>
      <c r="C363" s="215"/>
      <c r="D363" s="215"/>
      <c r="E363" s="215"/>
      <c r="F363" s="218"/>
      <c r="G363" s="147"/>
      <c r="H363" s="147"/>
      <c r="I363" s="147"/>
      <c r="J363" s="147"/>
      <c r="K363" s="147"/>
      <c r="L363" s="148"/>
      <c r="M363" s="148"/>
      <c r="N363" s="149"/>
      <c r="O363" s="149"/>
      <c r="P363" s="149"/>
      <c r="Q363" s="149"/>
      <c r="R363" s="149"/>
      <c r="S363" s="150"/>
    </row>
    <row r="364" spans="2:19" s="142" customFormat="1" ht="45" x14ac:dyDescent="0.2">
      <c r="B364" s="215" t="s">
        <v>233</v>
      </c>
      <c r="C364" s="215"/>
      <c r="D364" s="215"/>
      <c r="E364" s="215"/>
      <c r="F364" s="219">
        <f>1162+205</f>
        <v>1367</v>
      </c>
      <c r="G364" s="147">
        <v>1</v>
      </c>
      <c r="H364" s="147"/>
      <c r="I364" s="147"/>
      <c r="J364" s="147">
        <v>0</v>
      </c>
      <c r="K364" s="147"/>
      <c r="L364" s="148" t="s">
        <v>236</v>
      </c>
      <c r="M364" s="148" t="s">
        <v>18</v>
      </c>
      <c r="N364" s="146">
        <f>$F364*G364</f>
        <v>1367</v>
      </c>
      <c r="O364" s="146">
        <f>$F364*H364</f>
        <v>0</v>
      </c>
      <c r="P364" s="146">
        <f>$F364*I364</f>
        <v>0</v>
      </c>
      <c r="Q364" s="146">
        <f>$F364*J364</f>
        <v>0</v>
      </c>
      <c r="R364" s="146">
        <f>$F364*K364</f>
        <v>0</v>
      </c>
      <c r="S364" s="150"/>
    </row>
    <row r="365" spans="2:19" s="142" customFormat="1" ht="18" x14ac:dyDescent="0.2">
      <c r="B365" s="215"/>
      <c r="C365" s="215"/>
      <c r="D365" s="215"/>
      <c r="E365" s="215"/>
      <c r="F365" s="218"/>
      <c r="G365" s="220"/>
      <c r="H365" s="220"/>
      <c r="I365" s="220"/>
      <c r="J365" s="220"/>
      <c r="K365" s="220"/>
      <c r="L365" s="148"/>
      <c r="M365" s="148"/>
      <c r="N365" s="149"/>
      <c r="O365" s="149"/>
      <c r="P365" s="149"/>
      <c r="Q365" s="149"/>
      <c r="R365" s="149"/>
      <c r="S365" s="150"/>
    </row>
    <row r="366" spans="2:19" s="142" customFormat="1" ht="18" x14ac:dyDescent="0.2">
      <c r="B366" s="221" t="s">
        <v>72</v>
      </c>
      <c r="C366" s="215"/>
      <c r="D366" s="215"/>
      <c r="E366" s="215"/>
      <c r="F366" s="146">
        <f>SUM(F346:F364)</f>
        <v>124741.342</v>
      </c>
      <c r="G366" s="222"/>
      <c r="H366" s="222"/>
      <c r="I366" s="222"/>
      <c r="J366" s="222"/>
      <c r="K366" s="222"/>
      <c r="L366" s="223"/>
      <c r="M366" s="223"/>
      <c r="N366" s="146">
        <f>SUM(N346:N364)</f>
        <v>38177.096391077313</v>
      </c>
      <c r="O366" s="146">
        <f>SUM(O346:O364)</f>
        <v>15710.557490208992</v>
      </c>
      <c r="P366" s="146">
        <f>SUM(P346:P364)</f>
        <v>8605.6913555862229</v>
      </c>
      <c r="Q366" s="146">
        <f>SUM(Q346:Q364)</f>
        <v>26066.220847208715</v>
      </c>
      <c r="R366" s="146">
        <f>SUM(R346:R364)</f>
        <v>36181.639167023917</v>
      </c>
      <c r="S366" s="150"/>
    </row>
    <row r="367" spans="2:19" s="142" customFormat="1" ht="18" x14ac:dyDescent="0.2">
      <c r="B367" s="215"/>
      <c r="C367" s="215"/>
      <c r="D367" s="215"/>
      <c r="E367" s="215"/>
      <c r="F367" s="218"/>
      <c r="G367" s="220"/>
      <c r="H367" s="220"/>
      <c r="I367" s="220"/>
      <c r="J367" s="220"/>
      <c r="K367" s="220"/>
      <c r="L367" s="148"/>
      <c r="M367" s="148"/>
      <c r="N367" s="149"/>
      <c r="O367" s="149"/>
      <c r="P367" s="149"/>
      <c r="Q367" s="149"/>
      <c r="R367" s="149"/>
      <c r="S367" s="150"/>
    </row>
    <row r="368" spans="2:19" s="142" customFormat="1" ht="18" x14ac:dyDescent="0.2">
      <c r="B368" s="221" t="s">
        <v>73</v>
      </c>
      <c r="C368" s="215"/>
      <c r="D368" s="215"/>
      <c r="E368" s="215"/>
      <c r="F368" s="149"/>
      <c r="G368" s="220"/>
      <c r="H368" s="220"/>
      <c r="I368" s="220"/>
      <c r="J368" s="220"/>
      <c r="K368" s="220"/>
      <c r="L368" s="148"/>
      <c r="M368" s="148"/>
      <c r="N368" s="224">
        <f>N366/$F366</f>
        <v>0.30605006951967306</v>
      </c>
      <c r="O368" s="224">
        <f>O366/$F366</f>
        <v>0.12594507352830139</v>
      </c>
      <c r="P368" s="224">
        <f>P366/$F366</f>
        <v>6.898828582096081E-2</v>
      </c>
      <c r="Q368" s="224">
        <f>Q366/$F366</f>
        <v>0.20896216466236761</v>
      </c>
      <c r="R368" s="224">
        <f>R366/$F366</f>
        <v>0.29005331020908781</v>
      </c>
      <c r="S368" s="150"/>
    </row>
    <row r="369" spans="1:254" s="142" customFormat="1" ht="18" x14ac:dyDescent="0.2">
      <c r="B369" s="215"/>
      <c r="C369" s="215"/>
      <c r="D369" s="215"/>
      <c r="E369" s="215"/>
      <c r="F369" s="149"/>
      <c r="G369" s="220"/>
      <c r="H369" s="220"/>
      <c r="I369" s="220"/>
      <c r="J369" s="220"/>
      <c r="K369" s="220"/>
      <c r="L369" s="148"/>
      <c r="M369" s="148"/>
      <c r="N369" s="149"/>
      <c r="O369" s="149"/>
      <c r="P369" s="149"/>
      <c r="Q369" s="149"/>
      <c r="R369" s="149"/>
      <c r="S369" s="150"/>
    </row>
    <row r="370" spans="1:254" s="142" customFormat="1" ht="18" x14ac:dyDescent="0.2">
      <c r="B370" s="215" t="s">
        <v>74</v>
      </c>
      <c r="C370" s="215"/>
      <c r="D370" s="215"/>
      <c r="E370" s="215"/>
      <c r="F370" s="225">
        <f>23241</f>
        <v>23241</v>
      </c>
      <c r="G370" s="226">
        <f>N368</f>
        <v>0.30605006951967306</v>
      </c>
      <c r="H370" s="226">
        <f>O368</f>
        <v>0.12594507352830139</v>
      </c>
      <c r="I370" s="226">
        <f>P368</f>
        <v>6.898828582096081E-2</v>
      </c>
      <c r="J370" s="226">
        <f>Q368</f>
        <v>0.20896216466236761</v>
      </c>
      <c r="K370" s="226">
        <f>R368</f>
        <v>0.29005331020908781</v>
      </c>
      <c r="L370" s="148"/>
      <c r="M370" s="148"/>
      <c r="N370" s="227">
        <f>$F370*G370</f>
        <v>7112.9096657067221</v>
      </c>
      <c r="O370" s="227">
        <f>$F370*H370</f>
        <v>2927.0894538712528</v>
      </c>
      <c r="P370" s="227">
        <f>$F370*I370</f>
        <v>1603.3567507649502</v>
      </c>
      <c r="Q370" s="227">
        <f>$F370*J370</f>
        <v>4856.489668918086</v>
      </c>
      <c r="R370" s="227">
        <f>$F370*K370</f>
        <v>6741.1289825694103</v>
      </c>
      <c r="S370" s="150"/>
    </row>
    <row r="371" spans="1:254" s="142" customFormat="1" ht="18" x14ac:dyDescent="0.2">
      <c r="B371" s="221"/>
      <c r="C371" s="215"/>
      <c r="D371" s="215"/>
      <c r="E371" s="215"/>
      <c r="F371" s="225"/>
      <c r="G371" s="226"/>
      <c r="H371" s="226"/>
      <c r="I371" s="226"/>
      <c r="J371" s="226"/>
      <c r="K371" s="226"/>
      <c r="L371" s="148"/>
      <c r="M371" s="148"/>
      <c r="N371" s="225"/>
      <c r="O371" s="225"/>
      <c r="P371" s="225"/>
      <c r="Q371" s="225"/>
      <c r="R371" s="225"/>
      <c r="S371" s="150"/>
    </row>
    <row r="372" spans="1:254" s="142" customFormat="1" ht="18" x14ac:dyDescent="0.2">
      <c r="B372" s="221" t="s">
        <v>75</v>
      </c>
      <c r="C372" s="215"/>
      <c r="D372" s="215"/>
      <c r="E372" s="215"/>
      <c r="F372" s="225">
        <f>F366+F370</f>
        <v>147982.342</v>
      </c>
      <c r="G372" s="220"/>
      <c r="H372" s="220"/>
      <c r="I372" s="220"/>
      <c r="J372" s="220"/>
      <c r="K372" s="220"/>
      <c r="L372" s="148"/>
      <c r="M372" s="148"/>
      <c r="N372" s="225">
        <f>N366+N370</f>
        <v>45290.006056784034</v>
      </c>
      <c r="O372" s="225">
        <f>O366+O370</f>
        <v>18637.646944080247</v>
      </c>
      <c r="P372" s="225">
        <f>P366+P370</f>
        <v>10209.048106351172</v>
      </c>
      <c r="Q372" s="225">
        <f>Q366+Q370</f>
        <v>30922.710516126801</v>
      </c>
      <c r="R372" s="225">
        <f>R366+R370</f>
        <v>42922.768149593328</v>
      </c>
      <c r="S372" s="150"/>
    </row>
    <row r="373" spans="1:254" s="142" customFormat="1" ht="18" x14ac:dyDescent="0.2">
      <c r="B373" s="228"/>
      <c r="C373" s="215"/>
      <c r="D373" s="215"/>
      <c r="E373" s="215"/>
      <c r="F373" s="229"/>
      <c r="G373" s="230"/>
      <c r="H373" s="230"/>
      <c r="I373" s="230"/>
      <c r="J373" s="230"/>
      <c r="K373" s="230"/>
      <c r="L373" s="231"/>
      <c r="M373" s="231"/>
      <c r="N373" s="232"/>
      <c r="O373" s="232"/>
      <c r="P373" s="232"/>
      <c r="Q373" s="233"/>
      <c r="R373" s="234"/>
      <c r="S373" s="150"/>
    </row>
    <row r="374" spans="1:254" s="114" customFormat="1" x14ac:dyDescent="0.2">
      <c r="B374" s="235"/>
      <c r="C374" s="236"/>
      <c r="D374" s="236"/>
      <c r="E374" s="236"/>
      <c r="F374" s="137"/>
      <c r="G374" s="237"/>
      <c r="H374" s="237"/>
      <c r="I374" s="237"/>
      <c r="J374" s="238"/>
      <c r="K374" s="238"/>
      <c r="L374" s="136"/>
      <c r="M374" s="136"/>
      <c r="N374" s="137"/>
      <c r="O374" s="137"/>
      <c r="P374" s="137"/>
      <c r="Q374" s="137"/>
      <c r="R374" s="137"/>
      <c r="S374" s="137"/>
      <c r="T374" s="239"/>
      <c r="U374" s="239"/>
      <c r="V374" s="239"/>
      <c r="W374" s="239"/>
      <c r="X374" s="239"/>
      <c r="Y374" s="239"/>
      <c r="Z374" s="239"/>
      <c r="AA374" s="239"/>
      <c r="AB374" s="239"/>
      <c r="AC374" s="239"/>
      <c r="AD374" s="239"/>
      <c r="AE374" s="239"/>
      <c r="AF374" s="239"/>
      <c r="AG374" s="239"/>
      <c r="AH374" s="239"/>
      <c r="AI374" s="239"/>
      <c r="AJ374" s="239"/>
      <c r="AK374" s="239"/>
      <c r="AL374" s="239"/>
      <c r="AM374" s="239"/>
      <c r="AN374" s="239"/>
      <c r="AO374" s="239"/>
      <c r="AP374" s="239"/>
      <c r="AQ374" s="239"/>
      <c r="AR374" s="239"/>
      <c r="AS374" s="239"/>
      <c r="AT374" s="239"/>
      <c r="AU374" s="239"/>
      <c r="AV374" s="239"/>
      <c r="AW374" s="239"/>
      <c r="AX374" s="239"/>
      <c r="AY374" s="239"/>
      <c r="AZ374" s="239"/>
      <c r="BA374" s="239"/>
      <c r="BB374" s="239"/>
      <c r="BC374" s="239"/>
      <c r="BD374" s="239"/>
      <c r="BE374" s="239"/>
      <c r="BF374" s="239"/>
      <c r="BG374" s="239"/>
      <c r="BH374" s="239"/>
      <c r="BI374" s="239"/>
      <c r="BJ374" s="239"/>
      <c r="BK374" s="239"/>
      <c r="BL374" s="239"/>
      <c r="BM374" s="239"/>
      <c r="BN374" s="239"/>
      <c r="BO374" s="239"/>
      <c r="BP374" s="239"/>
      <c r="BQ374" s="239"/>
      <c r="BR374" s="239"/>
      <c r="BS374" s="239"/>
      <c r="BT374" s="239"/>
      <c r="BU374" s="239"/>
      <c r="BV374" s="239"/>
      <c r="BW374" s="239"/>
      <c r="BX374" s="239"/>
      <c r="BY374" s="239"/>
      <c r="BZ374" s="239"/>
      <c r="CA374" s="239"/>
      <c r="CB374" s="239"/>
      <c r="CC374" s="239"/>
      <c r="CD374" s="239"/>
      <c r="CE374" s="239"/>
      <c r="CF374" s="239"/>
      <c r="CG374" s="239"/>
      <c r="CH374" s="239"/>
      <c r="CI374" s="239"/>
      <c r="CJ374" s="239"/>
      <c r="CK374" s="239"/>
      <c r="CL374" s="239"/>
      <c r="CM374" s="239"/>
      <c r="CN374" s="239"/>
      <c r="CO374" s="239"/>
      <c r="CP374" s="239"/>
      <c r="CQ374" s="239"/>
      <c r="CR374" s="239"/>
      <c r="CS374" s="239"/>
      <c r="CT374" s="239"/>
      <c r="CU374" s="239"/>
      <c r="CV374" s="239"/>
      <c r="CW374" s="239"/>
      <c r="CX374" s="239"/>
      <c r="CY374" s="239"/>
      <c r="CZ374" s="239"/>
      <c r="DA374" s="239"/>
      <c r="DB374" s="239"/>
      <c r="DC374" s="239"/>
      <c r="DD374" s="239"/>
      <c r="DE374" s="239"/>
      <c r="DF374" s="239"/>
      <c r="DG374" s="239"/>
      <c r="DH374" s="239"/>
      <c r="DI374" s="239"/>
      <c r="DJ374" s="239"/>
      <c r="DK374" s="239"/>
      <c r="DL374" s="239"/>
      <c r="DM374" s="239"/>
      <c r="DN374" s="239"/>
      <c r="DO374" s="239"/>
      <c r="DP374" s="239"/>
      <c r="DQ374" s="239"/>
      <c r="DR374" s="239"/>
      <c r="DS374" s="239"/>
      <c r="DT374" s="239"/>
      <c r="DU374" s="239"/>
      <c r="DV374" s="239"/>
      <c r="DW374" s="239"/>
      <c r="DX374" s="239"/>
      <c r="DY374" s="239"/>
      <c r="DZ374" s="239"/>
      <c r="EA374" s="239"/>
      <c r="EB374" s="239"/>
      <c r="EC374" s="239"/>
      <c r="ED374" s="239"/>
      <c r="EE374" s="239"/>
      <c r="EF374" s="239"/>
      <c r="EG374" s="239"/>
      <c r="EH374" s="239"/>
      <c r="EI374" s="239"/>
      <c r="EJ374" s="239"/>
      <c r="EK374" s="239"/>
      <c r="EL374" s="239"/>
      <c r="EM374" s="239"/>
      <c r="EN374" s="239"/>
      <c r="EO374" s="239"/>
      <c r="EP374" s="239"/>
      <c r="EQ374" s="239"/>
      <c r="ER374" s="239"/>
      <c r="ES374" s="239"/>
      <c r="ET374" s="239"/>
      <c r="EU374" s="239"/>
      <c r="EV374" s="239"/>
      <c r="EW374" s="239"/>
      <c r="EX374" s="239"/>
      <c r="EY374" s="239"/>
      <c r="EZ374" s="239"/>
      <c r="FA374" s="239"/>
      <c r="FB374" s="239"/>
      <c r="FC374" s="239"/>
      <c r="FD374" s="239"/>
      <c r="FE374" s="239"/>
      <c r="FF374" s="239"/>
      <c r="FG374" s="239"/>
      <c r="FH374" s="239"/>
      <c r="FI374" s="239"/>
      <c r="FJ374" s="239"/>
      <c r="FK374" s="239"/>
      <c r="FL374" s="239"/>
      <c r="FM374" s="239"/>
      <c r="FN374" s="239"/>
      <c r="FO374" s="239"/>
      <c r="FP374" s="239"/>
      <c r="FQ374" s="239"/>
      <c r="FR374" s="239"/>
      <c r="FS374" s="239"/>
      <c r="FT374" s="239"/>
      <c r="FU374" s="239"/>
      <c r="FV374" s="239"/>
      <c r="FW374" s="239"/>
      <c r="FX374" s="239"/>
      <c r="FY374" s="239"/>
      <c r="FZ374" s="239"/>
      <c r="GA374" s="239"/>
      <c r="GB374" s="239"/>
      <c r="GC374" s="239"/>
      <c r="GD374" s="239"/>
      <c r="GE374" s="239"/>
      <c r="GF374" s="239"/>
      <c r="GG374" s="239"/>
      <c r="GH374" s="239"/>
      <c r="GI374" s="239"/>
      <c r="GJ374" s="239"/>
      <c r="GK374" s="239"/>
      <c r="GL374" s="239"/>
      <c r="GM374" s="239"/>
      <c r="GN374" s="239"/>
      <c r="GO374" s="239"/>
      <c r="GP374" s="239"/>
      <c r="GQ374" s="239"/>
      <c r="GR374" s="239"/>
      <c r="GS374" s="239"/>
      <c r="GT374" s="239"/>
      <c r="GU374" s="239"/>
      <c r="GV374" s="239"/>
      <c r="GW374" s="239"/>
      <c r="GX374" s="239"/>
      <c r="GY374" s="239"/>
      <c r="GZ374" s="239"/>
      <c r="HA374" s="239"/>
      <c r="HB374" s="239"/>
      <c r="HC374" s="239"/>
      <c r="HD374" s="239"/>
      <c r="HE374" s="239"/>
      <c r="HF374" s="239"/>
      <c r="HG374" s="239"/>
      <c r="HH374" s="239"/>
      <c r="HI374" s="239"/>
      <c r="HJ374" s="239"/>
      <c r="HK374" s="239"/>
      <c r="HL374" s="239"/>
      <c r="HM374" s="239"/>
      <c r="HN374" s="239"/>
      <c r="HO374" s="239"/>
      <c r="HP374" s="239"/>
      <c r="HQ374" s="239"/>
      <c r="HR374" s="239"/>
      <c r="HS374" s="239"/>
      <c r="HT374" s="239"/>
      <c r="HU374" s="239"/>
      <c r="HV374" s="239"/>
      <c r="HW374" s="239"/>
      <c r="HX374" s="239"/>
      <c r="HY374" s="239"/>
      <c r="HZ374" s="239"/>
      <c r="IA374" s="239"/>
      <c r="IB374" s="239"/>
      <c r="IC374" s="239"/>
      <c r="ID374" s="239"/>
      <c r="IE374" s="239"/>
      <c r="IF374" s="239"/>
      <c r="IG374" s="239"/>
      <c r="IH374" s="239"/>
      <c r="II374" s="239"/>
      <c r="IJ374" s="239"/>
      <c r="IK374" s="239"/>
      <c r="IL374" s="239"/>
      <c r="IM374" s="239"/>
      <c r="IN374" s="239"/>
      <c r="IO374" s="239"/>
      <c r="IP374" s="239"/>
      <c r="IQ374" s="239"/>
      <c r="IR374" s="239"/>
      <c r="IS374" s="239"/>
      <c r="IT374" s="239"/>
    </row>
    <row r="375" spans="1:254" s="114" customFormat="1" ht="30" x14ac:dyDescent="0.4">
      <c r="A375" s="1" t="s">
        <v>279</v>
      </c>
      <c r="B375" s="235"/>
      <c r="C375" s="236"/>
      <c r="D375" s="236"/>
      <c r="E375" s="236"/>
      <c r="F375" s="137"/>
      <c r="G375" s="237"/>
      <c r="H375" s="237"/>
      <c r="I375" s="237"/>
      <c r="J375" s="2"/>
      <c r="K375" s="2" t="s">
        <v>218</v>
      </c>
      <c r="L375" s="2"/>
      <c r="M375" s="136"/>
      <c r="N375" s="137"/>
      <c r="O375" s="137"/>
      <c r="P375" s="137"/>
      <c r="Q375" s="137"/>
      <c r="R375" s="137"/>
      <c r="S375" s="137"/>
      <c r="T375" s="239"/>
      <c r="U375" s="239"/>
      <c r="V375" s="239"/>
      <c r="W375" s="239"/>
      <c r="X375" s="239"/>
      <c r="Y375" s="239"/>
      <c r="Z375" s="239"/>
      <c r="AA375" s="239"/>
      <c r="AB375" s="239"/>
      <c r="AC375" s="239"/>
      <c r="AD375" s="239"/>
      <c r="AE375" s="239"/>
      <c r="AF375" s="239"/>
      <c r="AG375" s="239"/>
      <c r="AH375" s="239"/>
      <c r="AI375" s="239"/>
      <c r="AJ375" s="239"/>
      <c r="AK375" s="239"/>
      <c r="AL375" s="239"/>
      <c r="AM375" s="239"/>
      <c r="AN375" s="239"/>
      <c r="AO375" s="239"/>
      <c r="AP375" s="239"/>
      <c r="AQ375" s="239"/>
      <c r="AR375" s="239"/>
      <c r="AS375" s="239"/>
      <c r="AT375" s="239"/>
      <c r="AU375" s="239"/>
      <c r="AV375" s="239"/>
      <c r="AW375" s="239"/>
      <c r="AX375" s="239"/>
      <c r="AY375" s="239"/>
      <c r="AZ375" s="239"/>
      <c r="BA375" s="239"/>
      <c r="BB375" s="239"/>
      <c r="BC375" s="239"/>
      <c r="BD375" s="239"/>
      <c r="BE375" s="239"/>
      <c r="BF375" s="239"/>
      <c r="BG375" s="239"/>
      <c r="BH375" s="239"/>
      <c r="BI375" s="239"/>
      <c r="BJ375" s="239"/>
      <c r="BK375" s="239"/>
      <c r="BL375" s="239"/>
      <c r="BM375" s="239"/>
      <c r="BN375" s="239"/>
      <c r="BO375" s="239"/>
      <c r="BP375" s="239"/>
      <c r="BQ375" s="239"/>
      <c r="BR375" s="239"/>
      <c r="BS375" s="239"/>
      <c r="BT375" s="239"/>
      <c r="BU375" s="239"/>
      <c r="BV375" s="239"/>
      <c r="BW375" s="239"/>
      <c r="BX375" s="239"/>
      <c r="BY375" s="239"/>
      <c r="BZ375" s="239"/>
      <c r="CA375" s="239"/>
      <c r="CB375" s="239"/>
      <c r="CC375" s="239"/>
      <c r="CD375" s="239"/>
      <c r="CE375" s="239"/>
      <c r="CF375" s="239"/>
      <c r="CG375" s="239"/>
      <c r="CH375" s="239"/>
      <c r="CI375" s="239"/>
      <c r="CJ375" s="239"/>
      <c r="CK375" s="239"/>
      <c r="CL375" s="239"/>
      <c r="CM375" s="239"/>
      <c r="CN375" s="239"/>
      <c r="CO375" s="239"/>
      <c r="CP375" s="239"/>
      <c r="CQ375" s="239"/>
      <c r="CR375" s="239"/>
      <c r="CS375" s="239"/>
      <c r="CT375" s="239"/>
      <c r="CU375" s="239"/>
      <c r="CV375" s="239"/>
      <c r="CW375" s="239"/>
      <c r="CX375" s="239"/>
      <c r="CY375" s="239"/>
      <c r="CZ375" s="239"/>
      <c r="DA375" s="239"/>
      <c r="DB375" s="239"/>
      <c r="DC375" s="239"/>
      <c r="DD375" s="239"/>
      <c r="DE375" s="239"/>
      <c r="DF375" s="239"/>
      <c r="DG375" s="239"/>
      <c r="DH375" s="239"/>
      <c r="DI375" s="239"/>
      <c r="DJ375" s="239"/>
      <c r="DK375" s="239"/>
      <c r="DL375" s="239"/>
      <c r="DM375" s="239"/>
      <c r="DN375" s="239"/>
      <c r="DO375" s="239"/>
      <c r="DP375" s="239"/>
      <c r="DQ375" s="239"/>
      <c r="DR375" s="239"/>
      <c r="DS375" s="239"/>
      <c r="DT375" s="239"/>
      <c r="DU375" s="239"/>
      <c r="DV375" s="239"/>
      <c r="DW375" s="239"/>
      <c r="DX375" s="239"/>
      <c r="DY375" s="239"/>
      <c r="DZ375" s="239"/>
      <c r="EA375" s="239"/>
      <c r="EB375" s="239"/>
      <c r="EC375" s="239"/>
      <c r="ED375" s="239"/>
      <c r="EE375" s="239"/>
      <c r="EF375" s="239"/>
      <c r="EG375" s="239"/>
      <c r="EH375" s="239"/>
      <c r="EI375" s="239"/>
      <c r="EJ375" s="239"/>
      <c r="EK375" s="239"/>
      <c r="EL375" s="239"/>
      <c r="EM375" s="239"/>
      <c r="EN375" s="239"/>
      <c r="EO375" s="239"/>
      <c r="EP375" s="239"/>
      <c r="EQ375" s="239"/>
      <c r="ER375" s="239"/>
      <c r="ES375" s="239"/>
      <c r="ET375" s="239"/>
      <c r="EU375" s="239"/>
      <c r="EV375" s="239"/>
      <c r="EW375" s="239"/>
      <c r="EX375" s="239"/>
      <c r="EY375" s="239"/>
      <c r="EZ375" s="239"/>
      <c r="FA375" s="239"/>
      <c r="FB375" s="239"/>
      <c r="FC375" s="239"/>
      <c r="FD375" s="239"/>
      <c r="FE375" s="239"/>
      <c r="FF375" s="239"/>
      <c r="FG375" s="239"/>
      <c r="FH375" s="239"/>
      <c r="FI375" s="239"/>
      <c r="FJ375" s="239"/>
      <c r="FK375" s="239"/>
      <c r="FL375" s="239"/>
      <c r="FM375" s="239"/>
      <c r="FN375" s="239"/>
      <c r="FO375" s="239"/>
      <c r="FP375" s="239"/>
      <c r="FQ375" s="239"/>
      <c r="FR375" s="239"/>
      <c r="FS375" s="239"/>
      <c r="FT375" s="239"/>
      <c r="FU375" s="239"/>
      <c r="FV375" s="239"/>
      <c r="FW375" s="239"/>
      <c r="FX375" s="239"/>
      <c r="FY375" s="239"/>
      <c r="FZ375" s="239"/>
      <c r="GA375" s="239"/>
      <c r="GB375" s="239"/>
      <c r="GC375" s="239"/>
      <c r="GD375" s="239"/>
      <c r="GE375" s="239"/>
      <c r="GF375" s="239"/>
      <c r="GG375" s="239"/>
      <c r="GH375" s="239"/>
      <c r="GI375" s="239"/>
      <c r="GJ375" s="239"/>
      <c r="GK375" s="239"/>
      <c r="GL375" s="239"/>
      <c r="GM375" s="239"/>
      <c r="GN375" s="239"/>
      <c r="GO375" s="239"/>
      <c r="GP375" s="239"/>
      <c r="GQ375" s="239"/>
      <c r="GR375" s="239"/>
      <c r="GS375" s="239"/>
      <c r="GT375" s="239"/>
      <c r="GU375" s="239"/>
      <c r="GV375" s="239"/>
      <c r="GW375" s="239"/>
      <c r="GX375" s="239"/>
      <c r="GY375" s="239"/>
      <c r="GZ375" s="239"/>
      <c r="HA375" s="239"/>
      <c r="HB375" s="239"/>
      <c r="HC375" s="239"/>
      <c r="HD375" s="239"/>
      <c r="HE375" s="239"/>
      <c r="HF375" s="239"/>
      <c r="HG375" s="239"/>
      <c r="HH375" s="239"/>
      <c r="HI375" s="239"/>
      <c r="HJ375" s="239"/>
      <c r="HK375" s="239"/>
      <c r="HL375" s="239"/>
      <c r="HM375" s="239"/>
      <c r="HN375" s="239"/>
      <c r="HO375" s="239"/>
      <c r="HP375" s="239"/>
      <c r="HQ375" s="239"/>
      <c r="HR375" s="239"/>
      <c r="HS375" s="239"/>
      <c r="HT375" s="239"/>
      <c r="HU375" s="239"/>
      <c r="HV375" s="239"/>
      <c r="HW375" s="239"/>
      <c r="HX375" s="239"/>
      <c r="HY375" s="239"/>
      <c r="HZ375" s="239"/>
      <c r="IA375" s="239"/>
      <c r="IB375" s="239"/>
      <c r="IC375" s="239"/>
      <c r="ID375" s="239"/>
      <c r="IE375" s="239"/>
      <c r="IF375" s="239"/>
      <c r="IG375" s="239"/>
      <c r="IH375" s="239"/>
      <c r="II375" s="239"/>
      <c r="IJ375" s="239"/>
      <c r="IK375" s="239"/>
      <c r="IL375" s="239"/>
      <c r="IM375" s="239"/>
      <c r="IN375" s="239"/>
      <c r="IO375" s="239"/>
      <c r="IP375" s="239"/>
      <c r="IQ375" s="239"/>
      <c r="IR375" s="239"/>
      <c r="IS375" s="239"/>
      <c r="IT375" s="239"/>
    </row>
    <row r="376" spans="1:254" s="114" customFormat="1" ht="30" x14ac:dyDescent="0.4">
      <c r="A376" s="1"/>
      <c r="B376" s="235"/>
      <c r="C376" s="236"/>
      <c r="D376" s="236"/>
      <c r="E376" s="236"/>
      <c r="F376" s="137"/>
      <c r="G376" s="237"/>
      <c r="H376" s="237"/>
      <c r="I376" s="237"/>
      <c r="J376" s="2"/>
      <c r="K376" s="2" t="s">
        <v>253</v>
      </c>
      <c r="L376" s="2"/>
      <c r="M376" s="136"/>
      <c r="N376" s="137"/>
      <c r="O376" s="137"/>
      <c r="P376" s="137"/>
      <c r="Q376" s="137"/>
      <c r="R376" s="137"/>
      <c r="S376" s="137"/>
      <c r="T376" s="239"/>
      <c r="U376" s="239"/>
      <c r="V376" s="239"/>
      <c r="W376" s="239"/>
      <c r="X376" s="239"/>
      <c r="Y376" s="239"/>
      <c r="Z376" s="239"/>
      <c r="AA376" s="239"/>
      <c r="AB376" s="239"/>
      <c r="AC376" s="239"/>
      <c r="AD376" s="239"/>
      <c r="AE376" s="239"/>
      <c r="AF376" s="239"/>
      <c r="AG376" s="239"/>
      <c r="AH376" s="239"/>
      <c r="AI376" s="239"/>
      <c r="AJ376" s="239"/>
      <c r="AK376" s="239"/>
      <c r="AL376" s="239"/>
      <c r="AM376" s="239"/>
      <c r="AN376" s="239"/>
      <c r="AO376" s="239"/>
      <c r="AP376" s="239"/>
      <c r="AQ376" s="239"/>
      <c r="AR376" s="239"/>
      <c r="AS376" s="239"/>
      <c r="AT376" s="239"/>
      <c r="AU376" s="239"/>
      <c r="AV376" s="239"/>
      <c r="AW376" s="239"/>
      <c r="AX376" s="239"/>
      <c r="AY376" s="239"/>
      <c r="AZ376" s="239"/>
      <c r="BA376" s="239"/>
      <c r="BB376" s="239"/>
      <c r="BC376" s="239"/>
      <c r="BD376" s="239"/>
      <c r="BE376" s="239"/>
      <c r="BF376" s="239"/>
      <c r="BG376" s="239"/>
      <c r="BH376" s="239"/>
      <c r="BI376" s="239"/>
      <c r="BJ376" s="239"/>
      <c r="BK376" s="239"/>
      <c r="BL376" s="239"/>
      <c r="BM376" s="239"/>
      <c r="BN376" s="239"/>
      <c r="BO376" s="239"/>
      <c r="BP376" s="239"/>
      <c r="BQ376" s="239"/>
      <c r="BR376" s="239"/>
      <c r="BS376" s="239"/>
      <c r="BT376" s="239"/>
      <c r="BU376" s="239"/>
      <c r="BV376" s="239"/>
      <c r="BW376" s="239"/>
      <c r="BX376" s="239"/>
      <c r="BY376" s="239"/>
      <c r="BZ376" s="239"/>
      <c r="CA376" s="239"/>
      <c r="CB376" s="239"/>
      <c r="CC376" s="239"/>
      <c r="CD376" s="239"/>
      <c r="CE376" s="239"/>
      <c r="CF376" s="239"/>
      <c r="CG376" s="239"/>
      <c r="CH376" s="239"/>
      <c r="CI376" s="239"/>
      <c r="CJ376" s="239"/>
      <c r="CK376" s="239"/>
      <c r="CL376" s="239"/>
      <c r="CM376" s="239"/>
      <c r="CN376" s="239"/>
      <c r="CO376" s="239"/>
      <c r="CP376" s="239"/>
      <c r="CQ376" s="239"/>
      <c r="CR376" s="239"/>
      <c r="CS376" s="239"/>
      <c r="CT376" s="239"/>
      <c r="CU376" s="239"/>
      <c r="CV376" s="239"/>
      <c r="CW376" s="239"/>
      <c r="CX376" s="239"/>
      <c r="CY376" s="239"/>
      <c r="CZ376" s="239"/>
      <c r="DA376" s="239"/>
      <c r="DB376" s="239"/>
      <c r="DC376" s="239"/>
      <c r="DD376" s="239"/>
      <c r="DE376" s="239"/>
      <c r="DF376" s="239"/>
      <c r="DG376" s="239"/>
      <c r="DH376" s="239"/>
      <c r="DI376" s="239"/>
      <c r="DJ376" s="239"/>
      <c r="DK376" s="239"/>
      <c r="DL376" s="239"/>
      <c r="DM376" s="239"/>
      <c r="DN376" s="239"/>
      <c r="DO376" s="239"/>
      <c r="DP376" s="239"/>
      <c r="DQ376" s="239"/>
      <c r="DR376" s="239"/>
      <c r="DS376" s="239"/>
      <c r="DT376" s="239"/>
      <c r="DU376" s="239"/>
      <c r="DV376" s="239"/>
      <c r="DW376" s="239"/>
      <c r="DX376" s="239"/>
      <c r="DY376" s="239"/>
      <c r="DZ376" s="239"/>
      <c r="EA376" s="239"/>
      <c r="EB376" s="239"/>
      <c r="EC376" s="239"/>
      <c r="ED376" s="239"/>
      <c r="EE376" s="239"/>
      <c r="EF376" s="239"/>
      <c r="EG376" s="239"/>
      <c r="EH376" s="239"/>
      <c r="EI376" s="239"/>
      <c r="EJ376" s="239"/>
      <c r="EK376" s="239"/>
      <c r="EL376" s="239"/>
      <c r="EM376" s="239"/>
      <c r="EN376" s="239"/>
      <c r="EO376" s="239"/>
      <c r="EP376" s="239"/>
      <c r="EQ376" s="239"/>
      <c r="ER376" s="239"/>
      <c r="ES376" s="239"/>
      <c r="ET376" s="239"/>
      <c r="EU376" s="239"/>
      <c r="EV376" s="239"/>
      <c r="EW376" s="239"/>
      <c r="EX376" s="239"/>
      <c r="EY376" s="239"/>
      <c r="EZ376" s="239"/>
      <c r="FA376" s="239"/>
      <c r="FB376" s="239"/>
      <c r="FC376" s="239"/>
      <c r="FD376" s="239"/>
      <c r="FE376" s="239"/>
      <c r="FF376" s="239"/>
      <c r="FG376" s="239"/>
      <c r="FH376" s="239"/>
      <c r="FI376" s="239"/>
      <c r="FJ376" s="239"/>
      <c r="FK376" s="239"/>
      <c r="FL376" s="239"/>
      <c r="FM376" s="239"/>
      <c r="FN376" s="239"/>
      <c r="FO376" s="239"/>
      <c r="FP376" s="239"/>
      <c r="FQ376" s="239"/>
      <c r="FR376" s="239"/>
      <c r="FS376" s="239"/>
      <c r="FT376" s="239"/>
      <c r="FU376" s="239"/>
      <c r="FV376" s="239"/>
      <c r="FW376" s="239"/>
      <c r="FX376" s="239"/>
      <c r="FY376" s="239"/>
      <c r="FZ376" s="239"/>
      <c r="GA376" s="239"/>
      <c r="GB376" s="239"/>
      <c r="GC376" s="239"/>
      <c r="GD376" s="239"/>
      <c r="GE376" s="239"/>
      <c r="GF376" s="239"/>
      <c r="GG376" s="239"/>
      <c r="GH376" s="239"/>
      <c r="GI376" s="239"/>
      <c r="GJ376" s="239"/>
      <c r="GK376" s="239"/>
      <c r="GL376" s="239"/>
      <c r="GM376" s="239"/>
      <c r="GN376" s="239"/>
      <c r="GO376" s="239"/>
      <c r="GP376" s="239"/>
      <c r="GQ376" s="239"/>
      <c r="GR376" s="239"/>
      <c r="GS376" s="239"/>
      <c r="GT376" s="239"/>
      <c r="GU376" s="239"/>
      <c r="GV376" s="239"/>
      <c r="GW376" s="239"/>
      <c r="GX376" s="239"/>
      <c r="GY376" s="239"/>
      <c r="GZ376" s="239"/>
      <c r="HA376" s="239"/>
      <c r="HB376" s="239"/>
      <c r="HC376" s="239"/>
      <c r="HD376" s="239"/>
      <c r="HE376" s="239"/>
      <c r="HF376" s="239"/>
      <c r="HG376" s="239"/>
      <c r="HH376" s="239"/>
      <c r="HI376" s="239"/>
      <c r="HJ376" s="239"/>
      <c r="HK376" s="239"/>
      <c r="HL376" s="239"/>
      <c r="HM376" s="239"/>
      <c r="HN376" s="239"/>
      <c r="HO376" s="239"/>
      <c r="HP376" s="239"/>
      <c r="HQ376" s="239"/>
      <c r="HR376" s="239"/>
      <c r="HS376" s="239"/>
      <c r="HT376" s="239"/>
      <c r="HU376" s="239"/>
      <c r="HV376" s="239"/>
      <c r="HW376" s="239"/>
      <c r="HX376" s="239"/>
      <c r="HY376" s="239"/>
      <c r="HZ376" s="239"/>
      <c r="IA376" s="239"/>
      <c r="IB376" s="239"/>
      <c r="IC376" s="239"/>
      <c r="ID376" s="239"/>
      <c r="IE376" s="239"/>
      <c r="IF376" s="239"/>
      <c r="IG376" s="239"/>
      <c r="IH376" s="239"/>
      <c r="II376" s="239"/>
      <c r="IJ376" s="239"/>
      <c r="IK376" s="239"/>
      <c r="IL376" s="239"/>
      <c r="IM376" s="239"/>
      <c r="IN376" s="239"/>
      <c r="IO376" s="239"/>
      <c r="IP376" s="239"/>
      <c r="IQ376" s="239"/>
      <c r="IR376" s="239"/>
      <c r="IS376" s="239"/>
      <c r="IT376" s="239"/>
    </row>
    <row r="377" spans="1:254" s="114" customFormat="1" x14ac:dyDescent="0.2">
      <c r="B377" s="235"/>
      <c r="C377" s="236"/>
      <c r="D377" s="236"/>
      <c r="E377" s="236"/>
      <c r="F377" s="137"/>
      <c r="G377" s="237"/>
      <c r="H377" s="237"/>
      <c r="I377" s="237"/>
      <c r="J377" s="3"/>
      <c r="K377" s="70"/>
      <c r="L377" s="6"/>
      <c r="M377" s="136"/>
      <c r="N377" s="137"/>
      <c r="O377" s="137"/>
      <c r="P377" s="137"/>
      <c r="Q377" s="137"/>
      <c r="R377" s="137"/>
      <c r="S377" s="137"/>
      <c r="T377" s="239"/>
      <c r="U377" s="239"/>
      <c r="V377" s="239"/>
      <c r="W377" s="239"/>
      <c r="X377" s="239"/>
      <c r="Y377" s="239"/>
      <c r="Z377" s="239"/>
      <c r="AA377" s="239"/>
      <c r="AB377" s="239"/>
      <c r="AC377" s="239"/>
      <c r="AD377" s="239"/>
      <c r="AE377" s="239"/>
      <c r="AF377" s="239"/>
      <c r="AG377" s="239"/>
      <c r="AH377" s="239"/>
      <c r="AI377" s="239"/>
      <c r="AJ377" s="239"/>
      <c r="AK377" s="239"/>
      <c r="AL377" s="239"/>
      <c r="AM377" s="239"/>
      <c r="AN377" s="239"/>
      <c r="AO377" s="239"/>
      <c r="AP377" s="239"/>
      <c r="AQ377" s="239"/>
      <c r="AR377" s="239"/>
      <c r="AS377" s="239"/>
      <c r="AT377" s="239"/>
      <c r="AU377" s="239"/>
      <c r="AV377" s="239"/>
      <c r="AW377" s="239"/>
      <c r="AX377" s="239"/>
      <c r="AY377" s="239"/>
      <c r="AZ377" s="239"/>
      <c r="BA377" s="239"/>
      <c r="BB377" s="239"/>
      <c r="BC377" s="239"/>
      <c r="BD377" s="239"/>
      <c r="BE377" s="239"/>
      <c r="BF377" s="239"/>
      <c r="BG377" s="239"/>
      <c r="BH377" s="239"/>
      <c r="BI377" s="239"/>
      <c r="BJ377" s="239"/>
      <c r="BK377" s="239"/>
      <c r="BL377" s="239"/>
      <c r="BM377" s="239"/>
      <c r="BN377" s="239"/>
      <c r="BO377" s="239"/>
      <c r="BP377" s="239"/>
      <c r="BQ377" s="239"/>
      <c r="BR377" s="239"/>
      <c r="BS377" s="239"/>
      <c r="BT377" s="239"/>
      <c r="BU377" s="239"/>
      <c r="BV377" s="239"/>
      <c r="BW377" s="239"/>
      <c r="BX377" s="239"/>
      <c r="BY377" s="239"/>
      <c r="BZ377" s="239"/>
      <c r="CA377" s="239"/>
      <c r="CB377" s="239"/>
      <c r="CC377" s="239"/>
      <c r="CD377" s="239"/>
      <c r="CE377" s="239"/>
      <c r="CF377" s="239"/>
      <c r="CG377" s="239"/>
      <c r="CH377" s="239"/>
      <c r="CI377" s="239"/>
      <c r="CJ377" s="239"/>
      <c r="CK377" s="239"/>
      <c r="CL377" s="239"/>
      <c r="CM377" s="239"/>
      <c r="CN377" s="239"/>
      <c r="CO377" s="239"/>
      <c r="CP377" s="239"/>
      <c r="CQ377" s="239"/>
      <c r="CR377" s="239"/>
      <c r="CS377" s="239"/>
      <c r="CT377" s="239"/>
      <c r="CU377" s="239"/>
      <c r="CV377" s="239"/>
      <c r="CW377" s="239"/>
      <c r="CX377" s="239"/>
      <c r="CY377" s="239"/>
      <c r="CZ377" s="239"/>
      <c r="DA377" s="239"/>
      <c r="DB377" s="239"/>
      <c r="DC377" s="239"/>
      <c r="DD377" s="239"/>
      <c r="DE377" s="239"/>
      <c r="DF377" s="239"/>
      <c r="DG377" s="239"/>
      <c r="DH377" s="239"/>
      <c r="DI377" s="239"/>
      <c r="DJ377" s="239"/>
      <c r="DK377" s="239"/>
      <c r="DL377" s="239"/>
      <c r="DM377" s="239"/>
      <c r="DN377" s="239"/>
      <c r="DO377" s="239"/>
      <c r="DP377" s="239"/>
      <c r="DQ377" s="239"/>
      <c r="DR377" s="239"/>
      <c r="DS377" s="239"/>
      <c r="DT377" s="239"/>
      <c r="DU377" s="239"/>
      <c r="DV377" s="239"/>
      <c r="DW377" s="239"/>
      <c r="DX377" s="239"/>
      <c r="DY377" s="239"/>
      <c r="DZ377" s="239"/>
      <c r="EA377" s="239"/>
      <c r="EB377" s="239"/>
      <c r="EC377" s="239"/>
      <c r="ED377" s="239"/>
      <c r="EE377" s="239"/>
      <c r="EF377" s="239"/>
      <c r="EG377" s="239"/>
      <c r="EH377" s="239"/>
      <c r="EI377" s="239"/>
      <c r="EJ377" s="239"/>
      <c r="EK377" s="239"/>
      <c r="EL377" s="239"/>
      <c r="EM377" s="239"/>
      <c r="EN377" s="239"/>
      <c r="EO377" s="239"/>
      <c r="EP377" s="239"/>
      <c r="EQ377" s="239"/>
      <c r="ER377" s="239"/>
      <c r="ES377" s="239"/>
      <c r="ET377" s="239"/>
      <c r="EU377" s="239"/>
      <c r="EV377" s="239"/>
      <c r="EW377" s="239"/>
      <c r="EX377" s="239"/>
      <c r="EY377" s="239"/>
      <c r="EZ377" s="239"/>
      <c r="FA377" s="239"/>
      <c r="FB377" s="239"/>
      <c r="FC377" s="239"/>
      <c r="FD377" s="239"/>
      <c r="FE377" s="239"/>
      <c r="FF377" s="239"/>
      <c r="FG377" s="239"/>
      <c r="FH377" s="239"/>
      <c r="FI377" s="239"/>
      <c r="FJ377" s="239"/>
      <c r="FK377" s="239"/>
      <c r="FL377" s="239"/>
      <c r="FM377" s="239"/>
      <c r="FN377" s="239"/>
      <c r="FO377" s="239"/>
      <c r="FP377" s="239"/>
      <c r="FQ377" s="239"/>
      <c r="FR377" s="239"/>
      <c r="FS377" s="239"/>
      <c r="FT377" s="239"/>
      <c r="FU377" s="239"/>
      <c r="FV377" s="239"/>
      <c r="FW377" s="239"/>
      <c r="FX377" s="239"/>
      <c r="FY377" s="239"/>
      <c r="FZ377" s="239"/>
      <c r="GA377" s="239"/>
      <c r="GB377" s="239"/>
      <c r="GC377" s="239"/>
      <c r="GD377" s="239"/>
      <c r="GE377" s="239"/>
      <c r="GF377" s="239"/>
      <c r="GG377" s="239"/>
      <c r="GH377" s="239"/>
      <c r="GI377" s="239"/>
      <c r="GJ377" s="239"/>
      <c r="GK377" s="239"/>
      <c r="GL377" s="239"/>
      <c r="GM377" s="239"/>
      <c r="GN377" s="239"/>
      <c r="GO377" s="239"/>
      <c r="GP377" s="239"/>
      <c r="GQ377" s="239"/>
      <c r="GR377" s="239"/>
      <c r="GS377" s="239"/>
      <c r="GT377" s="239"/>
      <c r="GU377" s="239"/>
      <c r="GV377" s="239"/>
      <c r="GW377" s="239"/>
      <c r="GX377" s="239"/>
      <c r="GY377" s="239"/>
      <c r="GZ377" s="239"/>
      <c r="HA377" s="239"/>
      <c r="HB377" s="239"/>
      <c r="HC377" s="239"/>
      <c r="HD377" s="239"/>
      <c r="HE377" s="239"/>
      <c r="HF377" s="239"/>
      <c r="HG377" s="239"/>
      <c r="HH377" s="239"/>
      <c r="HI377" s="239"/>
      <c r="HJ377" s="239"/>
      <c r="HK377" s="239"/>
      <c r="HL377" s="239"/>
      <c r="HM377" s="239"/>
      <c r="HN377" s="239"/>
      <c r="HO377" s="239"/>
      <c r="HP377" s="239"/>
      <c r="HQ377" s="239"/>
      <c r="HR377" s="239"/>
      <c r="HS377" s="239"/>
      <c r="HT377" s="239"/>
      <c r="HU377" s="239"/>
      <c r="HV377" s="239"/>
      <c r="HW377" s="239"/>
      <c r="HX377" s="239"/>
      <c r="HY377" s="239"/>
      <c r="HZ377" s="239"/>
      <c r="IA377" s="239"/>
      <c r="IB377" s="239"/>
      <c r="IC377" s="239"/>
      <c r="ID377" s="239"/>
      <c r="IE377" s="239"/>
      <c r="IF377" s="239"/>
      <c r="IG377" s="239"/>
      <c r="IH377" s="239"/>
      <c r="II377" s="239"/>
      <c r="IJ377" s="239"/>
      <c r="IK377" s="239"/>
      <c r="IL377" s="239"/>
      <c r="IM377" s="239"/>
      <c r="IN377" s="239"/>
      <c r="IO377" s="239"/>
      <c r="IP377" s="239"/>
      <c r="IQ377" s="239"/>
      <c r="IR377" s="239"/>
      <c r="IS377" s="239"/>
      <c r="IT377" s="239"/>
    </row>
    <row r="378" spans="1:254" ht="9.75" customHeight="1" x14ac:dyDescent="0.35">
      <c r="A378" s="1"/>
      <c r="B378" s="5"/>
      <c r="C378" s="6"/>
      <c r="D378" s="3"/>
      <c r="E378" s="3"/>
      <c r="F378" s="3"/>
      <c r="G378" s="3"/>
      <c r="H378" s="3"/>
      <c r="I378" s="3"/>
      <c r="J378" s="3"/>
      <c r="K378" s="3"/>
      <c r="L378" s="5"/>
      <c r="M378" s="6"/>
      <c r="N378" s="5"/>
      <c r="O378" s="3"/>
      <c r="P378" s="3"/>
      <c r="Q378" s="3"/>
      <c r="R378" s="3"/>
      <c r="S378" s="3"/>
    </row>
    <row r="379" spans="1:254" ht="15.75" x14ac:dyDescent="0.25">
      <c r="B379" s="1"/>
      <c r="C379" s="1"/>
      <c r="D379" s="1"/>
      <c r="E379" s="1"/>
      <c r="F379" s="9"/>
      <c r="G379" s="10" t="s">
        <v>0</v>
      </c>
      <c r="H379" s="10"/>
      <c r="I379" s="10"/>
      <c r="J379" s="11"/>
      <c r="K379" s="11"/>
      <c r="L379" s="310"/>
      <c r="M379" s="307"/>
      <c r="N379" s="12" t="s">
        <v>183</v>
      </c>
      <c r="O379" s="13"/>
      <c r="P379" s="13"/>
      <c r="Q379" s="14"/>
      <c r="R379" s="13"/>
      <c r="S379" s="240"/>
    </row>
    <row r="380" spans="1:254" ht="15.75" x14ac:dyDescent="0.25">
      <c r="B380" s="1"/>
      <c r="C380" s="1"/>
      <c r="D380" s="1"/>
      <c r="E380" s="241"/>
      <c r="F380" s="18" t="s">
        <v>241</v>
      </c>
      <c r="G380" s="18" t="s">
        <v>159</v>
      </c>
      <c r="H380" s="18"/>
      <c r="I380" s="18"/>
      <c r="J380" s="18" t="s">
        <v>3</v>
      </c>
      <c r="K380" s="18" t="s">
        <v>4</v>
      </c>
      <c r="L380" s="311"/>
      <c r="M380" s="308"/>
      <c r="N380" s="18" t="s">
        <v>159</v>
      </c>
      <c r="O380" s="18"/>
      <c r="P380" s="18"/>
      <c r="Q380" s="18" t="s">
        <v>3</v>
      </c>
      <c r="R380" s="18" t="s">
        <v>4</v>
      </c>
      <c r="S380" s="242"/>
    </row>
    <row r="381" spans="1:254" ht="15.75" x14ac:dyDescent="0.25">
      <c r="B381" s="213"/>
      <c r="C381" s="1"/>
      <c r="D381" s="1"/>
      <c r="E381" s="214"/>
      <c r="F381" s="23" t="s">
        <v>7</v>
      </c>
      <c r="G381" s="23" t="s">
        <v>160</v>
      </c>
      <c r="H381" s="23" t="s">
        <v>8</v>
      </c>
      <c r="I381" s="23" t="s">
        <v>9</v>
      </c>
      <c r="J381" s="23" t="s">
        <v>10</v>
      </c>
      <c r="K381" s="23" t="s">
        <v>184</v>
      </c>
      <c r="L381" s="293" t="s">
        <v>107</v>
      </c>
      <c r="M381" s="75" t="s">
        <v>12</v>
      </c>
      <c r="N381" s="23" t="s">
        <v>160</v>
      </c>
      <c r="O381" s="23" t="s">
        <v>8</v>
      </c>
      <c r="P381" s="23" t="s">
        <v>9</v>
      </c>
      <c r="Q381" s="23" t="s">
        <v>10</v>
      </c>
      <c r="R381" s="293" t="s">
        <v>184</v>
      </c>
      <c r="S381" s="242"/>
    </row>
    <row r="382" spans="1:254" ht="18" x14ac:dyDescent="0.25">
      <c r="B382" s="196" t="s">
        <v>64</v>
      </c>
      <c r="C382" s="1"/>
      <c r="D382" s="1"/>
      <c r="E382" s="1"/>
      <c r="F382" s="295"/>
      <c r="G382" s="78" t="s">
        <v>234</v>
      </c>
      <c r="H382" s="297"/>
      <c r="I382" s="297"/>
      <c r="J382" s="297"/>
      <c r="K382" s="77" t="s">
        <v>113</v>
      </c>
      <c r="L382" s="78"/>
      <c r="M382" s="309"/>
      <c r="N382" s="78" t="s">
        <v>234</v>
      </c>
      <c r="O382" s="295"/>
      <c r="P382" s="295"/>
      <c r="Q382" s="295"/>
      <c r="R382" s="78" t="s">
        <v>113</v>
      </c>
      <c r="S382" s="15"/>
    </row>
    <row r="383" spans="1:254" ht="15.75" x14ac:dyDescent="0.25">
      <c r="B383" s="94"/>
      <c r="C383" s="1"/>
      <c r="D383" s="1"/>
      <c r="E383" s="1"/>
      <c r="F383" s="243"/>
      <c r="G383" s="244"/>
      <c r="H383" s="244"/>
      <c r="I383" s="244"/>
      <c r="J383" s="244"/>
      <c r="K383" s="244"/>
      <c r="L383" s="158"/>
      <c r="M383" s="158"/>
      <c r="N383" s="243"/>
      <c r="O383" s="243"/>
      <c r="P383" s="243"/>
      <c r="Q383" s="243"/>
      <c r="R383" s="243"/>
      <c r="S383" s="15"/>
    </row>
    <row r="384" spans="1:254" ht="15.75" x14ac:dyDescent="0.25">
      <c r="B384" s="94" t="s">
        <v>75</v>
      </c>
      <c r="C384" s="94"/>
      <c r="D384" s="1"/>
      <c r="E384" s="1"/>
      <c r="F384" s="243"/>
      <c r="G384" s="244"/>
      <c r="H384" s="244"/>
      <c r="I384" s="244"/>
      <c r="J384" s="244"/>
      <c r="K384" s="244"/>
      <c r="L384" s="158"/>
      <c r="M384" s="158"/>
      <c r="N384" s="243"/>
      <c r="O384" s="243"/>
      <c r="P384" s="243"/>
      <c r="Q384" s="243"/>
      <c r="R384" s="243"/>
      <c r="S384" s="15"/>
    </row>
    <row r="385" spans="2:21" ht="18" x14ac:dyDescent="0.25">
      <c r="B385" s="94" t="s">
        <v>76</v>
      </c>
      <c r="C385" s="94"/>
      <c r="D385" s="1"/>
      <c r="E385" s="1"/>
      <c r="F385" s="38">
        <f>F372</f>
        <v>147982.342</v>
      </c>
      <c r="G385" s="245"/>
      <c r="H385" s="245"/>
      <c r="I385" s="245"/>
      <c r="J385" s="245"/>
      <c r="K385" s="245"/>
      <c r="L385" s="32"/>
      <c r="M385" s="32"/>
      <c r="N385" s="38">
        <f>N372</f>
        <v>45290.006056784034</v>
      </c>
      <c r="O385" s="38">
        <f>O372</f>
        <v>18637.646944080247</v>
      </c>
      <c r="P385" s="38">
        <f>P372</f>
        <v>10209.048106351172</v>
      </c>
      <c r="Q385" s="38">
        <f>Q372</f>
        <v>30922.710516126801</v>
      </c>
      <c r="R385" s="38">
        <f>R372</f>
        <v>42922.768149593328</v>
      </c>
      <c r="S385" s="15"/>
    </row>
    <row r="386" spans="2:21" ht="18" x14ac:dyDescent="0.25">
      <c r="B386" s="213"/>
      <c r="C386" s="1"/>
      <c r="D386" s="1"/>
      <c r="E386" s="1"/>
      <c r="F386" s="60"/>
      <c r="G386" s="246"/>
      <c r="H386" s="246"/>
      <c r="I386" s="246"/>
      <c r="J386" s="246"/>
      <c r="K386" s="246"/>
      <c r="L386" s="158"/>
      <c r="M386" s="247"/>
      <c r="N386" s="60"/>
      <c r="O386" s="60"/>
      <c r="P386" s="60"/>
      <c r="Q386" s="60"/>
      <c r="R386" s="60"/>
      <c r="S386" s="15"/>
    </row>
    <row r="387" spans="2:21" s="142" customFormat="1" ht="18" x14ac:dyDescent="0.2">
      <c r="B387" s="221" t="s">
        <v>237</v>
      </c>
      <c r="C387" s="215"/>
      <c r="D387" s="215"/>
      <c r="E387" s="215"/>
      <c r="F387" s="146"/>
      <c r="G387" s="147"/>
      <c r="H387" s="147"/>
      <c r="I387" s="147"/>
      <c r="J387" s="147"/>
      <c r="K387" s="147"/>
      <c r="L387" s="312"/>
      <c r="M387" s="312"/>
      <c r="N387" s="296"/>
      <c r="O387" s="296"/>
      <c r="P387" s="296"/>
      <c r="Q387" s="296"/>
      <c r="R387" s="296"/>
      <c r="S387" s="150"/>
      <c r="U387" s="395">
        <f>SUM(G387:K387)</f>
        <v>0</v>
      </c>
    </row>
    <row r="388" spans="2:21" s="142" customFormat="1" ht="30" x14ac:dyDescent="0.2">
      <c r="B388" s="221"/>
      <c r="C388" s="215" t="s">
        <v>249</v>
      </c>
      <c r="D388" s="215"/>
      <c r="E388" s="215"/>
      <c r="F388" s="146">
        <f>+[1]Summary!$D$16/1000-2987</f>
        <v>52243.072999999997</v>
      </c>
      <c r="G388" s="147">
        <f>+N388/$F388</f>
        <v>0.29992832896247157</v>
      </c>
      <c r="H388" s="147">
        <f>+O388/$F388</f>
        <v>6.0820134583934572E-2</v>
      </c>
      <c r="I388" s="147">
        <f>+P388/$F388</f>
        <v>0.12962163047044548</v>
      </c>
      <c r="J388" s="147">
        <f>+Q388/$F388</f>
        <v>0.34892216490438593</v>
      </c>
      <c r="K388" s="147">
        <f>+R388/$F388</f>
        <v>0.16070636187038068</v>
      </c>
      <c r="L388" s="312" t="s">
        <v>250</v>
      </c>
      <c r="M388" s="148" t="s">
        <v>18</v>
      </c>
      <c r="N388" s="296">
        <f>+[1]Summary!$F$19/1000</f>
        <v>15669.177584754414</v>
      </c>
      <c r="O388" s="296">
        <f>+[1]Summary!$G$19/1000</f>
        <v>3177.4307309383184</v>
      </c>
      <c r="P388" s="296">
        <f>+[1]Summary!$H$19/1000</f>
        <v>6771.8323030465071</v>
      </c>
      <c r="Q388" s="296">
        <f>+[1]Summary!$I$19/1000</f>
        <v>18228.76613241787</v>
      </c>
      <c r="R388" s="296">
        <f>+[1]Summary!$J$19/1000</f>
        <v>8395.7941947587133</v>
      </c>
      <c r="S388" s="150"/>
      <c r="U388" s="395"/>
    </row>
    <row r="389" spans="2:21" s="142" customFormat="1" ht="75" x14ac:dyDescent="0.2">
      <c r="B389" s="221"/>
      <c r="C389" s="215" t="s">
        <v>242</v>
      </c>
      <c r="D389" s="215"/>
      <c r="E389" s="215"/>
      <c r="F389" s="146">
        <v>8208</v>
      </c>
      <c r="G389" s="147">
        <f>+N335</f>
        <v>0.36980752020348961</v>
      </c>
      <c r="H389" s="147">
        <f>+O335</f>
        <v>0.10762846376475928</v>
      </c>
      <c r="I389" s="147">
        <f>+P335</f>
        <v>6.3789435818627366E-2</v>
      </c>
      <c r="J389" s="147">
        <f>+Q335</f>
        <v>0.22273817451082406</v>
      </c>
      <c r="K389" s="147">
        <f>+R335</f>
        <v>0.23603336316030274</v>
      </c>
      <c r="L389" s="148" t="s">
        <v>248</v>
      </c>
      <c r="M389" s="312" t="s">
        <v>79</v>
      </c>
      <c r="N389" s="296">
        <f t="shared" ref="N389:R390" si="0">$F389*G389</f>
        <v>3035.3801258302428</v>
      </c>
      <c r="O389" s="296">
        <f t="shared" si="0"/>
        <v>883.41443058114419</v>
      </c>
      <c r="P389" s="296">
        <f t="shared" si="0"/>
        <v>523.58368919929342</v>
      </c>
      <c r="Q389" s="296">
        <f t="shared" si="0"/>
        <v>1828.2349363848439</v>
      </c>
      <c r="R389" s="296">
        <f t="shared" si="0"/>
        <v>1937.3618448197649</v>
      </c>
      <c r="S389" s="150"/>
      <c r="U389" s="395"/>
    </row>
    <row r="390" spans="2:21" s="142" customFormat="1" ht="75" x14ac:dyDescent="0.2">
      <c r="B390" s="221"/>
      <c r="C390" s="215" t="s">
        <v>243</v>
      </c>
      <c r="D390" s="215"/>
      <c r="E390" s="215"/>
      <c r="F390" s="146">
        <f>6680+1508+250+1018</f>
        <v>9456</v>
      </c>
      <c r="G390" s="147">
        <f>+N335</f>
        <v>0.36980752020348961</v>
      </c>
      <c r="H390" s="147">
        <f>+O335</f>
        <v>0.10762846376475928</v>
      </c>
      <c r="I390" s="147">
        <f>+P335</f>
        <v>6.3789435818627366E-2</v>
      </c>
      <c r="J390" s="147">
        <f>+Q335</f>
        <v>0.22273817451082406</v>
      </c>
      <c r="K390" s="147">
        <f>+R335</f>
        <v>0.23603336316030274</v>
      </c>
      <c r="L390" s="148" t="s">
        <v>244</v>
      </c>
      <c r="M390" s="312" t="s">
        <v>79</v>
      </c>
      <c r="N390" s="296">
        <f t="shared" si="0"/>
        <v>3496.8999110441978</v>
      </c>
      <c r="O390" s="296">
        <f t="shared" si="0"/>
        <v>1017.7347533595637</v>
      </c>
      <c r="P390" s="296">
        <f t="shared" si="0"/>
        <v>603.19290510094038</v>
      </c>
      <c r="Q390" s="296">
        <f t="shared" si="0"/>
        <v>2106.2121781743522</v>
      </c>
      <c r="R390" s="296">
        <f t="shared" si="0"/>
        <v>2231.9314820438226</v>
      </c>
      <c r="S390" s="150"/>
      <c r="U390" s="395"/>
    </row>
    <row r="391" spans="2:21" s="142" customFormat="1" ht="18" x14ac:dyDescent="0.2">
      <c r="B391" s="221"/>
      <c r="C391" s="215"/>
      <c r="D391" s="215"/>
      <c r="E391" s="215"/>
      <c r="F391" s="146"/>
      <c r="G391" s="147"/>
      <c r="H391" s="147"/>
      <c r="I391" s="147"/>
      <c r="J391" s="147"/>
      <c r="K391" s="147"/>
      <c r="L391" s="148"/>
      <c r="M391" s="312"/>
      <c r="N391" s="296"/>
      <c r="O391" s="296"/>
      <c r="P391" s="296"/>
      <c r="Q391" s="296"/>
      <c r="R391" s="296"/>
      <c r="S391" s="150"/>
      <c r="U391" s="395"/>
    </row>
    <row r="392" spans="2:21" ht="18" x14ac:dyDescent="0.25">
      <c r="B392" s="94" t="s">
        <v>245</v>
      </c>
      <c r="C392" s="1"/>
      <c r="D392" s="1"/>
      <c r="E392" s="1"/>
      <c r="F392" s="39">
        <f>SUM(F388:F390)</f>
        <v>69907.073000000004</v>
      </c>
      <c r="G392" s="246"/>
      <c r="H392" s="246"/>
      <c r="I392" s="246"/>
      <c r="J392" s="246"/>
      <c r="K392" s="246"/>
      <c r="L392" s="158"/>
      <c r="M392" s="97"/>
      <c r="N392" s="39">
        <f>SUM(N388:N390)</f>
        <v>22201.457621628855</v>
      </c>
      <c r="O392" s="39">
        <f>SUM(O388:O390)</f>
        <v>5078.5799148790265</v>
      </c>
      <c r="P392" s="39">
        <f>SUM(P388:P390)</f>
        <v>7898.6088973467404</v>
      </c>
      <c r="Q392" s="39">
        <f>SUM(Q388:Q390)</f>
        <v>22163.213246977066</v>
      </c>
      <c r="R392" s="39">
        <f>SUM(R388:R390)</f>
        <v>12565.087521622301</v>
      </c>
      <c r="S392" s="15"/>
    </row>
    <row r="393" spans="2:21" ht="18" x14ac:dyDescent="0.25">
      <c r="B393" s="1"/>
      <c r="C393" s="1"/>
      <c r="D393" s="1"/>
      <c r="E393" s="1"/>
      <c r="F393" s="35"/>
      <c r="G393" s="55"/>
      <c r="H393" s="55"/>
      <c r="I393" s="55"/>
      <c r="J393" s="55"/>
      <c r="K393" s="55"/>
      <c r="L393" s="248"/>
      <c r="M393" s="248"/>
      <c r="N393" s="35"/>
      <c r="O393" s="35"/>
      <c r="P393" s="35"/>
      <c r="Q393" s="35"/>
      <c r="R393" s="35"/>
      <c r="S393" s="15"/>
    </row>
    <row r="394" spans="2:21" ht="18" x14ac:dyDescent="0.25">
      <c r="B394" s="94" t="s">
        <v>78</v>
      </c>
      <c r="C394" s="1"/>
      <c r="D394" s="1"/>
      <c r="E394" s="1"/>
      <c r="F394" s="35"/>
      <c r="G394" s="55"/>
      <c r="H394" s="55"/>
      <c r="I394" s="55"/>
      <c r="J394" s="55"/>
      <c r="K394" s="55"/>
      <c r="L394" s="248"/>
      <c r="M394" s="248"/>
      <c r="N394" s="35"/>
      <c r="O394" s="35"/>
      <c r="P394" s="35"/>
      <c r="Q394" s="35"/>
      <c r="R394" s="35"/>
      <c r="S394" s="15"/>
    </row>
    <row r="395" spans="2:21" ht="18" x14ac:dyDescent="0.25">
      <c r="B395" s="1"/>
      <c r="C395" s="1"/>
      <c r="D395" s="1"/>
      <c r="E395" s="1"/>
      <c r="F395" s="35"/>
      <c r="G395" s="55"/>
      <c r="H395" s="55"/>
      <c r="I395" s="55"/>
      <c r="J395" s="55"/>
      <c r="K395" s="55"/>
      <c r="L395" s="248"/>
      <c r="M395" s="248"/>
      <c r="N395" s="35"/>
      <c r="O395" s="35"/>
      <c r="P395" s="35"/>
      <c r="Q395" s="35"/>
      <c r="R395" s="35"/>
      <c r="S395" s="15"/>
    </row>
    <row r="396" spans="2:21" s="142" customFormat="1" ht="30" x14ac:dyDescent="0.2">
      <c r="B396" s="215"/>
      <c r="C396" s="215" t="s">
        <v>230</v>
      </c>
      <c r="D396" s="215"/>
      <c r="E396" s="215"/>
      <c r="F396" s="313">
        <f>27071+20817</f>
        <v>47888</v>
      </c>
      <c r="G396" s="147">
        <f>N292</f>
        <v>0.36868739653195204</v>
      </c>
      <c r="H396" s="147">
        <f>O292</f>
        <v>0.10677217559244044</v>
      </c>
      <c r="I396" s="147">
        <f>P292</f>
        <v>6.3611610590137799E-2</v>
      </c>
      <c r="J396" s="147">
        <f>Q292</f>
        <v>0.2250563955536086</v>
      </c>
      <c r="K396" s="147">
        <f>R292</f>
        <v>0.23586936794935121</v>
      </c>
      <c r="L396" s="312" t="s">
        <v>79</v>
      </c>
      <c r="M396" s="312" t="s">
        <v>79</v>
      </c>
      <c r="N396" s="146">
        <f t="shared" ref="N396:R400" si="1">$F396*G396</f>
        <v>17655.702045122118</v>
      </c>
      <c r="O396" s="146">
        <f t="shared" si="1"/>
        <v>5113.1059447707876</v>
      </c>
      <c r="P396" s="146">
        <f t="shared" si="1"/>
        <v>3046.2328079405188</v>
      </c>
      <c r="Q396" s="146">
        <f t="shared" si="1"/>
        <v>10777.500670271209</v>
      </c>
      <c r="R396" s="146">
        <f t="shared" si="1"/>
        <v>11295.312292358531</v>
      </c>
      <c r="S396" s="150"/>
      <c r="U396" s="395">
        <f>SUM(G396:K396)</f>
        <v>0.99999694621749002</v>
      </c>
    </row>
    <row r="397" spans="2:21" s="142" customFormat="1" ht="30" x14ac:dyDescent="0.2">
      <c r="B397" s="215"/>
      <c r="C397" s="215" t="s">
        <v>80</v>
      </c>
      <c r="D397" s="215"/>
      <c r="E397" s="215"/>
      <c r="F397" s="313">
        <v>21692</v>
      </c>
      <c r="G397" s="147">
        <f>N292</f>
        <v>0.36868739653195204</v>
      </c>
      <c r="H397" s="147">
        <f>O292</f>
        <v>0.10677217559244044</v>
      </c>
      <c r="I397" s="147">
        <f>P292</f>
        <v>6.3611610590137799E-2</v>
      </c>
      <c r="J397" s="147">
        <f>Q292</f>
        <v>0.2250563955536086</v>
      </c>
      <c r="K397" s="147">
        <f>R292</f>
        <v>0.23586936794935121</v>
      </c>
      <c r="L397" s="312" t="s">
        <v>79</v>
      </c>
      <c r="M397" s="312" t="s">
        <v>79</v>
      </c>
      <c r="N397" s="313">
        <f t="shared" si="1"/>
        <v>7997.5670055711034</v>
      </c>
      <c r="O397" s="313">
        <f t="shared" si="1"/>
        <v>2316.102032951218</v>
      </c>
      <c r="P397" s="313">
        <f t="shared" si="1"/>
        <v>1379.8630569212692</v>
      </c>
      <c r="Q397" s="313">
        <f t="shared" si="1"/>
        <v>4881.9233323488779</v>
      </c>
      <c r="R397" s="313">
        <f t="shared" si="1"/>
        <v>5116.4783295573261</v>
      </c>
      <c r="S397" s="150"/>
      <c r="U397" s="395">
        <f>SUM(G397:K397)</f>
        <v>0.99999694621749002</v>
      </c>
    </row>
    <row r="398" spans="2:21" s="142" customFormat="1" ht="30" x14ac:dyDescent="0.2">
      <c r="B398" s="215"/>
      <c r="C398" s="215" t="s">
        <v>102</v>
      </c>
      <c r="D398" s="215"/>
      <c r="E398" s="215"/>
      <c r="F398" s="313">
        <v>5743</v>
      </c>
      <c r="G398" s="147">
        <f>G370</f>
        <v>0.30605006951967306</v>
      </c>
      <c r="H398" s="147">
        <f>H370</f>
        <v>0.12594507352830139</v>
      </c>
      <c r="I398" s="147">
        <f>I370</f>
        <v>6.898828582096081E-2</v>
      </c>
      <c r="J398" s="147">
        <f>J370</f>
        <v>0.20896216466236761</v>
      </c>
      <c r="K398" s="147">
        <f>K370</f>
        <v>0.29005331020908781</v>
      </c>
      <c r="L398" s="312" t="s">
        <v>77</v>
      </c>
      <c r="M398" s="312" t="s">
        <v>77</v>
      </c>
      <c r="N398" s="313">
        <f t="shared" si="1"/>
        <v>1757.6455492514824</v>
      </c>
      <c r="O398" s="313">
        <f t="shared" si="1"/>
        <v>723.30255727303495</v>
      </c>
      <c r="P398" s="313">
        <f t="shared" si="1"/>
        <v>396.19972546977795</v>
      </c>
      <c r="Q398" s="313">
        <f t="shared" si="1"/>
        <v>1200.0697116559772</v>
      </c>
      <c r="R398" s="313">
        <f t="shared" si="1"/>
        <v>1665.7761605307912</v>
      </c>
      <c r="S398" s="150"/>
      <c r="U398" s="395">
        <f>SUM(G398:K398)</f>
        <v>0.99999890374039069</v>
      </c>
    </row>
    <row r="399" spans="2:21" s="142" customFormat="1" ht="30" x14ac:dyDescent="0.2">
      <c r="B399" s="215"/>
      <c r="C399" s="215" t="s">
        <v>103</v>
      </c>
      <c r="D399" s="215"/>
      <c r="E399" s="215"/>
      <c r="F399" s="313">
        <f>1017+1696</f>
        <v>2713</v>
      </c>
      <c r="G399" s="147">
        <f>N292</f>
        <v>0.36868739653195204</v>
      </c>
      <c r="H399" s="147">
        <f>O292</f>
        <v>0.10677217559244044</v>
      </c>
      <c r="I399" s="147">
        <f>P292</f>
        <v>6.3611610590137799E-2</v>
      </c>
      <c r="J399" s="147">
        <f>Q292</f>
        <v>0.2250563955536086</v>
      </c>
      <c r="K399" s="147">
        <f>R292</f>
        <v>0.23586936794935121</v>
      </c>
      <c r="L399" s="312" t="s">
        <v>79</v>
      </c>
      <c r="M399" s="312" t="s">
        <v>79</v>
      </c>
      <c r="N399" s="313">
        <f t="shared" si="1"/>
        <v>1000.2489067911858</v>
      </c>
      <c r="O399" s="313">
        <f t="shared" si="1"/>
        <v>289.67291238229092</v>
      </c>
      <c r="P399" s="313">
        <f t="shared" si="1"/>
        <v>172.57829953104385</v>
      </c>
      <c r="Q399" s="313">
        <f t="shared" si="1"/>
        <v>610.57800113694009</v>
      </c>
      <c r="R399" s="313">
        <f t="shared" si="1"/>
        <v>639.91359524658981</v>
      </c>
      <c r="S399" s="150"/>
      <c r="U399" s="395">
        <f>SUM(G399:K399)</f>
        <v>0.99999694621749002</v>
      </c>
    </row>
    <row r="400" spans="2:21" s="142" customFormat="1" ht="30" x14ac:dyDescent="0.2">
      <c r="B400" s="215"/>
      <c r="C400" s="215" t="s">
        <v>104</v>
      </c>
      <c r="D400" s="215"/>
      <c r="E400" s="215"/>
      <c r="F400" s="314">
        <f>5442+33</f>
        <v>5475</v>
      </c>
      <c r="G400" s="147">
        <f>G370</f>
        <v>0.30605006951967306</v>
      </c>
      <c r="H400" s="147">
        <f>H370</f>
        <v>0.12594507352830139</v>
      </c>
      <c r="I400" s="147">
        <f>I370</f>
        <v>6.898828582096081E-2</v>
      </c>
      <c r="J400" s="147">
        <f>J370</f>
        <v>0.20896216466236761</v>
      </c>
      <c r="K400" s="147">
        <f>K370</f>
        <v>0.29005331020908781</v>
      </c>
      <c r="L400" s="312" t="s">
        <v>77</v>
      </c>
      <c r="M400" s="312" t="s">
        <v>77</v>
      </c>
      <c r="N400" s="314">
        <f t="shared" si="1"/>
        <v>1675.6241306202101</v>
      </c>
      <c r="O400" s="314">
        <f t="shared" si="1"/>
        <v>689.54927756745008</v>
      </c>
      <c r="P400" s="314">
        <f t="shared" si="1"/>
        <v>377.71086486976043</v>
      </c>
      <c r="Q400" s="314">
        <f t="shared" si="1"/>
        <v>1144.0678515264626</v>
      </c>
      <c r="R400" s="314">
        <f t="shared" si="1"/>
        <v>1588.0418733947558</v>
      </c>
      <c r="S400" s="150"/>
      <c r="U400" s="395">
        <f>SUM(G400:K400)</f>
        <v>0.99999890374039069</v>
      </c>
    </row>
    <row r="401" spans="2:19" ht="18" x14ac:dyDescent="0.25">
      <c r="B401" s="1"/>
      <c r="C401" s="1"/>
      <c r="D401" s="1"/>
      <c r="E401" s="1"/>
      <c r="F401" s="35"/>
      <c r="G401" s="245"/>
      <c r="H401" s="245"/>
      <c r="I401" s="245"/>
      <c r="J401" s="245"/>
      <c r="K401" s="245"/>
      <c r="L401" s="32"/>
      <c r="M401" s="32"/>
      <c r="N401" s="35"/>
      <c r="O401" s="35"/>
      <c r="P401" s="35"/>
      <c r="Q401" s="35"/>
      <c r="R401" s="35"/>
      <c r="S401" s="15"/>
    </row>
    <row r="402" spans="2:19" ht="18" x14ac:dyDescent="0.25">
      <c r="B402" s="94" t="s">
        <v>81</v>
      </c>
      <c r="C402" s="1"/>
      <c r="D402" s="1"/>
      <c r="E402" s="1"/>
      <c r="F402" s="39">
        <f>SUM(F396:F400)</f>
        <v>83511</v>
      </c>
      <c r="G402" s="246"/>
      <c r="H402" s="246"/>
      <c r="I402" s="246"/>
      <c r="J402" s="246"/>
      <c r="K402" s="246"/>
      <c r="L402" s="158"/>
      <c r="M402" s="97"/>
      <c r="N402" s="39">
        <f>SUM(N396:N400)</f>
        <v>30086.787637356098</v>
      </c>
      <c r="O402" s="39">
        <f>SUM(O396:O400)</f>
        <v>9131.7327249447826</v>
      </c>
      <c r="P402" s="39">
        <f>SUM(P396:P400)</f>
        <v>5372.5847547323701</v>
      </c>
      <c r="Q402" s="39">
        <f>SUM(Q396:Q400)</f>
        <v>18614.139566939466</v>
      </c>
      <c r="R402" s="39">
        <f>SUM(R396:R400)</f>
        <v>20305.522251087994</v>
      </c>
      <c r="S402" s="15"/>
    </row>
    <row r="403" spans="2:19" ht="18" x14ac:dyDescent="0.25">
      <c r="B403" s="1"/>
      <c r="C403" s="1"/>
      <c r="D403" s="1"/>
      <c r="E403" s="1"/>
      <c r="F403" s="35"/>
      <c r="G403" s="245"/>
      <c r="H403" s="245"/>
      <c r="I403" s="245"/>
      <c r="J403" s="245"/>
      <c r="K403" s="245"/>
      <c r="L403" s="32"/>
      <c r="M403" s="32"/>
      <c r="N403" s="35"/>
      <c r="O403" s="35"/>
      <c r="P403" s="35"/>
      <c r="Q403" s="35"/>
      <c r="R403" s="35"/>
      <c r="S403" s="15"/>
    </row>
    <row r="404" spans="2:19" ht="18" x14ac:dyDescent="0.25">
      <c r="B404" s="94" t="s">
        <v>246</v>
      </c>
      <c r="C404" s="1"/>
      <c r="D404" s="1"/>
      <c r="E404" s="1"/>
      <c r="F404" s="35"/>
      <c r="G404" s="245"/>
      <c r="H404" s="245"/>
      <c r="I404" s="245"/>
      <c r="J404" s="245"/>
      <c r="K404" s="245"/>
      <c r="L404" s="32"/>
      <c r="M404" s="32"/>
      <c r="N404" s="35"/>
      <c r="O404" s="35"/>
      <c r="P404" s="35"/>
      <c r="Q404" s="35"/>
      <c r="R404" s="35"/>
      <c r="S404" s="15"/>
    </row>
    <row r="405" spans="2:19" ht="18" x14ac:dyDescent="0.25">
      <c r="B405" s="94" t="s">
        <v>247</v>
      </c>
      <c r="C405" s="1"/>
      <c r="D405" s="1"/>
      <c r="E405" s="1"/>
      <c r="F405" s="39">
        <f>F385+F392+F402</f>
        <v>301400.41500000004</v>
      </c>
      <c r="G405" s="245"/>
      <c r="H405" s="245"/>
      <c r="I405" s="245"/>
      <c r="J405" s="245"/>
      <c r="K405" s="245"/>
      <c r="L405" s="32"/>
      <c r="M405" s="32"/>
      <c r="N405" s="39">
        <f>N385+N392+N402</f>
        <v>97578.251315768997</v>
      </c>
      <c r="O405" s="39">
        <f>O385+O392+O402</f>
        <v>32847.959583904056</v>
      </c>
      <c r="P405" s="39">
        <f>P385+P392+P402</f>
        <v>23480.241758430282</v>
      </c>
      <c r="Q405" s="39">
        <f>Q385+Q392+Q402</f>
        <v>71700.06333004334</v>
      </c>
      <c r="R405" s="39">
        <f>R385+R392+R402</f>
        <v>75793.377922303625</v>
      </c>
      <c r="S405" s="15"/>
    </row>
    <row r="406" spans="2:19" ht="18" x14ac:dyDescent="0.25">
      <c r="B406" s="1"/>
      <c r="C406" s="1"/>
      <c r="D406" s="1"/>
      <c r="E406" s="1"/>
      <c r="F406" s="35"/>
      <c r="G406" s="245"/>
      <c r="H406" s="245"/>
      <c r="I406" s="245"/>
      <c r="J406" s="245"/>
      <c r="K406" s="245"/>
      <c r="L406" s="32"/>
      <c r="M406" s="32"/>
      <c r="N406" s="35"/>
      <c r="O406" s="35"/>
      <c r="P406" s="35"/>
      <c r="Q406" s="35"/>
      <c r="R406" s="35"/>
      <c r="S406" s="15"/>
    </row>
    <row r="407" spans="2:19" ht="18" x14ac:dyDescent="0.25">
      <c r="B407" s="94" t="s">
        <v>82</v>
      </c>
      <c r="C407" s="1"/>
      <c r="D407" s="1"/>
      <c r="E407" s="1"/>
      <c r="F407" s="88">
        <f>SUM(N407:R407)</f>
        <v>0.99999827110540074</v>
      </c>
      <c r="G407" s="245"/>
      <c r="H407" s="245"/>
      <c r="I407" s="245"/>
      <c r="J407" s="245"/>
      <c r="K407" s="245"/>
      <c r="L407" s="32"/>
      <c r="M407" s="32"/>
      <c r="N407" s="155">
        <f>N405/$F405</f>
        <v>0.32374955859224341</v>
      </c>
      <c r="O407" s="155">
        <f>O405/$F405</f>
        <v>0.10898445373376162</v>
      </c>
      <c r="P407" s="155">
        <f>P405/$F405</f>
        <v>7.7903813630881294E-2</v>
      </c>
      <c r="Q407" s="155">
        <f>Q405/$F405</f>
        <v>0.23788972994626875</v>
      </c>
      <c r="R407" s="155">
        <f>R405/$F405</f>
        <v>0.25147071520224556</v>
      </c>
      <c r="S407" s="15"/>
    </row>
    <row r="408" spans="2:19" ht="18" x14ac:dyDescent="0.25">
      <c r="B408" s="1"/>
      <c r="C408" s="1"/>
      <c r="D408" s="1"/>
      <c r="E408" s="1"/>
      <c r="F408" s="35"/>
      <c r="G408" s="245"/>
      <c r="H408" s="245"/>
      <c r="I408" s="245"/>
      <c r="J408" s="245"/>
      <c r="K408" s="245"/>
      <c r="L408" s="32"/>
      <c r="M408" s="32"/>
      <c r="N408" s="35"/>
      <c r="O408" s="35"/>
      <c r="P408" s="35"/>
      <c r="Q408" s="35"/>
      <c r="R408" s="35"/>
      <c r="S408" s="15"/>
    </row>
    <row r="409" spans="2:19" ht="18" x14ac:dyDescent="0.25">
      <c r="B409" s="94" t="s">
        <v>83</v>
      </c>
      <c r="C409" s="1"/>
      <c r="D409" s="1"/>
      <c r="E409" s="1"/>
      <c r="F409" s="39">
        <v>48820</v>
      </c>
      <c r="G409" s="249">
        <f>N407</f>
        <v>0.32374955859224341</v>
      </c>
      <c r="H409" s="249">
        <f>O407</f>
        <v>0.10898445373376162</v>
      </c>
      <c r="I409" s="249">
        <f>P407</f>
        <v>7.7903813630881294E-2</v>
      </c>
      <c r="J409" s="249">
        <f>Q407</f>
        <v>0.23788972994626875</v>
      </c>
      <c r="K409" s="249">
        <f>R407</f>
        <v>0.25147071520224556</v>
      </c>
      <c r="L409" s="32"/>
      <c r="M409" s="32"/>
      <c r="N409" s="39">
        <f>$F409*G409</f>
        <v>15805.453450473324</v>
      </c>
      <c r="O409" s="39">
        <f>$F409*H409</f>
        <v>5320.6210312822423</v>
      </c>
      <c r="P409" s="39">
        <f>$F409*I409</f>
        <v>3803.264181459625</v>
      </c>
      <c r="Q409" s="39">
        <f>$F409*J409</f>
        <v>11613.77661597684</v>
      </c>
      <c r="R409" s="39">
        <f>$F409*K409</f>
        <v>12276.800316173629</v>
      </c>
      <c r="S409" s="15"/>
    </row>
    <row r="410" spans="2:19" ht="18" x14ac:dyDescent="0.25">
      <c r="B410" s="1"/>
      <c r="C410" s="1"/>
      <c r="D410" s="1"/>
      <c r="E410" s="1"/>
      <c r="F410" s="35"/>
      <c r="G410" s="245"/>
      <c r="H410" s="245"/>
      <c r="I410" s="245"/>
      <c r="J410" s="245"/>
      <c r="K410" s="245"/>
      <c r="L410" s="32"/>
      <c r="M410" s="32"/>
      <c r="N410" s="35"/>
      <c r="O410" s="35"/>
      <c r="P410" s="35"/>
      <c r="Q410" s="35"/>
      <c r="R410" s="35"/>
      <c r="S410" s="15"/>
    </row>
    <row r="411" spans="2:19" ht="18" x14ac:dyDescent="0.25">
      <c r="B411" s="1"/>
      <c r="C411" s="1"/>
      <c r="D411" s="1"/>
      <c r="E411" s="1"/>
      <c r="F411" s="35"/>
      <c r="G411" s="245"/>
      <c r="H411" s="245"/>
      <c r="I411" s="245"/>
      <c r="J411" s="245"/>
      <c r="K411" s="245"/>
      <c r="L411" s="32"/>
      <c r="M411" s="32"/>
      <c r="N411" s="35"/>
      <c r="O411" s="35"/>
      <c r="P411" s="35"/>
      <c r="Q411" s="35"/>
      <c r="R411" s="35"/>
      <c r="S411" s="15"/>
    </row>
    <row r="412" spans="2:19" ht="30" x14ac:dyDescent="0.4">
      <c r="B412" s="250" t="s">
        <v>101</v>
      </c>
      <c r="C412" s="251"/>
      <c r="D412" s="251"/>
      <c r="E412" s="251"/>
      <c r="F412" s="35"/>
      <c r="G412" s="245"/>
      <c r="H412" s="245"/>
      <c r="I412" s="245"/>
      <c r="J412" s="245"/>
      <c r="K412" s="245"/>
      <c r="L412" s="32"/>
      <c r="M412" s="32"/>
      <c r="N412" s="35"/>
      <c r="O412" s="35"/>
      <c r="P412" s="35"/>
      <c r="Q412" s="35"/>
      <c r="R412" s="35"/>
      <c r="S412" s="15"/>
    </row>
    <row r="413" spans="2:19" ht="18" x14ac:dyDescent="0.25">
      <c r="B413" s="8"/>
      <c r="C413" s="3"/>
      <c r="D413" s="3"/>
      <c r="E413" s="3"/>
      <c r="F413" s="35"/>
      <c r="G413" s="245"/>
      <c r="H413" s="245"/>
      <c r="I413" s="245"/>
      <c r="J413" s="245"/>
      <c r="K413" s="245"/>
      <c r="L413" s="32"/>
      <c r="M413" s="32"/>
      <c r="N413" s="35"/>
      <c r="O413" s="35"/>
      <c r="P413" s="35"/>
      <c r="Q413" s="35"/>
      <c r="R413" s="35"/>
      <c r="S413" s="15"/>
    </row>
    <row r="414" spans="2:19" ht="18" x14ac:dyDescent="0.25">
      <c r="B414" s="6"/>
      <c r="C414" s="9" t="s">
        <v>70</v>
      </c>
      <c r="D414" s="3"/>
      <c r="E414" s="3"/>
      <c r="F414" s="38">
        <f>F333</f>
        <v>109914.30899999998</v>
      </c>
      <c r="G414" s="252"/>
      <c r="H414" s="245"/>
      <c r="I414" s="245"/>
      <c r="J414" s="245"/>
      <c r="K414" s="245"/>
      <c r="L414" s="32"/>
      <c r="M414" s="32"/>
      <c r="N414" s="38">
        <f>N333</f>
        <v>40647.13804617009</v>
      </c>
      <c r="O414" s="38">
        <f>O333</f>
        <v>11829.908223435052</v>
      </c>
      <c r="P414" s="38">
        <f>P333</f>
        <v>7011.3717595042754</v>
      </c>
      <c r="Q414" s="38">
        <f>Q333</f>
        <v>24482.112539278634</v>
      </c>
      <c r="R414" s="38">
        <f>R333</f>
        <v>25943.444012710726</v>
      </c>
      <c r="S414" s="15"/>
    </row>
    <row r="415" spans="2:19" ht="18" x14ac:dyDescent="0.25">
      <c r="B415" s="6"/>
      <c r="C415" s="9" t="s">
        <v>84</v>
      </c>
      <c r="D415" s="3"/>
      <c r="E415" s="3"/>
      <c r="F415" s="80">
        <f>F409</f>
        <v>48820</v>
      </c>
      <c r="G415" s="252"/>
      <c r="H415" s="245"/>
      <c r="I415" s="245"/>
      <c r="J415" s="245"/>
      <c r="K415" s="245"/>
      <c r="L415" s="32"/>
      <c r="M415" s="32"/>
      <c r="N415" s="81">
        <f>N409</f>
        <v>15805.453450473324</v>
      </c>
      <c r="O415" s="81">
        <f>O409</f>
        <v>5320.6210312822423</v>
      </c>
      <c r="P415" s="81">
        <f>P409</f>
        <v>3803.264181459625</v>
      </c>
      <c r="Q415" s="81">
        <f>Q409</f>
        <v>11613.77661597684</v>
      </c>
      <c r="R415" s="81">
        <f>R409</f>
        <v>12276.800316173629</v>
      </c>
      <c r="S415" s="15"/>
    </row>
    <row r="416" spans="2:19" ht="18" x14ac:dyDescent="0.25">
      <c r="B416" s="6"/>
      <c r="C416" s="3"/>
      <c r="D416" s="3"/>
      <c r="E416" s="3"/>
      <c r="F416" s="35"/>
      <c r="G416" s="245"/>
      <c r="H416" s="245"/>
      <c r="I416" s="245"/>
      <c r="J416" s="245"/>
      <c r="K416" s="245"/>
      <c r="L416" s="32"/>
      <c r="M416" s="32"/>
      <c r="N416" s="35"/>
      <c r="O416" s="35"/>
      <c r="P416" s="35"/>
      <c r="Q416" s="35"/>
      <c r="R416" s="35"/>
      <c r="S416" s="15"/>
    </row>
    <row r="417" spans="1:254" ht="18" x14ac:dyDescent="0.25">
      <c r="B417" s="6"/>
      <c r="C417" s="9" t="s">
        <v>85</v>
      </c>
      <c r="D417" s="3"/>
      <c r="E417" s="107"/>
      <c r="F417" s="39">
        <f>F414+F415</f>
        <v>158734.30899999998</v>
      </c>
      <c r="G417" s="252"/>
      <c r="H417" s="245"/>
      <c r="I417" s="245"/>
      <c r="J417" s="245"/>
      <c r="K417" s="245"/>
      <c r="L417" s="32"/>
      <c r="M417" s="170"/>
      <c r="N417" s="39">
        <f>N414+N415</f>
        <v>56452.591496643414</v>
      </c>
      <c r="O417" s="39">
        <f>O414+O415</f>
        <v>17150.529254717294</v>
      </c>
      <c r="P417" s="39">
        <f>P414+P415</f>
        <v>10814.635940963901</v>
      </c>
      <c r="Q417" s="39">
        <f>Q414+Q415</f>
        <v>36095.889155255471</v>
      </c>
      <c r="R417" s="39">
        <f>R414+R415</f>
        <v>38220.244328884357</v>
      </c>
      <c r="S417" s="15"/>
      <c r="T417" s="393">
        <f>SUM(N417:R417)</f>
        <v>158733.89017646443</v>
      </c>
    </row>
    <row r="418" spans="1:254" ht="18" x14ac:dyDescent="0.25">
      <c r="B418" s="6"/>
      <c r="C418" s="9"/>
      <c r="D418" s="3"/>
      <c r="E418" s="3"/>
      <c r="F418" s="39"/>
      <c r="G418" s="245"/>
      <c r="H418" s="245"/>
      <c r="I418" s="245"/>
      <c r="J418" s="245"/>
      <c r="K418" s="245"/>
      <c r="L418" s="32"/>
      <c r="M418" s="32"/>
      <c r="N418" s="39"/>
      <c r="O418" s="39"/>
      <c r="P418" s="39"/>
      <c r="Q418" s="39"/>
      <c r="R418" s="39"/>
      <c r="S418" s="15"/>
    </row>
    <row r="419" spans="1:254" ht="18" x14ac:dyDescent="0.25">
      <c r="B419" s="6"/>
      <c r="C419" s="9" t="s">
        <v>86</v>
      </c>
      <c r="D419" s="3"/>
      <c r="E419" s="3"/>
      <c r="F419" s="253">
        <f>F417/$F$417</f>
        <v>1</v>
      </c>
      <c r="G419" s="254"/>
      <c r="H419" s="254"/>
      <c r="I419" s="254"/>
      <c r="J419" s="254"/>
      <c r="K419" s="254"/>
      <c r="L419" s="255"/>
      <c r="M419" s="255"/>
      <c r="N419" s="413">
        <f>N417/$F$417</f>
        <v>0.35564202756345148</v>
      </c>
      <c r="O419" s="413">
        <f>O417/$F$417</f>
        <v>0.1080455092712017</v>
      </c>
      <c r="P419" s="413">
        <f>P417/$F$417</f>
        <v>6.8130425042288126E-2</v>
      </c>
      <c r="Q419" s="413">
        <f>Q417/$F$417</f>
        <v>0.22739815596674487</v>
      </c>
      <c r="R419" s="413">
        <f>R417/$F$417</f>
        <v>0.24078124363702846</v>
      </c>
      <c r="S419" s="106"/>
      <c r="T419" s="394">
        <f>SUM(N419:R419)</f>
        <v>0.99999736148071461</v>
      </c>
    </row>
    <row r="420" spans="1:254" x14ac:dyDescent="0.2">
      <c r="A420" s="7"/>
      <c r="B420" s="6"/>
      <c r="C420" s="7"/>
      <c r="D420" s="3"/>
      <c r="E420" s="3"/>
      <c r="F420" s="256"/>
      <c r="G420" s="257"/>
      <c r="H420" s="257"/>
      <c r="I420" s="257"/>
      <c r="J420" s="258"/>
      <c r="K420" s="258"/>
      <c r="L420" s="259"/>
      <c r="M420" s="259"/>
      <c r="N420" s="256"/>
      <c r="O420" s="260"/>
      <c r="P420" s="260"/>
      <c r="Q420" s="260"/>
      <c r="R420" s="260"/>
      <c r="S420" s="261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  <c r="CU420" s="7"/>
      <c r="CV420" s="7"/>
      <c r="CW420" s="7"/>
      <c r="CX420" s="7"/>
      <c r="CY420" s="7"/>
      <c r="CZ420" s="7"/>
      <c r="DA420" s="7"/>
      <c r="DB420" s="7"/>
      <c r="DC420" s="7"/>
      <c r="DD420" s="7"/>
      <c r="DE420" s="7"/>
      <c r="DF420" s="7"/>
      <c r="DG420" s="7"/>
      <c r="DH420" s="7"/>
      <c r="DI420" s="7"/>
      <c r="DJ420" s="7"/>
      <c r="DK420" s="7"/>
      <c r="DL420" s="7"/>
      <c r="DM420" s="7"/>
      <c r="DN420" s="7"/>
      <c r="DO420" s="7"/>
      <c r="DP420" s="7"/>
      <c r="DQ420" s="7"/>
      <c r="DR420" s="7"/>
      <c r="DS420" s="7"/>
      <c r="DT420" s="7"/>
      <c r="DU420" s="7"/>
      <c r="DV420" s="7"/>
      <c r="DW420" s="7"/>
      <c r="DX420" s="7"/>
      <c r="DY420" s="7"/>
      <c r="DZ420" s="7"/>
      <c r="EA420" s="7"/>
      <c r="EB420" s="7"/>
      <c r="EC420" s="7"/>
      <c r="ED420" s="7"/>
      <c r="EE420" s="7"/>
      <c r="EF420" s="7"/>
      <c r="EG420" s="7"/>
      <c r="EH420" s="7"/>
      <c r="EI420" s="7"/>
      <c r="EJ420" s="7"/>
      <c r="EK420" s="7"/>
      <c r="EL420" s="7"/>
      <c r="EM420" s="7"/>
      <c r="EN420" s="7"/>
      <c r="EO420" s="7"/>
      <c r="EP420" s="7"/>
      <c r="EQ420" s="7"/>
      <c r="ER420" s="7"/>
      <c r="ES420" s="7"/>
      <c r="ET420" s="7"/>
      <c r="EU420" s="7"/>
      <c r="EV420" s="7"/>
      <c r="EW420" s="7"/>
      <c r="EX420" s="7"/>
      <c r="EY420" s="7"/>
      <c r="EZ420" s="7"/>
      <c r="FA420" s="7"/>
      <c r="FB420" s="7"/>
      <c r="FC420" s="7"/>
      <c r="FD420" s="7"/>
      <c r="FE420" s="7"/>
      <c r="FF420" s="7"/>
      <c r="FG420" s="7"/>
      <c r="FH420" s="7"/>
      <c r="FI420" s="7"/>
      <c r="FJ420" s="7"/>
      <c r="FK420" s="7"/>
      <c r="FL420" s="7"/>
      <c r="FM420" s="7"/>
      <c r="FN420" s="7"/>
      <c r="FO420" s="7"/>
      <c r="FP420" s="7"/>
      <c r="FQ420" s="7"/>
      <c r="FR420" s="7"/>
      <c r="FS420" s="7"/>
      <c r="FT420" s="7"/>
      <c r="FU420" s="7"/>
      <c r="FV420" s="7"/>
      <c r="FW420" s="7"/>
      <c r="FX420" s="7"/>
      <c r="FY420" s="7"/>
      <c r="FZ420" s="7"/>
      <c r="GA420" s="7"/>
      <c r="GB420" s="7"/>
      <c r="GC420" s="7"/>
      <c r="GD420" s="7"/>
      <c r="GE420" s="7"/>
      <c r="GF420" s="7"/>
      <c r="GG420" s="7"/>
      <c r="GH420" s="7"/>
      <c r="GI420" s="7"/>
      <c r="GJ420" s="7"/>
      <c r="GK420" s="7"/>
      <c r="GL420" s="7"/>
      <c r="GM420" s="7"/>
      <c r="GN420" s="7"/>
      <c r="GO420" s="7"/>
      <c r="GP420" s="7"/>
      <c r="GQ420" s="7"/>
      <c r="GR420" s="7"/>
      <c r="GS420" s="7"/>
      <c r="GT420" s="7"/>
      <c r="GU420" s="7"/>
      <c r="GV420" s="7"/>
      <c r="GW420" s="7"/>
      <c r="GX420" s="7"/>
      <c r="GY420" s="7"/>
      <c r="GZ420" s="7"/>
      <c r="HA420" s="7"/>
      <c r="HB420" s="7"/>
      <c r="HC420" s="7"/>
      <c r="HD420" s="7"/>
      <c r="HE420" s="7"/>
      <c r="HF420" s="7"/>
      <c r="HG420" s="7"/>
      <c r="HH420" s="7"/>
      <c r="HI420" s="7"/>
      <c r="HJ420" s="7"/>
      <c r="HK420" s="7"/>
      <c r="HL420" s="7"/>
      <c r="HM420" s="7"/>
      <c r="HN420" s="7"/>
      <c r="HO420" s="7"/>
      <c r="HP420" s="7"/>
      <c r="HQ420" s="7"/>
      <c r="HR420" s="7"/>
      <c r="HS420" s="7"/>
      <c r="HT420" s="7"/>
      <c r="HU420" s="7"/>
      <c r="HV420" s="7"/>
      <c r="HW420" s="7"/>
      <c r="HX420" s="7"/>
      <c r="HY420" s="7"/>
      <c r="HZ420" s="7"/>
      <c r="IA420" s="7"/>
      <c r="IB420" s="7"/>
      <c r="IC420" s="7"/>
      <c r="ID420" s="7"/>
      <c r="IE420" s="7"/>
      <c r="IF420" s="7"/>
      <c r="IG420" s="7"/>
      <c r="IH420" s="7"/>
      <c r="II420" s="7"/>
      <c r="IJ420" s="7"/>
      <c r="IK420" s="7"/>
      <c r="IL420" s="7"/>
      <c r="IM420" s="7"/>
      <c r="IN420" s="7"/>
      <c r="IO420" s="7"/>
      <c r="IP420" s="7"/>
      <c r="IQ420" s="7"/>
      <c r="IR420" s="7"/>
      <c r="IS420" s="7"/>
      <c r="IT420" s="7"/>
    </row>
    <row r="421" spans="1:254" x14ac:dyDescent="0.2">
      <c r="A421" s="7"/>
      <c r="B421" s="6"/>
      <c r="C421" s="7"/>
      <c r="D421" s="3"/>
      <c r="E421" s="3"/>
      <c r="F421" s="238"/>
      <c r="G421" s="262"/>
      <c r="H421" s="262"/>
      <c r="I421" s="262"/>
      <c r="J421" s="262"/>
      <c r="K421" s="262"/>
      <c r="L421" s="136"/>
      <c r="M421" s="136"/>
      <c r="N421" s="238"/>
      <c r="O421" s="238"/>
      <c r="P421" s="238"/>
      <c r="Q421" s="238"/>
      <c r="R421" s="238"/>
      <c r="S421" s="263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  <c r="CU421" s="7"/>
      <c r="CV421" s="7"/>
      <c r="CW421" s="7"/>
      <c r="CX421" s="7"/>
      <c r="CY421" s="7"/>
      <c r="CZ421" s="7"/>
      <c r="DA421" s="7"/>
      <c r="DB421" s="7"/>
      <c r="DC421" s="7"/>
      <c r="DD421" s="7"/>
      <c r="DE421" s="7"/>
      <c r="DF421" s="7"/>
      <c r="DG421" s="7"/>
      <c r="DH421" s="7"/>
      <c r="DI421" s="7"/>
      <c r="DJ421" s="7"/>
      <c r="DK421" s="7"/>
      <c r="DL421" s="7"/>
      <c r="DM421" s="7"/>
      <c r="DN421" s="7"/>
      <c r="DO421" s="7"/>
      <c r="DP421" s="7"/>
      <c r="DQ421" s="7"/>
      <c r="DR421" s="7"/>
      <c r="DS421" s="7"/>
      <c r="DT421" s="7"/>
      <c r="DU421" s="7"/>
      <c r="DV421" s="7"/>
      <c r="DW421" s="7"/>
      <c r="DX421" s="7"/>
      <c r="DY421" s="7"/>
      <c r="DZ421" s="7"/>
      <c r="EA421" s="7"/>
      <c r="EB421" s="7"/>
      <c r="EC421" s="7"/>
      <c r="ED421" s="7"/>
      <c r="EE421" s="7"/>
      <c r="EF421" s="7"/>
      <c r="EG421" s="7"/>
      <c r="EH421" s="7"/>
      <c r="EI421" s="7"/>
      <c r="EJ421" s="7"/>
      <c r="EK421" s="7"/>
      <c r="EL421" s="7"/>
      <c r="EM421" s="7"/>
      <c r="EN421" s="7"/>
      <c r="EO421" s="7"/>
      <c r="EP421" s="7"/>
      <c r="EQ421" s="7"/>
      <c r="ER421" s="7"/>
      <c r="ES421" s="7"/>
      <c r="ET421" s="7"/>
      <c r="EU421" s="7"/>
      <c r="EV421" s="7"/>
      <c r="EW421" s="7"/>
      <c r="EX421" s="7"/>
      <c r="EY421" s="7"/>
      <c r="EZ421" s="7"/>
      <c r="FA421" s="7"/>
      <c r="FB421" s="7"/>
      <c r="FC421" s="7"/>
      <c r="FD421" s="7"/>
      <c r="FE421" s="7"/>
      <c r="FF421" s="7"/>
      <c r="FG421" s="7"/>
      <c r="FH421" s="7"/>
      <c r="FI421" s="7"/>
      <c r="FJ421" s="7"/>
      <c r="FK421" s="7"/>
      <c r="FL421" s="7"/>
      <c r="FM421" s="7"/>
      <c r="FN421" s="7"/>
      <c r="FO421" s="7"/>
      <c r="FP421" s="7"/>
      <c r="FQ421" s="7"/>
      <c r="FR421" s="7"/>
      <c r="FS421" s="7"/>
      <c r="FT421" s="7"/>
      <c r="FU421" s="7"/>
      <c r="FV421" s="7"/>
      <c r="FW421" s="7"/>
      <c r="FX421" s="7"/>
      <c r="FY421" s="7"/>
      <c r="FZ421" s="7"/>
      <c r="GA421" s="7"/>
      <c r="GB421" s="7"/>
      <c r="GC421" s="7"/>
      <c r="GD421" s="7"/>
      <c r="GE421" s="7"/>
      <c r="GF421" s="7"/>
      <c r="GG421" s="7"/>
      <c r="GH421" s="7"/>
      <c r="GI421" s="7"/>
      <c r="GJ421" s="7"/>
      <c r="GK421" s="7"/>
      <c r="GL421" s="7"/>
      <c r="GM421" s="7"/>
      <c r="GN421" s="7"/>
      <c r="GO421" s="7"/>
      <c r="GP421" s="7"/>
      <c r="GQ421" s="7"/>
      <c r="GR421" s="7"/>
      <c r="GS421" s="7"/>
      <c r="GT421" s="7"/>
      <c r="GU421" s="7"/>
      <c r="GV421" s="7"/>
      <c r="GW421" s="7"/>
      <c r="GX421" s="7"/>
      <c r="GY421" s="7"/>
      <c r="GZ421" s="7"/>
      <c r="HA421" s="7"/>
      <c r="HB421" s="7"/>
      <c r="HC421" s="7"/>
      <c r="HD421" s="7"/>
      <c r="HE421" s="7"/>
      <c r="HF421" s="7"/>
      <c r="HG421" s="7"/>
      <c r="HH421" s="7"/>
      <c r="HI421" s="7"/>
      <c r="HJ421" s="7"/>
      <c r="HK421" s="7"/>
      <c r="HL421" s="7"/>
      <c r="HM421" s="7"/>
      <c r="HN421" s="7"/>
      <c r="HO421" s="7"/>
      <c r="HP421" s="7"/>
      <c r="HQ421" s="7"/>
      <c r="HR421" s="7"/>
      <c r="HS421" s="7"/>
      <c r="HT421" s="7"/>
      <c r="HU421" s="7"/>
      <c r="HV421" s="7"/>
      <c r="HW421" s="7"/>
      <c r="HX421" s="7"/>
      <c r="HY421" s="7"/>
      <c r="HZ421" s="7"/>
      <c r="IA421" s="7"/>
      <c r="IB421" s="7"/>
      <c r="IC421" s="7"/>
      <c r="ID421" s="7"/>
      <c r="IE421" s="7"/>
      <c r="IF421" s="7"/>
      <c r="IG421" s="7"/>
      <c r="IH421" s="7"/>
      <c r="II421" s="7"/>
      <c r="IJ421" s="7"/>
      <c r="IK421" s="7"/>
      <c r="IL421" s="7"/>
      <c r="IM421" s="7"/>
      <c r="IN421" s="7"/>
      <c r="IO421" s="7"/>
      <c r="IP421" s="7"/>
      <c r="IQ421" s="7"/>
      <c r="IR421" s="7"/>
      <c r="IS421" s="7"/>
      <c r="IT421" s="7"/>
    </row>
    <row r="422" spans="1:254" ht="18" x14ac:dyDescent="0.25">
      <c r="A422" s="7"/>
      <c r="B422" s="6"/>
      <c r="C422" s="264"/>
      <c r="D422" s="203"/>
      <c r="E422" s="203"/>
      <c r="F422" s="265"/>
      <c r="G422" s="266"/>
      <c r="H422" s="266"/>
      <c r="I422" s="266"/>
      <c r="J422" s="266"/>
      <c r="K422" s="266"/>
      <c r="L422" s="267"/>
      <c r="M422" s="267"/>
      <c r="N422" s="268"/>
      <c r="O422" s="268"/>
      <c r="P422" s="268"/>
      <c r="Q422" s="268"/>
      <c r="R422" s="268"/>
      <c r="S422" s="263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  <c r="CU422" s="7"/>
      <c r="CV422" s="7"/>
      <c r="CW422" s="7"/>
      <c r="CX422" s="7"/>
      <c r="CY422" s="7"/>
      <c r="CZ422" s="7"/>
      <c r="DA422" s="7"/>
      <c r="DB422" s="7"/>
      <c r="DC422" s="7"/>
      <c r="DD422" s="7"/>
      <c r="DE422" s="7"/>
      <c r="DF422" s="7"/>
      <c r="DG422" s="7"/>
      <c r="DH422" s="7"/>
      <c r="DI422" s="7"/>
      <c r="DJ422" s="7"/>
      <c r="DK422" s="7"/>
      <c r="DL422" s="7"/>
      <c r="DM422" s="7"/>
      <c r="DN422" s="7"/>
      <c r="DO422" s="7"/>
      <c r="DP422" s="7"/>
      <c r="DQ422" s="7"/>
      <c r="DR422" s="7"/>
      <c r="DS422" s="7"/>
      <c r="DT422" s="7"/>
      <c r="DU422" s="7"/>
      <c r="DV422" s="7"/>
      <c r="DW422" s="7"/>
      <c r="DX422" s="7"/>
      <c r="DY422" s="7"/>
      <c r="DZ422" s="7"/>
      <c r="EA422" s="7"/>
      <c r="EB422" s="7"/>
      <c r="EC422" s="7"/>
      <c r="ED422" s="7"/>
      <c r="EE422" s="7"/>
      <c r="EF422" s="7"/>
      <c r="EG422" s="7"/>
      <c r="EH422" s="7"/>
      <c r="EI422" s="7"/>
      <c r="EJ422" s="7"/>
      <c r="EK422" s="7"/>
      <c r="EL422" s="7"/>
      <c r="EM422" s="7"/>
      <c r="EN422" s="7"/>
      <c r="EO422" s="7"/>
      <c r="EP422" s="7"/>
      <c r="EQ422" s="7"/>
      <c r="ER422" s="7"/>
      <c r="ES422" s="7"/>
      <c r="ET422" s="7"/>
      <c r="EU422" s="7"/>
      <c r="EV422" s="7"/>
      <c r="EW422" s="7"/>
      <c r="EX422" s="7"/>
      <c r="EY422" s="7"/>
      <c r="EZ422" s="7"/>
      <c r="FA422" s="7"/>
      <c r="FB422" s="7"/>
      <c r="FC422" s="7"/>
      <c r="FD422" s="7"/>
      <c r="FE422" s="7"/>
      <c r="FF422" s="7"/>
      <c r="FG422" s="7"/>
      <c r="FH422" s="7"/>
      <c r="FI422" s="7"/>
      <c r="FJ422" s="7"/>
      <c r="FK422" s="7"/>
      <c r="FL422" s="7"/>
      <c r="FM422" s="7"/>
      <c r="FN422" s="7"/>
      <c r="FO422" s="7"/>
      <c r="FP422" s="7"/>
      <c r="FQ422" s="7"/>
      <c r="FR422" s="7"/>
      <c r="FS422" s="7"/>
      <c r="FT422" s="7"/>
      <c r="FU422" s="7"/>
      <c r="FV422" s="7"/>
      <c r="FW422" s="7"/>
      <c r="FX422" s="7"/>
      <c r="FY422" s="7"/>
      <c r="FZ422" s="7"/>
      <c r="GA422" s="7"/>
      <c r="GB422" s="7"/>
      <c r="GC422" s="7"/>
      <c r="GD422" s="7"/>
      <c r="GE422" s="7"/>
      <c r="GF422" s="7"/>
      <c r="GG422" s="7"/>
      <c r="GH422" s="7"/>
      <c r="GI422" s="7"/>
      <c r="GJ422" s="7"/>
      <c r="GK422" s="7"/>
      <c r="GL422" s="7"/>
      <c r="GM422" s="7"/>
      <c r="GN422" s="7"/>
      <c r="GO422" s="7"/>
      <c r="GP422" s="7"/>
      <c r="GQ422" s="7"/>
      <c r="GR422" s="7"/>
      <c r="GS422" s="7"/>
      <c r="GT422" s="7"/>
      <c r="GU422" s="7"/>
      <c r="GV422" s="7"/>
      <c r="GW422" s="7"/>
      <c r="GX422" s="7"/>
      <c r="GY422" s="7"/>
      <c r="GZ422" s="7"/>
      <c r="HA422" s="7"/>
      <c r="HB422" s="7"/>
      <c r="HC422" s="7"/>
      <c r="HD422" s="7"/>
      <c r="HE422" s="7"/>
      <c r="HF422" s="7"/>
      <c r="HG422" s="7"/>
      <c r="HH422" s="7"/>
      <c r="HI422" s="7"/>
      <c r="HJ422" s="7"/>
      <c r="HK422" s="7"/>
      <c r="HL422" s="7"/>
      <c r="HM422" s="7"/>
      <c r="HN422" s="7"/>
      <c r="HO422" s="7"/>
      <c r="HP422" s="7"/>
      <c r="HQ422" s="7"/>
      <c r="HR422" s="7"/>
      <c r="HS422" s="7"/>
      <c r="HT422" s="7"/>
      <c r="HU422" s="7"/>
      <c r="HV422" s="7"/>
      <c r="HW422" s="7"/>
      <c r="HX422" s="7"/>
      <c r="HY422" s="7"/>
      <c r="HZ422" s="7"/>
      <c r="IA422" s="7"/>
      <c r="IB422" s="7"/>
      <c r="IC422" s="7"/>
      <c r="ID422" s="7"/>
      <c r="IE422" s="7"/>
      <c r="IF422" s="7"/>
      <c r="IG422" s="7"/>
      <c r="IH422" s="7"/>
      <c r="II422" s="7"/>
      <c r="IJ422" s="7"/>
      <c r="IK422" s="7"/>
      <c r="IL422" s="7"/>
      <c r="IM422" s="7"/>
      <c r="IN422" s="7"/>
      <c r="IO422" s="7"/>
      <c r="IP422" s="7"/>
      <c r="IQ422" s="7"/>
      <c r="IR422" s="7"/>
      <c r="IS422" s="7"/>
      <c r="IT422" s="7"/>
    </row>
    <row r="423" spans="1:254" x14ac:dyDescent="0.2">
      <c r="B423" s="6"/>
      <c r="C423" s="3"/>
      <c r="D423" s="3"/>
      <c r="E423" s="3"/>
      <c r="F423" s="3"/>
      <c r="G423" s="33"/>
      <c r="H423" s="33"/>
      <c r="I423" s="33"/>
      <c r="J423" s="33"/>
      <c r="K423" s="33"/>
      <c r="L423" s="6"/>
      <c r="M423" s="6"/>
      <c r="N423" s="3"/>
      <c r="O423" s="3"/>
      <c r="P423" s="3"/>
      <c r="Q423" s="3"/>
      <c r="R423" s="3"/>
      <c r="S423" s="3"/>
    </row>
    <row r="428" spans="1:254" ht="23.25" x14ac:dyDescent="0.35">
      <c r="A428" s="271"/>
      <c r="B428" s="272"/>
      <c r="C428" s="271"/>
      <c r="D428" s="271"/>
      <c r="E428" s="271"/>
    </row>
  </sheetData>
  <mergeCells count="2">
    <mergeCell ref="B291:D291"/>
    <mergeCell ref="B292:D292"/>
  </mergeCells>
  <pageMargins left="0.18" right="0.17" top="0.31" bottom="0.33" header="0.21" footer="0.17"/>
  <pageSetup scale="45" fitToHeight="4" orientation="landscape" r:id="rId1"/>
  <headerFooter alignWithMargins="0">
    <oddFooter>&amp;CCAISO/Fin&amp;R&amp;D</oddFooter>
  </headerFooter>
  <rowBreaks count="7" manualBreakCount="7">
    <brk id="69" max="16383" man="1"/>
    <brk id="119" max="16383" man="1"/>
    <brk id="185" max="16383" man="1"/>
    <brk id="246" max="19" man="1"/>
    <brk id="297" max="20" man="1"/>
    <brk id="336" max="16383" man="1"/>
    <brk id="374" max="1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>
  <LongProp xmlns="" name="TaxCatchAll"><![CDATA[12;#Rules|a943be70-f149-4589-84df-0bab8e11b6eb;#3;#Archived|0019c6e1-8c5e-460c-a653-a944372c5015;#3999;#April 30, 1999, The California Independent System Operator Corporaton Amendment 16 filed in Docket No. ER99_ _-000 and EL99-47-000|62359ebb-2b39-42d6-b5c9-e85954e187f0]]></LongProp>
</Long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DA2A94-71DD-4DD4-B58A-FED8E49B3644}"/>
</file>

<file path=customXml/itemProps2.xml><?xml version="1.0" encoding="utf-8"?>
<ds:datastoreItem xmlns:ds="http://schemas.openxmlformats.org/officeDocument/2006/customXml" ds:itemID="{EA427E65-A532-4A15-8196-FD0047380859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783F8B9E-24F1-4B37-97B6-7CBEA2720C6B}"/>
</file>

<file path=customXml/itemProps4.xml><?xml version="1.0" encoding="utf-8"?>
<ds:datastoreItem xmlns:ds="http://schemas.openxmlformats.org/officeDocument/2006/customXml" ds:itemID="{FBA6B343-57F7-40A7-B7B7-3336E1FEBDF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Results</vt:lpstr>
      <vt:lpstr>CostMatrix</vt:lpstr>
      <vt:lpstr>CostMatrix!Print_Area</vt:lpstr>
    </vt:vector>
  </TitlesOfParts>
  <Company>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C-1</dc:title>
  <dc:subject>FILG</dc:subject>
  <dc:creator>SCW</dc:creator>
  <dc:description/>
  <cp:lastModifiedBy>Meredith, Jacqueline</cp:lastModifiedBy>
  <cp:lastPrinted>1999-04-30T15:25:53Z</cp:lastPrinted>
  <dcterms:created xsi:type="dcterms:W3CDTF">1998-11-03T22:34:14Z</dcterms:created>
  <dcterms:modified xsi:type="dcterms:W3CDTF">2025-07-09T01:57:20Z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vDate">
    <vt:lpwstr>1999-04-30T16:31:20Z</vt:lpwstr>
  </property>
  <property fmtid="{D5CDD505-2E9C-101B-9397-08002B2CF9AE}" pid="3" name="ISOKeywords">
    <vt:lpwstr/>
  </property>
  <property fmtid="{D5CDD505-2E9C-101B-9397-08002B2CF9AE}" pid="4" name="ISOGroup">
    <vt:lpwstr>3999;#April 30, 1999, The California Independent System Operator Corporaton Amendment 16 filed in Docket No. ER99_ _-000 and EL99-47-000|62359ebb-2b39-42d6-b5c9-e85954e187f0</vt:lpwstr>
  </property>
  <property fmtid="{D5CDD505-2E9C-101B-9397-08002B2CF9AE}" pid="5" name="ISOTopic">
    <vt:lpwstr>12;#Rules|a943be70-f149-4589-84df-0bab8e11b6eb</vt:lpwstr>
  </property>
  <property fmtid="{D5CDD505-2E9C-101B-9397-08002B2CF9AE}" pid="6" name="Order">
    <vt:lpwstr>24463100.0000000</vt:lpwstr>
  </property>
  <property fmtid="{D5CDD505-2E9C-101B-9397-08002B2CF9AE}" pid="7" name="ISOArchive">
    <vt:lpwstr>3;#Archived|0019c6e1-8c5e-460c-a653-a944372c5015</vt:lpwstr>
  </property>
  <property fmtid="{D5CDD505-2E9C-101B-9397-08002B2CF9AE}" pid="8" name="OriginalUriCopy">
    <vt:lpwstr>http://www.caiso.com/docs/1999/04/30/1999043016312018885.xls, http://www.caiso.com/docs/1999/04/30/1999043016312018885.xls</vt:lpwstr>
  </property>
  <property fmtid="{D5CDD505-2E9C-101B-9397-08002B2CF9AE}" pid="9" name="PageLink">
    <vt:lpwstr/>
  </property>
  <property fmtid="{D5CDD505-2E9C-101B-9397-08002B2CF9AE}" pid="10" name="Archived">
    <vt:lpwstr>0</vt:lpwstr>
  </property>
  <property fmtid="{D5CDD505-2E9C-101B-9397-08002B2CF9AE}" pid="11" name="OriginalURIBackup">
    <vt:lpwstr>http://www.caiso.com/docs/1999/04/30/1999043016312018885.xls, /docs/1999/04/30/1999043016312018885.xls</vt:lpwstr>
  </property>
  <property fmtid="{D5CDD505-2E9C-101B-9397-08002B2CF9AE}" pid="12" name="ContentTypeId">
    <vt:lpwstr>0x010100776092249CC62C48AA17033F357BFB4B</vt:lpwstr>
  </property>
</Properties>
</file>