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155" tabRatio="818"/>
  </bookViews>
  <sheets>
    <sheet name="Results" sheetId="47" r:id="rId1"/>
    <sheet name="2020 CAISO+PAC" sheetId="43" r:id="rId2"/>
    <sheet name="2020 Regional ISO" sheetId="73" r:id="rId3"/>
    <sheet name="2030 Regional ISO" sheetId="38" r:id="rId4"/>
  </sheets>
  <definedNames>
    <definedName name="_xlnm.Print_Area" localSheetId="1">'2020 CAISO+PAC'!$B$3:$W$26</definedName>
    <definedName name="_xlnm.Print_Area" localSheetId="2">'2020 Regional ISO'!$D$3:$AE$60</definedName>
    <definedName name="_xlnm.Print_Area" localSheetId="3">'2030 Regional ISO'!$D$3:$AE$60</definedName>
    <definedName name="_xlnm.Print_Area" localSheetId="0">Results!$B$3:$J$35,Results!$L$3:$Q$51,Results!$S$3:$X$51</definedName>
  </definedNames>
  <calcPr calcId="152511" calcMode="manual"/>
</workbook>
</file>

<file path=xl/calcChain.xml><?xml version="1.0" encoding="utf-8"?>
<calcChain xmlns="http://schemas.openxmlformats.org/spreadsheetml/2006/main">
  <c r="T49" i="47" l="1"/>
  <c r="M49" i="47"/>
  <c r="U8" i="47" l="1"/>
  <c r="S32" i="47" s="1"/>
  <c r="A9" i="47" l="1"/>
  <c r="A10" i="47" l="1"/>
  <c r="U10" i="47" s="1"/>
  <c r="S34" i="47" s="1"/>
  <c r="U9" i="47"/>
  <c r="S33" i="47" s="1"/>
  <c r="A11" i="47" l="1"/>
  <c r="U11" i="47" s="1"/>
  <c r="S35" i="47" s="1"/>
  <c r="T34" i="47" l="1"/>
  <c r="A12" i="47"/>
  <c r="U12" i="47" s="1"/>
  <c r="S36" i="47" s="1"/>
  <c r="T36" i="47"/>
  <c r="A13" i="47" l="1"/>
  <c r="A14" i="47" s="1"/>
  <c r="U14" i="47" s="1"/>
  <c r="N8" i="47"/>
  <c r="L32" i="47" s="1"/>
  <c r="U13" i="47" l="1"/>
  <c r="S37" i="47" s="1"/>
  <c r="S38" i="47"/>
  <c r="A15" i="47"/>
  <c r="A16" i="47" l="1"/>
  <c r="U15" i="47"/>
  <c r="C29" i="47"/>
  <c r="C26" i="47"/>
  <c r="C25" i="47"/>
  <c r="U16" i="47" l="1"/>
  <c r="A18" i="47"/>
  <c r="U17" i="47" s="1"/>
  <c r="S39" i="47"/>
  <c r="C24" i="47"/>
  <c r="G13" i="47"/>
  <c r="E13" i="47"/>
  <c r="S41" i="47" l="1"/>
  <c r="T40" i="47"/>
  <c r="T42" i="47"/>
  <c r="S40" i="47"/>
  <c r="T41" i="47"/>
  <c r="A19" i="47"/>
  <c r="U18" i="47" s="1"/>
  <c r="S42" i="47" s="1"/>
  <c r="A20" i="47" l="1"/>
  <c r="U19" i="47" s="1"/>
  <c r="A21" i="47" l="1"/>
  <c r="U20" i="47" s="1"/>
  <c r="S43" i="47"/>
  <c r="S23" i="47"/>
  <c r="T47" i="47"/>
  <c r="S44" i="47" l="1"/>
  <c r="T45" i="47"/>
  <c r="S21" i="47"/>
  <c r="A22" i="47"/>
  <c r="U21" i="47" l="1"/>
  <c r="S45" i="47" s="1"/>
  <c r="A23" i="47"/>
  <c r="A25" i="47" s="1"/>
  <c r="U23" i="47" s="1"/>
  <c r="S47" i="47" s="1"/>
  <c r="T46" i="47" l="1"/>
  <c r="T48" i="47"/>
  <c r="U22" i="47"/>
  <c r="S46" i="47" s="1"/>
  <c r="A27" i="47"/>
  <c r="U24" i="47" l="1"/>
  <c r="S48" i="47" s="1"/>
  <c r="A28" i="47"/>
  <c r="A30" i="47" l="1"/>
  <c r="U25" i="47"/>
  <c r="T50" i="47" s="1"/>
  <c r="S49" i="47" l="1"/>
  <c r="T51" i="47"/>
  <c r="A31" i="47"/>
  <c r="U28" i="47" s="1"/>
  <c r="S51" i="47" s="1"/>
  <c r="U27" i="47"/>
  <c r="S50" i="47" s="1"/>
  <c r="D8" i="47" l="1"/>
  <c r="N9" i="47" l="1"/>
  <c r="L33" i="47" s="1"/>
  <c r="B24" i="47"/>
  <c r="G8" i="47"/>
  <c r="D9" i="47"/>
  <c r="W9" i="47" l="1"/>
  <c r="V9" i="47"/>
  <c r="N10" i="47"/>
  <c r="B25" i="47"/>
  <c r="D10" i="47"/>
  <c r="B26" i="47" s="1"/>
  <c r="N11" i="47" l="1"/>
  <c r="D11" i="47"/>
  <c r="B27" i="47" s="1"/>
  <c r="L34" i="47"/>
  <c r="P9" i="47"/>
  <c r="C27" i="47"/>
  <c r="G9" i="47"/>
  <c r="E9" i="47"/>
  <c r="D12" i="47"/>
  <c r="N13" i="47"/>
  <c r="L37" i="47" s="1"/>
  <c r="M34" i="47" l="1"/>
  <c r="M36" i="47"/>
  <c r="L35" i="47"/>
  <c r="C28" i="47"/>
  <c r="N12" i="47"/>
  <c r="L36" i="47" s="1"/>
  <c r="B28" i="47"/>
  <c r="D13" i="47"/>
  <c r="I9" i="47"/>
  <c r="B29" i="47" l="1"/>
  <c r="N14" i="47"/>
  <c r="L38" i="47" s="1"/>
  <c r="C30" i="47"/>
  <c r="D14" i="47"/>
  <c r="C31" i="47" s="1"/>
  <c r="D15" i="47" l="1"/>
  <c r="N15" i="47"/>
  <c r="B30" i="47"/>
  <c r="C32" i="47"/>
  <c r="B31" i="47" l="1"/>
  <c r="D16" i="47"/>
  <c r="N16" i="47"/>
  <c r="L39" i="47"/>
  <c r="B32" i="47" l="1"/>
  <c r="C33" i="47"/>
  <c r="D17" i="47"/>
  <c r="B33" i="47" s="1"/>
  <c r="N17" i="47"/>
  <c r="L40" i="47"/>
  <c r="M41" i="47"/>
  <c r="M40" i="47" l="1"/>
  <c r="M42" i="47"/>
  <c r="L41" i="47"/>
  <c r="D18" i="47"/>
  <c r="N18" i="47"/>
  <c r="L42" i="47" s="1"/>
  <c r="B34" i="47" l="1"/>
  <c r="C35" i="47"/>
  <c r="D20" i="47"/>
  <c r="B35" i="47" s="1"/>
  <c r="N19" i="47"/>
  <c r="N20" i="47" l="1"/>
  <c r="L44" i="47" s="1"/>
  <c r="D21" i="47"/>
  <c r="L43" i="47"/>
  <c r="L23" i="47"/>
  <c r="M47" i="47"/>
  <c r="N21" i="47"/>
  <c r="M46" i="47" s="1"/>
  <c r="L21" i="47" l="1"/>
  <c r="M45" i="47"/>
  <c r="N22" i="47"/>
  <c r="L46" i="47" s="1"/>
  <c r="L45" i="47"/>
  <c r="N23" i="47" l="1"/>
  <c r="N24" i="47"/>
  <c r="L48" i="47" s="1"/>
  <c r="M48" i="47" l="1"/>
  <c r="L47" i="47"/>
  <c r="N25" i="47" l="1"/>
  <c r="M51" i="47" l="1"/>
  <c r="L49" i="47"/>
  <c r="M50" i="47"/>
  <c r="N27" i="47"/>
  <c r="L50" i="47" s="1"/>
  <c r="N28" i="47"/>
  <c r="L51" i="47" s="1"/>
  <c r="W11" i="47" l="1"/>
  <c r="V11" i="47"/>
  <c r="V17" i="47" l="1"/>
  <c r="V18" i="47"/>
  <c r="E8" i="47"/>
  <c r="W18" i="47" l="1"/>
  <c r="W20" i="47" l="1"/>
  <c r="W19" i="47"/>
  <c r="V20" i="47"/>
  <c r="V19" i="47"/>
  <c r="W12" i="47"/>
  <c r="V12" i="47"/>
  <c r="W13" i="47" l="1"/>
  <c r="V13" i="47"/>
  <c r="W14" i="47" l="1"/>
  <c r="W15" i="47" l="1"/>
  <c r="V14" i="47"/>
  <c r="V15" i="47"/>
  <c r="G10" i="47" l="1"/>
  <c r="G11" i="47" s="1"/>
  <c r="G12" i="47" s="1"/>
  <c r="E10" i="47" l="1"/>
  <c r="E11" i="47" s="1"/>
  <c r="E12" i="47" s="1"/>
  <c r="I12" i="47" s="1"/>
  <c r="G14" i="47"/>
  <c r="I11" i="47" l="1"/>
  <c r="E14" i="47"/>
  <c r="E15" i="47" s="1"/>
  <c r="G15" i="47"/>
  <c r="G16" i="47"/>
  <c r="E16" i="47" l="1"/>
  <c r="E17" i="47" s="1"/>
  <c r="I14" i="47"/>
  <c r="G17" i="47"/>
  <c r="I16" i="47" l="1"/>
  <c r="V10" i="47" l="1"/>
  <c r="W10" i="47"/>
  <c r="P11" i="47"/>
  <c r="P10" i="47" s="1"/>
  <c r="O11" i="47"/>
  <c r="O12" i="47"/>
  <c r="P12" i="47"/>
  <c r="O13" i="47" l="1"/>
  <c r="O9" i="47"/>
  <c r="O10" i="47" s="1"/>
  <c r="O17" i="47" l="1"/>
  <c r="W17" i="47" s="1"/>
  <c r="O18" i="47"/>
  <c r="P19" i="47"/>
  <c r="P18" i="47"/>
  <c r="O16" i="47" l="1"/>
  <c r="P17" i="47"/>
  <c r="P16" i="47" s="1"/>
  <c r="V23" i="47"/>
  <c r="O19" i="47"/>
  <c r="O14" i="47"/>
  <c r="V24" i="47" l="1"/>
  <c r="V27" i="47"/>
  <c r="O15" i="47"/>
  <c r="O23" i="47"/>
  <c r="O24" i="47" s="1"/>
  <c r="V16" i="47" l="1"/>
  <c r="V21" i="47"/>
  <c r="O20" i="47"/>
  <c r="O21" i="47" s="1"/>
  <c r="O22" i="47" s="1"/>
  <c r="V28" i="47" l="1"/>
  <c r="V22" i="47"/>
  <c r="P20" i="47" l="1"/>
  <c r="W16" i="47"/>
  <c r="P13" i="47" l="1"/>
  <c r="W23" i="47" l="1"/>
  <c r="W27" i="47" l="1"/>
  <c r="W24" i="47"/>
  <c r="P14" i="47" l="1"/>
  <c r="P23" i="47" s="1"/>
  <c r="P24" i="47" s="1"/>
  <c r="W21" i="47"/>
  <c r="W28" i="47" l="1"/>
  <c r="W22" i="47"/>
  <c r="P15" i="47"/>
  <c r="P21" i="47" s="1"/>
  <c r="P22" i="47" s="1"/>
  <c r="P28" i="47" l="1"/>
  <c r="O27" i="47"/>
  <c r="P27" i="47" l="1"/>
  <c r="E20" i="47"/>
  <c r="E21" i="47"/>
  <c r="G20" i="47"/>
  <c r="G21" i="47"/>
  <c r="O28" i="47"/>
  <c r="I20" i="47" l="1"/>
  <c r="I21" i="47"/>
</calcChain>
</file>

<file path=xl/sharedStrings.xml><?xml version="1.0" encoding="utf-8"?>
<sst xmlns="http://schemas.openxmlformats.org/spreadsheetml/2006/main" count="607" uniqueCount="167">
  <si>
    <t>Arizona Public Service Co</t>
  </si>
  <si>
    <t>Avista Corp</t>
  </si>
  <si>
    <t>Idaho Power Co</t>
  </si>
  <si>
    <t>Imperial Irrigation District</t>
  </si>
  <si>
    <t>Los Angeles Dept of Water &amp; Power</t>
  </si>
  <si>
    <t>Nevada Power Co</t>
  </si>
  <si>
    <t>PUD No 1 of Chelan County</t>
  </si>
  <si>
    <t>PUD No 1 of Douglas County</t>
  </si>
  <si>
    <t>PUD No 2 of Grant County</t>
  </si>
  <si>
    <t>Public Service Co of Colorado</t>
  </si>
  <si>
    <t>Public Service Co of New Mexico</t>
  </si>
  <si>
    <t>Puget Sound Energy Inc</t>
  </si>
  <si>
    <t>Salt River Project</t>
  </si>
  <si>
    <t>Seattle City Light</t>
  </si>
  <si>
    <t>Tacoma Power</t>
  </si>
  <si>
    <t>Tucson Electric Power Co</t>
  </si>
  <si>
    <t>Turlock Irrigation District</t>
  </si>
  <si>
    <t>Balancing Authority of Northern California</t>
  </si>
  <si>
    <t>California Independent System Operator</t>
  </si>
  <si>
    <t>El Paso Electric</t>
  </si>
  <si>
    <t>Northwestern Energy</t>
  </si>
  <si>
    <t>Portland General Electric</t>
  </si>
  <si>
    <t>MW</t>
  </si>
  <si>
    <t>Sources and Notes:</t>
  </si>
  <si>
    <t>Share of Coincident Peak</t>
  </si>
  <si>
    <t>California</t>
  </si>
  <si>
    <t>Northwest Power Pool</t>
  </si>
  <si>
    <t>Rocky Mountain Reserve Sharing Group</t>
  </si>
  <si>
    <t>Southwest Reserve Sharing Group</t>
  </si>
  <si>
    <t>%</t>
  </si>
  <si>
    <t>Balancing Area Authority</t>
  </si>
  <si>
    <t>SRSG</t>
  </si>
  <si>
    <t>NWPP</t>
  </si>
  <si>
    <t>CA</t>
  </si>
  <si>
    <t>RMRSG</t>
  </si>
  <si>
    <t>2011 CF</t>
  </si>
  <si>
    <t>2012 CF</t>
  </si>
  <si>
    <t>2013 CF</t>
  </si>
  <si>
    <t>2006 CF</t>
  </si>
  <si>
    <t>2007 CF</t>
  </si>
  <si>
    <t>2008 CF</t>
  </si>
  <si>
    <t>2009 CF</t>
  </si>
  <si>
    <t>2010 CF</t>
  </si>
  <si>
    <t>2014 CF</t>
  </si>
  <si>
    <t>Median CF</t>
  </si>
  <si>
    <t>Average CF</t>
  </si>
  <si>
    <t>WECC</t>
  </si>
  <si>
    <t>Total</t>
  </si>
  <si>
    <t>Non-Coincident Peak Load</t>
  </si>
  <si>
    <t>NERC Reference Margin Level from 2015 LTRA</t>
  </si>
  <si>
    <t>Import Limit</t>
  </si>
  <si>
    <t>Balancing Authority Area</t>
  </si>
  <si>
    <t>Based on PacifiCorp 2014 IRP and CAISO published RM.</t>
  </si>
  <si>
    <t>Import limits as reported in E3's PacifiCorp Market Integration Study Report</t>
  </si>
  <si>
    <t>Based on analysis using 2014 WECC LAR zonal flow limits</t>
  </si>
  <si>
    <t>Non-coincident peak load data as selected on PeakLoads tab</t>
  </si>
  <si>
    <t>Non-Coincident Peak (MW)</t>
  </si>
  <si>
    <t>Savings Requiring Transmission Upgrades (MW)</t>
  </si>
  <si>
    <t>Savings w/ Current Transmission (MW)</t>
  </si>
  <si>
    <t>Savings Already Captured (Estimated) (MW)</t>
  </si>
  <si>
    <t>Total Within Sub-Regions</t>
  </si>
  <si>
    <t>Total Across Sub-Regions</t>
  </si>
  <si>
    <t>Potential Regionalization Capacity Savings</t>
  </si>
  <si>
    <t>Capacity Savings Already Captured - Within or Across Sub-Regions</t>
  </si>
  <si>
    <t>Incremental Capacity Savings with current Tx</t>
  </si>
  <si>
    <t>Incremental Capacity Savings Requiring Tx Upgrades</t>
  </si>
  <si>
    <t>PacifiCorp</t>
  </si>
  <si>
    <t>Capacity Savings Already Captured</t>
  </si>
  <si>
    <t>Potential Capacity Savings from Market Integration</t>
  </si>
  <si>
    <t>ISO</t>
  </si>
  <si>
    <t>ISO+PAC Total</t>
  </si>
  <si>
    <t>Capacity Requirement</t>
  </si>
  <si>
    <t>BA's Share of Regional Market Peak (MW)</t>
  </si>
  <si>
    <t>Potential Capacity Savings (MW)</t>
  </si>
  <si>
    <t>Avoided Cost of Capacity Savings ($/kW-yr)</t>
  </si>
  <si>
    <t>Maximum Transmission Import Capability (MW)</t>
  </si>
  <si>
    <t>ISO's value reflects 2012-2016 weighted-average contract prices. High end of PacifiCorp rang reflects capacity cost net of energy margins for two units as reported in the 2015 IRP. The low end reflects the fact that these units are not expected to come online before 2020.</t>
  </si>
  <si>
    <t>Subregion Capacity Requirement</t>
  </si>
  <si>
    <t>Sum of BA Non-Coincident Peaks (MW)</t>
  </si>
  <si>
    <t>Total Avoided Cost w/Current Transmission ($ million/yr)</t>
  </si>
  <si>
    <t>Capacity requirement based on WECC-determined reserve margin levels as reported in 2015 NERC LTRA</t>
  </si>
  <si>
    <t>Capacity savings already achieved by Bas based on internal reserve margins</t>
  </si>
  <si>
    <t>Savings achievable with current transmission into each BA</t>
  </si>
  <si>
    <t>Savings requiring additional transmission based on within-subregion transmission limits in WECC LAR zonal model.</t>
  </si>
  <si>
    <t>Savings achievable with current transmission into each subregion</t>
  </si>
  <si>
    <t>Savings requiring additional transmission based on across-subregion transmission limits in WECC LAR zonal model.</t>
  </si>
  <si>
    <t>115-116.1%</t>
  </si>
  <si>
    <t>75-116.1</t>
  </si>
  <si>
    <t>Within-Subregion Geographic Indicator</t>
  </si>
  <si>
    <t>BA Coincidence Factor (Coincidence with subregion peak)</t>
  </si>
  <si>
    <t>Sum of BA Peak Loads Coincident with Subregion Peak (MW)</t>
  </si>
  <si>
    <t>Average Coincidence Factor (Coincident with WECC-PMAs peak)</t>
  </si>
  <si>
    <t>Estimated Load During WECC Peak (MW)</t>
  </si>
  <si>
    <t>Total Avoided Cost Requiring Transmission Upgrades ($ million/yr)</t>
  </si>
  <si>
    <t xml:space="preserve">          Percentage of Total Savings</t>
  </si>
  <si>
    <t xml:space="preserve">           Percentage of Non-Coincident Peak Load</t>
  </si>
  <si>
    <t>Total $ Savings w/Current Transmission ($ million/year)</t>
  </si>
  <si>
    <t>Total $ Savings Requiring Transmission Upgrades</t>
  </si>
  <si>
    <t>Rest of Region</t>
  </si>
  <si>
    <t>NERC Planning Reserve Reference Level</t>
  </si>
  <si>
    <t>BAA Planning Reserve Margin</t>
  </si>
  <si>
    <t>Planning Reserve Margin</t>
  </si>
  <si>
    <t>Based on Utility IRPs. If no source available, uses an import-adjusted Margin.</t>
  </si>
  <si>
    <t>Non-coincident peak load</t>
  </si>
  <si>
    <t>WECC Subregion</t>
  </si>
  <si>
    <t>[a]</t>
  </si>
  <si>
    <t>[b]</t>
  </si>
  <si>
    <t>[c]</t>
  </si>
  <si>
    <t>[d]</t>
  </si>
  <si>
    <t>[e]</t>
  </si>
  <si>
    <t>[f]</t>
  </si>
  <si>
    <t>[g]</t>
  </si>
  <si>
    <t>[h]</t>
  </si>
  <si>
    <t>[i]</t>
  </si>
  <si>
    <t>[j]</t>
  </si>
  <si>
    <t>[k]</t>
  </si>
  <si>
    <t>[l]</t>
  </si>
  <si>
    <t>[m]</t>
  </si>
  <si>
    <t>[n]</t>
  </si>
  <si>
    <t>[o]</t>
  </si>
  <si>
    <t>[p]</t>
  </si>
  <si>
    <t>[q]</t>
  </si>
  <si>
    <t>[r]</t>
  </si>
  <si>
    <t>[s]</t>
  </si>
  <si>
    <t>[t]</t>
  </si>
  <si>
    <t>[u]</t>
  </si>
  <si>
    <t>[v]</t>
  </si>
  <si>
    <t>[w]</t>
  </si>
  <si>
    <r>
      <t xml:space="preserve">Potential Savings: Sharing </t>
    </r>
    <r>
      <rPr>
        <u/>
        <sz val="11"/>
        <rFont val="Calibri"/>
        <family val="2"/>
        <scheme val="minor"/>
      </rPr>
      <t>Within</t>
    </r>
    <r>
      <rPr>
        <sz val="11"/>
        <rFont val="Calibri"/>
        <family val="2"/>
        <scheme val="minor"/>
      </rPr>
      <t xml:space="preserve"> Subregions (MW)</t>
    </r>
  </si>
  <si>
    <r>
      <t xml:space="preserve">Incremental Savings w/ Current Transmission: Sharing </t>
    </r>
    <r>
      <rPr>
        <b/>
        <u/>
        <sz val="11"/>
        <rFont val="Calibri"/>
        <family val="2"/>
        <scheme val="minor"/>
      </rPr>
      <t>Within</t>
    </r>
    <r>
      <rPr>
        <b/>
        <sz val="11"/>
        <rFont val="Calibri"/>
        <family val="2"/>
        <scheme val="minor"/>
      </rPr>
      <t xml:space="preserve"> Subregions (MW)</t>
    </r>
  </si>
  <si>
    <r>
      <t xml:space="preserve">Potential Savings: Sharing </t>
    </r>
    <r>
      <rPr>
        <u/>
        <sz val="11"/>
        <rFont val="Calibri"/>
        <family val="2"/>
        <scheme val="minor"/>
      </rPr>
      <t>Across</t>
    </r>
    <r>
      <rPr>
        <sz val="11"/>
        <rFont val="Calibri"/>
        <family val="2"/>
        <scheme val="minor"/>
      </rPr>
      <t xml:space="preserve"> Subregions (MW)</t>
    </r>
  </si>
  <si>
    <r>
      <t xml:space="preserve">Incremental Savings w/ Current Transmission: Sharing </t>
    </r>
    <r>
      <rPr>
        <b/>
        <u/>
        <sz val="11"/>
        <rFont val="Calibri"/>
        <family val="2"/>
        <scheme val="minor"/>
      </rPr>
      <t>Across</t>
    </r>
    <r>
      <rPr>
        <b/>
        <sz val="11"/>
        <rFont val="Calibri"/>
        <family val="2"/>
        <scheme val="minor"/>
      </rPr>
      <t xml:space="preserve"> Subregions (MW)</t>
    </r>
  </si>
  <si>
    <t>Median Coincidence Factor</t>
  </si>
  <si>
    <t>[1]</t>
  </si>
  <si>
    <t>[2]</t>
  </si>
  <si>
    <t>[3]</t>
  </si>
  <si>
    <t>[4]</t>
  </si>
  <si>
    <t>[5]</t>
  </si>
  <si>
    <t>[6]</t>
  </si>
  <si>
    <t>[7]</t>
  </si>
  <si>
    <t>[8]</t>
  </si>
  <si>
    <t>Median coincidence factor from 2006-2014</t>
  </si>
  <si>
    <t>[2] * [3]</t>
  </si>
  <si>
    <t>[2] * (1 - [3]) * (1 + [1])</t>
  </si>
  <si>
    <t>MAX([5],[6])</t>
  </si>
  <si>
    <t>[5] - [7]</t>
  </si>
  <si>
    <t>[9]</t>
  </si>
  <si>
    <t>[10]</t>
  </si>
  <si>
    <t>[11]</t>
  </si>
  <si>
    <t>[12]</t>
  </si>
  <si>
    <t>[4] * [3]</t>
  </si>
  <si>
    <t>MAX( [2] x [3] x (1- [4]), 0 )</t>
  </si>
  <si>
    <t>([2] - [1]) x [3]</t>
  </si>
  <si>
    <t>MIN([6],[7])</t>
  </si>
  <si>
    <t>[2] x (1- [4]) x [3] - [8] Note that Nevada Power Co, PacifiCorp, and APS have already achieved significant capacity savings. Some of these savings likely come from sharing across WECC subregions.</t>
  </si>
  <si>
    <t>MAX(MIN([10] - [8],[9]), 0) Avista, BANC, PGE, PUD No 1 of Chelan County, PUD No 1 of Douglas County, Seattle City Light, and Tacoma Power likely takes advantage of imports from other BAAs within its zone to achieve current levels of capacity savings.</t>
  </si>
  <si>
    <t>[9] - [11]</t>
  </si>
  <si>
    <t>Capacity Savings in CAISO and PacifiCorp in 2020</t>
  </si>
  <si>
    <t>Capacity Savings in California and Rest of Region in 2030</t>
  </si>
  <si>
    <t>Capacity Savings in California and Rest of Region in 2020-Regional</t>
  </si>
  <si>
    <t>Sum of forecast BA Non-Coincident Peak Loads in 2020-Regional</t>
  </si>
  <si>
    <t>Sum of forecast BA Coincident Peak Loads in 2020-Regional</t>
  </si>
  <si>
    <t>Sum of forecast BA Non-Coincident Peak Loads in 2030</t>
  </si>
  <si>
    <t>Sum of forecast BA Coincident Peak Loads in 2030</t>
  </si>
  <si>
    <t>Multi-Year Peak Loads by Balancing Authority for 2030 Regional ISO</t>
  </si>
  <si>
    <t>Multi-Year Peak Loads by Balancing Authority for 2020 Regional ISO</t>
  </si>
  <si>
    <t>Multi-Year Peak Loads by Balancing Authority for 2020 CAISO + PAC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</si>
</sst>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3" formatCode="_(* #,##0.00_);_(* \(#,##0.00\);_(* &quot;-&quot;??_);_(@_)"/>
    <numFmt numFmtId="164" formatCode="&quot;$&quot;#,##0.00"/>
    <numFmt numFmtId="165" formatCode="_(* #,##0_);_(* \(#,##0\);_(* &quot;-&quot;??_);_(@_)"/>
    <numFmt numFmtId="166" formatCode="0.0%"/>
    <numFmt numFmtId="167" formatCode="&quot;$&quot;#,##0"/>
    <numFmt numFmtId="168" formatCode="&quot;[&quot;#&quot;]&quot;"/>
  </numFmts>
  <fonts count="45" x14ac:knownFonts="1">
    <font>
      <sz val="11"/>
      <color theme="1"/>
      <name val="Calibri"/>
      <family val="2"/>
      <scheme val="minor"/>
    </font>
    <font>
      <sz val="12"/>
      <color theme="1"/>
      <name val="Calibri"/>
      <family val="2"/>
      <scheme val="minor"/>
    </font>
    <font>
      <b/>
      <sz val="14"/>
      <color theme="2"/>
      <name val="Calibri"/>
      <family val="2"/>
      <scheme val="minor"/>
    </font>
    <font>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Calibri"/>
      <family val="2"/>
      <scheme val="minor"/>
    </font>
    <font>
      <sz val="12"/>
      <color rgb="FF7030A0"/>
      <name val="Calibri"/>
      <family val="2"/>
      <scheme val="minor"/>
    </font>
    <font>
      <sz val="12"/>
      <color rgb="FF0000CC"/>
      <name val="Calibri"/>
      <family val="2"/>
      <scheme val="minor"/>
    </font>
    <font>
      <b/>
      <sz val="12"/>
      <name val="Calibri"/>
      <family val="2"/>
      <scheme val="minor"/>
    </font>
    <font>
      <sz val="11"/>
      <color rgb="FF7030A0"/>
      <name val="Calibri"/>
      <family val="2"/>
      <scheme val="minor"/>
    </font>
    <font>
      <sz val="11"/>
      <name val="Calibri"/>
      <family val="2"/>
      <scheme val="minor"/>
    </font>
    <font>
      <sz val="11"/>
      <color rgb="FF0000CC"/>
      <name val="Calibri"/>
      <family val="2"/>
      <scheme val="minor"/>
    </font>
    <font>
      <sz val="11"/>
      <color theme="7"/>
      <name val="Calibri"/>
      <family val="2"/>
      <scheme val="minor"/>
    </font>
    <font>
      <sz val="11"/>
      <color rgb="FF00B050"/>
      <name val="Calibri"/>
      <family val="2"/>
      <scheme val="minor"/>
    </font>
    <font>
      <b/>
      <sz val="11"/>
      <name val="Calibri"/>
      <family val="2"/>
      <scheme val="minor"/>
    </font>
    <font>
      <b/>
      <sz val="11"/>
      <color rgb="FF0000CC"/>
      <name val="Calibri"/>
      <family val="2"/>
      <scheme val="minor"/>
    </font>
    <font>
      <sz val="12"/>
      <color theme="7"/>
      <name val="Calibri"/>
      <family val="2"/>
      <scheme val="minor"/>
    </font>
    <font>
      <sz val="10"/>
      <name val="Arial"/>
      <family val="2"/>
    </font>
    <font>
      <sz val="10"/>
      <color indexed="8"/>
      <name val="Arial"/>
      <family val="2"/>
    </font>
    <font>
      <sz val="12"/>
      <name val="Times New Roman"/>
      <family val="1"/>
    </font>
    <font>
      <b/>
      <sz val="14"/>
      <color rgb="FF00467F"/>
      <name val="Calibri"/>
      <family val="2"/>
      <scheme val="minor"/>
    </font>
    <font>
      <b/>
      <sz val="16"/>
      <color theme="2"/>
      <name val="Calibri"/>
      <family val="2"/>
      <scheme val="minor"/>
    </font>
    <font>
      <b/>
      <sz val="16"/>
      <color rgb="FF00467F"/>
      <name val="Calibri"/>
      <family val="2"/>
      <scheme val="minor"/>
    </font>
    <font>
      <b/>
      <sz val="11"/>
      <color theme="8"/>
      <name val="Calibri"/>
      <family val="2"/>
      <scheme val="minor"/>
    </font>
    <font>
      <u/>
      <sz val="11"/>
      <name val="Calibri"/>
      <family val="2"/>
      <scheme val="minor"/>
    </font>
    <font>
      <b/>
      <u/>
      <sz val="11"/>
      <name val="Calibri"/>
      <family val="2"/>
      <scheme val="minor"/>
    </font>
    <font>
      <i/>
      <sz val="11"/>
      <color theme="1"/>
      <name val="Calibri"/>
      <family val="2"/>
      <scheme val="minor"/>
    </font>
    <font>
      <i/>
      <sz val="11"/>
      <name val="Calibri"/>
      <family val="2"/>
      <scheme val="minor"/>
    </font>
    <font>
      <b/>
      <sz val="16"/>
      <name val="Calibri"/>
      <family val="2"/>
      <scheme val="minor"/>
    </font>
    <font>
      <b/>
      <sz val="14"/>
      <name val="Calibri"/>
      <family val="2"/>
      <scheme val="minor"/>
    </font>
  </fonts>
  <fills count="35">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2">
    <border>
      <left/>
      <right/>
      <top/>
      <bottom/>
      <diagonal/>
    </border>
    <border>
      <left/>
      <right/>
      <top/>
      <bottom style="double">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8">
    <xf numFmtId="0" fontId="0"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3"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33" borderId="0" applyNumberFormat="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3" fillId="0" borderId="0">
      <alignment vertical="top"/>
    </xf>
    <xf numFmtId="0" fontId="3" fillId="0" borderId="0"/>
    <xf numFmtId="43" fontId="32" fillId="0" borderId="0" applyFont="0" applyFill="0" applyBorder="0" applyAlignment="0" applyProtection="0"/>
    <xf numFmtId="0" fontId="3" fillId="0" borderId="0"/>
    <xf numFmtId="0" fontId="32" fillId="0" borderId="0"/>
    <xf numFmtId="0" fontId="34" fillId="0" borderId="0">
      <protection locked="0"/>
    </xf>
    <xf numFmtId="0" fontId="34" fillId="0" borderId="0">
      <protection locked="0"/>
    </xf>
    <xf numFmtId="43" fontId="3" fillId="0" borderId="0" applyFont="0" applyFill="0" applyBorder="0" applyAlignment="0" applyProtection="0"/>
    <xf numFmtId="0" fontId="34" fillId="0" borderId="0">
      <protection locked="0"/>
    </xf>
    <xf numFmtId="0" fontId="3" fillId="0" borderId="0"/>
    <xf numFmtId="0" fontId="32" fillId="0" borderId="0"/>
    <xf numFmtId="43" fontId="3" fillId="0" borderId="0" applyFont="0" applyFill="0" applyBorder="0" applyAlignment="0" applyProtection="0"/>
    <xf numFmtId="0" fontId="32" fillId="0" borderId="0"/>
    <xf numFmtId="0" fontId="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protection locked="0"/>
    </xf>
    <xf numFmtId="0" fontId="32" fillId="0" borderId="0"/>
    <xf numFmtId="0" fontId="32" fillId="0" borderId="0"/>
    <xf numFmtId="0" fontId="3" fillId="0" borderId="0"/>
    <xf numFmtId="0" fontId="3" fillId="0" borderId="0"/>
    <xf numFmtId="0" fontId="3" fillId="0" borderId="0"/>
    <xf numFmtId="0" fontId="3" fillId="0" borderId="0"/>
    <xf numFmtId="0" fontId="3" fillId="0" borderId="0"/>
    <xf numFmtId="0" fontId="32" fillId="0" borderId="0"/>
    <xf numFmtId="0" fontId="3" fillId="0" borderId="0"/>
    <xf numFmtId="0" fontId="3" fillId="0" borderId="0"/>
    <xf numFmtId="0" fontId="3" fillId="0" borderId="0"/>
    <xf numFmtId="0" fontId="32" fillId="0" borderId="0"/>
  </cellStyleXfs>
  <cellXfs count="212">
    <xf numFmtId="0" fontId="0" fillId="0" borderId="0" xfId="0"/>
    <xf numFmtId="0" fontId="20" fillId="0" borderId="1" xfId="0" applyFont="1" applyBorder="1"/>
    <xf numFmtId="0" fontId="1" fillId="2" borderId="1" xfId="0" applyFont="1" applyFill="1" applyBorder="1"/>
    <xf numFmtId="0" fontId="1" fillId="0" borderId="0" xfId="0" applyFont="1" applyBorder="1"/>
    <xf numFmtId="0" fontId="1" fillId="0" borderId="0" xfId="0" applyFont="1"/>
    <xf numFmtId="0" fontId="1" fillId="0" borderId="1" xfId="0" applyFont="1" applyBorder="1"/>
    <xf numFmtId="0" fontId="1" fillId="2" borderId="0" xfId="0" applyFont="1" applyFill="1"/>
    <xf numFmtId="1" fontId="1" fillId="0" borderId="0" xfId="0" applyNumberFormat="1" applyFont="1"/>
    <xf numFmtId="0" fontId="2" fillId="0" borderId="0" xfId="0" applyNumberFormat="1" applyFont="1" applyAlignment="1">
      <alignment horizontal="centerContinuous"/>
    </xf>
    <xf numFmtId="0" fontId="23" fillId="0" borderId="0" xfId="0" applyFont="1"/>
    <xf numFmtId="0" fontId="20" fillId="0" borderId="0" xfId="0" applyFont="1" applyFill="1"/>
    <xf numFmtId="0" fontId="20" fillId="0" borderId="1" xfId="0" applyFont="1" applyFill="1" applyBorder="1"/>
    <xf numFmtId="0" fontId="27" fillId="34" borderId="0" xfId="0" applyFont="1" applyFill="1"/>
    <xf numFmtId="0" fontId="25" fillId="34" borderId="0" xfId="0" applyFont="1" applyFill="1"/>
    <xf numFmtId="0" fontId="1" fillId="0" borderId="0" xfId="0" applyFont="1" applyFill="1"/>
    <xf numFmtId="0" fontId="28" fillId="0" borderId="0" xfId="0" applyFont="1"/>
    <xf numFmtId="165" fontId="24" fillId="0" borderId="0" xfId="43" applyNumberFormat="1" applyFont="1" applyBorder="1"/>
    <xf numFmtId="165" fontId="26" fillId="0" borderId="0" xfId="43" applyNumberFormat="1" applyFont="1" applyBorder="1"/>
    <xf numFmtId="0" fontId="1" fillId="0" borderId="0" xfId="0" applyFont="1"/>
    <xf numFmtId="165" fontId="20" fillId="0" borderId="0" xfId="43" applyNumberFormat="1" applyFont="1"/>
    <xf numFmtId="165" fontId="1" fillId="0" borderId="0" xfId="43" applyNumberFormat="1" applyFont="1"/>
    <xf numFmtId="165" fontId="1" fillId="0" borderId="0" xfId="43" applyNumberFormat="1" applyFont="1" applyAlignment="1">
      <alignment horizontal="centerContinuous"/>
    </xf>
    <xf numFmtId="165" fontId="20" fillId="0" borderId="1" xfId="43" applyNumberFormat="1" applyFont="1" applyBorder="1"/>
    <xf numFmtId="0" fontId="26" fillId="34" borderId="0" xfId="0" applyFont="1" applyFill="1"/>
    <xf numFmtId="166" fontId="25" fillId="0" borderId="0" xfId="42" applyNumberFormat="1" applyFont="1"/>
    <xf numFmtId="165" fontId="26" fillId="0" borderId="0" xfId="43" applyNumberFormat="1" applyFont="1" applyFill="1"/>
    <xf numFmtId="165" fontId="1" fillId="0" borderId="0" xfId="43" applyNumberFormat="1" applyFont="1" applyFill="1"/>
    <xf numFmtId="165" fontId="20" fillId="0" borderId="2" xfId="43" applyNumberFormat="1" applyFont="1" applyFill="1" applyBorder="1"/>
    <xf numFmtId="165" fontId="20" fillId="0" borderId="0" xfId="43" applyNumberFormat="1" applyFont="1" applyFill="1"/>
    <xf numFmtId="165" fontId="25" fillId="0" borderId="0" xfId="43" applyNumberFormat="1" applyFont="1"/>
    <xf numFmtId="0" fontId="18" fillId="0" borderId="0" xfId="0" applyFont="1"/>
    <xf numFmtId="0" fontId="0" fillId="0" borderId="0" xfId="0" applyFont="1"/>
    <xf numFmtId="0" fontId="1" fillId="0" borderId="0" xfId="0" applyFont="1" applyAlignment="1">
      <alignment wrapText="1"/>
    </xf>
    <xf numFmtId="166" fontId="20" fillId="0" borderId="0" xfId="42" applyNumberFormat="1" applyFont="1" applyAlignment="1">
      <alignment horizontal="center"/>
    </xf>
    <xf numFmtId="165" fontId="20" fillId="0" borderId="2" xfId="43" applyNumberFormat="1" applyFont="1" applyBorder="1" applyAlignment="1">
      <alignment horizontal="right" indent="11"/>
    </xf>
    <xf numFmtId="165" fontId="20" fillId="0" borderId="0" xfId="43" applyNumberFormat="1" applyFont="1" applyAlignment="1">
      <alignment horizontal="right" indent="11"/>
    </xf>
    <xf numFmtId="0" fontId="1" fillId="2" borderId="0" xfId="0" applyFont="1" applyFill="1" applyAlignment="1">
      <alignment wrapText="1"/>
    </xf>
    <xf numFmtId="166" fontId="1" fillId="0" borderId="0" xfId="42" applyNumberFormat="1" applyFont="1" applyAlignment="1">
      <alignment horizontal="centerContinuous"/>
    </xf>
    <xf numFmtId="166" fontId="1" fillId="0" borderId="0" xfId="42" applyNumberFormat="1" applyFont="1"/>
    <xf numFmtId="165" fontId="1" fillId="0" borderId="0" xfId="43" applyNumberFormat="1" applyFont="1" applyFill="1" applyAlignment="1">
      <alignment horizontal="centerContinuous"/>
    </xf>
    <xf numFmtId="165" fontId="1" fillId="0" borderId="1" xfId="43" applyNumberFormat="1" applyFont="1" applyFill="1" applyBorder="1"/>
    <xf numFmtId="165" fontId="1" fillId="0" borderId="0" xfId="43" applyNumberFormat="1" applyFont="1" applyFill="1" applyAlignment="1">
      <alignment wrapText="1"/>
    </xf>
    <xf numFmtId="166" fontId="20" fillId="0" borderId="0" xfId="42" applyNumberFormat="1" applyFont="1"/>
    <xf numFmtId="166" fontId="29" fillId="0" borderId="0" xfId="42" applyNumberFormat="1" applyFont="1"/>
    <xf numFmtId="165" fontId="0" fillId="0" borderId="0" xfId="43" applyNumberFormat="1" applyFont="1" applyAlignment="1">
      <alignment horizontal="right" wrapText="1"/>
    </xf>
    <xf numFmtId="166" fontId="25" fillId="0" borderId="0" xfId="42" applyNumberFormat="1" applyFont="1" applyAlignment="1">
      <alignment horizontal="right"/>
    </xf>
    <xf numFmtId="165" fontId="25" fillId="0" borderId="0" xfId="43" applyNumberFormat="1" applyFont="1" applyAlignment="1">
      <alignment horizontal="right"/>
    </xf>
    <xf numFmtId="166" fontId="20" fillId="0" borderId="1" xfId="42" applyNumberFormat="1" applyFont="1" applyBorder="1"/>
    <xf numFmtId="166" fontId="20" fillId="0" borderId="0" xfId="42" quotePrefix="1" applyNumberFormat="1" applyFont="1"/>
    <xf numFmtId="166" fontId="1" fillId="0" borderId="0" xfId="42" applyNumberFormat="1" applyFont="1" applyFill="1"/>
    <xf numFmtId="10" fontId="2" fillId="0" borderId="0" xfId="42" applyNumberFormat="1" applyFont="1" applyAlignment="1">
      <alignment horizontal="centerContinuous"/>
    </xf>
    <xf numFmtId="10" fontId="1" fillId="0" borderId="0" xfId="42" applyNumberFormat="1" applyFont="1" applyAlignment="1">
      <alignment horizontal="centerContinuous"/>
    </xf>
    <xf numFmtId="10" fontId="1" fillId="0" borderId="0" xfId="42" applyNumberFormat="1" applyFont="1"/>
    <xf numFmtId="10" fontId="20" fillId="0" borderId="1" xfId="42" applyNumberFormat="1" applyFont="1" applyBorder="1"/>
    <xf numFmtId="10" fontId="20" fillId="0" borderId="0" xfId="42" applyNumberFormat="1" applyFont="1"/>
    <xf numFmtId="10" fontId="20" fillId="0" borderId="0" xfId="42" quotePrefix="1" applyNumberFormat="1" applyFont="1"/>
    <xf numFmtId="10" fontId="1" fillId="0" borderId="0" xfId="42" applyNumberFormat="1" applyFont="1" applyFill="1"/>
    <xf numFmtId="165" fontId="20" fillId="0" borderId="1" xfId="43" applyNumberFormat="1" applyFont="1" applyFill="1" applyBorder="1"/>
    <xf numFmtId="10" fontId="25" fillId="0" borderId="0" xfId="42" applyNumberFormat="1" applyFont="1"/>
    <xf numFmtId="1" fontId="1" fillId="2" borderId="0" xfId="0" applyNumberFormat="1" applyFont="1" applyFill="1"/>
    <xf numFmtId="1" fontId="20" fillId="2" borderId="0" xfId="42" applyNumberFormat="1" applyFont="1" applyFill="1"/>
    <xf numFmtId="1" fontId="22" fillId="2" borderId="0" xfId="42" applyNumberFormat="1" applyFont="1" applyFill="1"/>
    <xf numFmtId="1" fontId="22" fillId="2" borderId="0" xfId="43" applyNumberFormat="1" applyFont="1" applyFill="1"/>
    <xf numFmtId="1" fontId="31" fillId="2" borderId="0" xfId="42" applyNumberFormat="1" applyFont="1" applyFill="1"/>
    <xf numFmtId="10" fontId="25" fillId="0" borderId="2" xfId="42" applyNumberFormat="1" applyFont="1" applyBorder="1"/>
    <xf numFmtId="165" fontId="25" fillId="0" borderId="2" xfId="43" applyNumberFormat="1" applyFont="1" applyBorder="1"/>
    <xf numFmtId="166" fontId="25" fillId="0" borderId="2" xfId="42" applyNumberFormat="1" applyFont="1" applyBorder="1"/>
    <xf numFmtId="166" fontId="20" fillId="0" borderId="0" xfId="42" applyNumberFormat="1" applyFont="1" applyFill="1"/>
    <xf numFmtId="165" fontId="20" fillId="0" borderId="2" xfId="43" applyNumberFormat="1" applyFont="1" applyBorder="1"/>
    <xf numFmtId="166" fontId="20" fillId="0" borderId="2" xfId="42" applyNumberFormat="1" applyFont="1" applyBorder="1"/>
    <xf numFmtId="166" fontId="20" fillId="0" borderId="2" xfId="42" applyNumberFormat="1" applyFont="1" applyBorder="1" applyAlignment="1">
      <alignment horizontal="center"/>
    </xf>
    <xf numFmtId="166" fontId="20" fillId="0" borderId="2" xfId="42" applyNumberFormat="1" applyFont="1" applyBorder="1" applyAlignment="1">
      <alignment horizontal="right" indent="1"/>
    </xf>
    <xf numFmtId="166" fontId="20" fillId="0" borderId="2" xfId="42" applyNumberFormat="1" applyFont="1" applyBorder="1" applyAlignment="1">
      <alignment horizontal="right" indent="2"/>
    </xf>
    <xf numFmtId="166" fontId="20" fillId="0" borderId="0" xfId="42" applyNumberFormat="1" applyFont="1" applyAlignment="1">
      <alignment horizontal="right" indent="1"/>
    </xf>
    <xf numFmtId="166" fontId="20" fillId="0" borderId="0" xfId="42" applyNumberFormat="1" applyFont="1" applyAlignment="1">
      <alignment horizontal="right" indent="2"/>
    </xf>
    <xf numFmtId="165" fontId="20" fillId="0" borderId="2" xfId="43" applyNumberFormat="1" applyFont="1" applyFill="1" applyBorder="1" applyAlignment="1">
      <alignment horizontal="center"/>
    </xf>
    <xf numFmtId="165" fontId="20" fillId="0" borderId="0" xfId="43" applyNumberFormat="1" applyFont="1" applyFill="1" applyAlignment="1">
      <alignment horizontal="center"/>
    </xf>
    <xf numFmtId="166" fontId="20" fillId="0" borderId="0" xfId="42" applyNumberFormat="1" applyFont="1" applyAlignment="1">
      <alignment horizontal="right" wrapText="1"/>
    </xf>
    <xf numFmtId="165" fontId="20" fillId="0" borderId="0" xfId="43" applyNumberFormat="1" applyFont="1" applyAlignment="1">
      <alignment horizontal="right" wrapText="1"/>
    </xf>
    <xf numFmtId="165" fontId="20" fillId="0" borderId="0" xfId="43" applyNumberFormat="1" applyFont="1" applyFill="1" applyAlignment="1">
      <alignment horizontal="right" wrapText="1"/>
    </xf>
    <xf numFmtId="0" fontId="1" fillId="2" borderId="0" xfId="0" applyFont="1" applyFill="1" applyBorder="1"/>
    <xf numFmtId="165" fontId="25" fillId="0" borderId="0" xfId="0" applyNumberFormat="1" applyFont="1" applyFill="1"/>
    <xf numFmtId="165" fontId="20" fillId="0" borderId="0" xfId="43" applyNumberFormat="1" applyFont="1" applyFill="1" applyAlignment="1">
      <alignment wrapText="1"/>
    </xf>
    <xf numFmtId="0" fontId="20" fillId="0" borderId="0" xfId="0" applyFont="1" applyAlignment="1">
      <alignment horizontal="centerContinuous" wrapText="1"/>
    </xf>
    <xf numFmtId="0" fontId="25" fillId="0" borderId="0" xfId="0" applyFont="1" applyAlignment="1">
      <alignment wrapText="1"/>
    </xf>
    <xf numFmtId="10" fontId="25" fillId="0" borderId="0" xfId="42" applyNumberFormat="1" applyFont="1" applyAlignment="1">
      <alignment horizontal="right" wrapText="1"/>
    </xf>
    <xf numFmtId="165" fontId="25" fillId="0" borderId="0" xfId="43" applyNumberFormat="1" applyFont="1" applyAlignment="1">
      <alignment horizontal="right" wrapText="1"/>
    </xf>
    <xf numFmtId="166" fontId="25" fillId="0" borderId="0" xfId="42" applyNumberFormat="1" applyFont="1" applyAlignment="1">
      <alignment horizontal="right" wrapText="1"/>
    </xf>
    <xf numFmtId="10" fontId="25" fillId="0" borderId="0" xfId="42" applyNumberFormat="1" applyFont="1" applyAlignment="1">
      <alignment horizontal="right"/>
    </xf>
    <xf numFmtId="9" fontId="25" fillId="0" borderId="0" xfId="42" applyFont="1" applyAlignment="1">
      <alignment horizontal="right"/>
    </xf>
    <xf numFmtId="165" fontId="20" fillId="0" borderId="0" xfId="43" applyNumberFormat="1" applyFont="1" applyFill="1" applyBorder="1"/>
    <xf numFmtId="0" fontId="35" fillId="0" borderId="0" xfId="0" applyNumberFormat="1" applyFont="1" applyAlignment="1">
      <alignment horizontal="centerContinuous"/>
    </xf>
    <xf numFmtId="166" fontId="35" fillId="0" borderId="0" xfId="42" applyNumberFormat="1" applyFont="1" applyAlignment="1">
      <alignment horizontal="centerContinuous"/>
    </xf>
    <xf numFmtId="165" fontId="35" fillId="0" borderId="0" xfId="43" applyNumberFormat="1" applyFont="1" applyAlignment="1">
      <alignment horizontal="centerContinuous"/>
    </xf>
    <xf numFmtId="165" fontId="35" fillId="0" borderId="0" xfId="43" applyNumberFormat="1" applyFont="1" applyAlignment="1">
      <alignment horizontal="centerContinuous" wrapText="1"/>
    </xf>
    <xf numFmtId="0" fontId="35" fillId="0" borderId="0" xfId="0" applyFont="1" applyAlignment="1">
      <alignment horizontal="centerContinuous" wrapText="1"/>
    </xf>
    <xf numFmtId="0" fontId="0" fillId="2" borderId="0" xfId="0" applyFill="1"/>
    <xf numFmtId="9" fontId="1" fillId="0" borderId="0" xfId="0" applyNumberFormat="1" applyFont="1"/>
    <xf numFmtId="0" fontId="0" fillId="34" borderId="0" xfId="0" applyFont="1" applyFill="1"/>
    <xf numFmtId="167" fontId="29" fillId="0" borderId="0" xfId="0" applyNumberFormat="1" applyFont="1" applyFill="1"/>
    <xf numFmtId="167" fontId="29" fillId="0" borderId="0" xfId="0" applyNumberFormat="1" applyFont="1" applyFill="1" applyAlignment="1">
      <alignment horizontal="right"/>
    </xf>
    <xf numFmtId="1" fontId="1" fillId="2" borderId="0" xfId="0" applyNumberFormat="1" applyFont="1" applyFill="1" applyBorder="1"/>
    <xf numFmtId="165" fontId="20" fillId="0" borderId="0" xfId="43" applyNumberFormat="1" applyFont="1" applyFill="1" applyBorder="1" applyAlignment="1">
      <alignment horizontal="right" wrapText="1"/>
    </xf>
    <xf numFmtId="165" fontId="20" fillId="0" borderId="0" xfId="43" applyNumberFormat="1" applyFont="1" applyBorder="1" applyAlignment="1">
      <alignment horizontal="right" wrapText="1"/>
    </xf>
    <xf numFmtId="165" fontId="0" fillId="0" borderId="0" xfId="43" applyNumberFormat="1" applyFont="1" applyBorder="1" applyAlignment="1">
      <alignment horizontal="right" wrapText="1"/>
    </xf>
    <xf numFmtId="0" fontId="1" fillId="0" borderId="0" xfId="0" applyFont="1" applyBorder="1" applyAlignment="1">
      <alignment horizontal="right" wrapText="1"/>
    </xf>
    <xf numFmtId="165" fontId="25" fillId="0" borderId="0" xfId="43" applyNumberFormat="1" applyFont="1" applyBorder="1" applyAlignment="1">
      <alignment horizontal="right"/>
    </xf>
    <xf numFmtId="0" fontId="1" fillId="0" borderId="0" xfId="0" applyFont="1" applyBorder="1" applyAlignment="1">
      <alignment horizontal="right"/>
    </xf>
    <xf numFmtId="166" fontId="26" fillId="0" borderId="0" xfId="42" applyNumberFormat="1" applyFont="1" applyBorder="1" applyAlignment="1">
      <alignment horizontal="right"/>
    </xf>
    <xf numFmtId="165" fontId="26" fillId="0" borderId="0" xfId="43" applyNumberFormat="1" applyFont="1" applyBorder="1" applyAlignment="1">
      <alignment horizontal="right"/>
    </xf>
    <xf numFmtId="165" fontId="20" fillId="0" borderId="0" xfId="43" applyNumberFormat="1" applyFont="1" applyBorder="1"/>
    <xf numFmtId="165" fontId="25" fillId="0" borderId="0" xfId="43" applyNumberFormat="1" applyFont="1" applyBorder="1"/>
    <xf numFmtId="43" fontId="21" fillId="0" borderId="0" xfId="0" applyNumberFormat="1" applyFont="1" applyBorder="1"/>
    <xf numFmtId="165" fontId="20" fillId="0" borderId="0" xfId="43" applyNumberFormat="1" applyFont="1" applyFill="1" applyBorder="1" applyAlignment="1">
      <alignment horizontal="center"/>
    </xf>
    <xf numFmtId="165" fontId="20" fillId="0" borderId="0" xfId="43" applyNumberFormat="1" applyFont="1" applyBorder="1" applyAlignment="1">
      <alignment horizontal="right" indent="11"/>
    </xf>
    <xf numFmtId="165" fontId="30" fillId="0" borderId="0" xfId="43" applyNumberFormat="1" applyFont="1" applyBorder="1"/>
    <xf numFmtId="0" fontId="1" fillId="0" borderId="0" xfId="0" applyFont="1" applyFill="1" applyBorder="1"/>
    <xf numFmtId="0" fontId="0" fillId="0" borderId="0" xfId="0"/>
    <xf numFmtId="0" fontId="1" fillId="2" borderId="0" xfId="0" applyFont="1" applyFill="1"/>
    <xf numFmtId="0" fontId="20" fillId="0" borderId="0" xfId="0" applyFont="1"/>
    <xf numFmtId="0" fontId="20" fillId="0" borderId="2" xfId="0" applyFont="1" applyBorder="1"/>
    <xf numFmtId="0" fontId="1" fillId="2" borderId="1" xfId="0" applyFont="1" applyFill="1" applyBorder="1"/>
    <xf numFmtId="166" fontId="25" fillId="0" borderId="0" xfId="42" applyNumberFormat="1" applyFont="1" applyFill="1"/>
    <xf numFmtId="165" fontId="25" fillId="0" borderId="0" xfId="43" applyNumberFormat="1" applyFont="1" applyFill="1"/>
    <xf numFmtId="0" fontId="25" fillId="0" borderId="0" xfId="0" applyFont="1" applyFill="1"/>
    <xf numFmtId="0" fontId="25" fillId="0" borderId="0" xfId="0" applyFont="1"/>
    <xf numFmtId="165" fontId="29" fillId="0" borderId="0" xfId="43" applyNumberFormat="1" applyFont="1" applyFill="1"/>
    <xf numFmtId="0" fontId="1" fillId="2" borderId="0" xfId="0" applyFont="1" applyFill="1" applyAlignment="1">
      <alignment wrapText="1"/>
    </xf>
    <xf numFmtId="1" fontId="1" fillId="2" borderId="0" xfId="0" applyNumberFormat="1" applyFont="1" applyFill="1"/>
    <xf numFmtId="0" fontId="29" fillId="0" borderId="0" xfId="0" applyFont="1" applyFill="1"/>
    <xf numFmtId="0" fontId="25" fillId="0" borderId="1" xfId="0" applyFont="1" applyBorder="1"/>
    <xf numFmtId="0" fontId="25" fillId="0" borderId="2" xfId="0" applyFont="1" applyBorder="1"/>
    <xf numFmtId="0" fontId="25" fillId="0" borderId="0" xfId="0" applyFont="1" applyBorder="1"/>
    <xf numFmtId="0" fontId="25" fillId="0" borderId="1" xfId="0" applyFont="1" applyBorder="1" applyAlignment="1">
      <alignment horizontal="center"/>
    </xf>
    <xf numFmtId="0" fontId="25" fillId="0" borderId="0" xfId="0" applyFont="1" applyAlignment="1">
      <alignment horizontal="center"/>
    </xf>
    <xf numFmtId="0" fontId="25" fillId="0" borderId="2" xfId="0" applyFont="1" applyBorder="1" applyAlignment="1">
      <alignment horizontal="right"/>
    </xf>
    <xf numFmtId="0" fontId="29" fillId="0" borderId="0" xfId="0" applyFont="1"/>
    <xf numFmtId="0" fontId="25" fillId="0" borderId="1" xfId="0" applyFont="1" applyFill="1" applyBorder="1"/>
    <xf numFmtId="167" fontId="18" fillId="0" borderId="0" xfId="0" applyNumberFormat="1" applyFont="1"/>
    <xf numFmtId="0" fontId="25" fillId="0" borderId="1" xfId="0" applyFont="1" applyFill="1" applyBorder="1" applyAlignment="1">
      <alignment horizontal="center"/>
    </xf>
    <xf numFmtId="5" fontId="29" fillId="0" borderId="0" xfId="43" applyNumberFormat="1" applyFont="1" applyFill="1"/>
    <xf numFmtId="165" fontId="25" fillId="0" borderId="2" xfId="43" applyNumberFormat="1" applyFont="1" applyFill="1" applyBorder="1"/>
    <xf numFmtId="165" fontId="29" fillId="0" borderId="0" xfId="0" applyNumberFormat="1" applyFont="1" applyFill="1"/>
    <xf numFmtId="0" fontId="18" fillId="0" borderId="0" xfId="0" applyFont="1" applyAlignment="1">
      <alignment horizontal="right"/>
    </xf>
    <xf numFmtId="10" fontId="0" fillId="0" borderId="0" xfId="0" applyNumberFormat="1" applyFont="1"/>
    <xf numFmtId="167" fontId="29" fillId="0" borderId="1" xfId="0" applyNumberFormat="1" applyFont="1" applyFill="1" applyBorder="1"/>
    <xf numFmtId="0" fontId="36" fillId="0" borderId="0" xfId="0" applyNumberFormat="1" applyFont="1" applyAlignment="1">
      <alignment horizontal="centerContinuous"/>
    </xf>
    <xf numFmtId="0" fontId="37" fillId="0" borderId="0" xfId="0" applyNumberFormat="1" applyFont="1" applyAlignment="1">
      <alignment horizontal="centerContinuous"/>
    </xf>
    <xf numFmtId="0" fontId="16" fillId="0" borderId="0" xfId="0" applyFont="1" applyFill="1"/>
    <xf numFmtId="165" fontId="25" fillId="0" borderId="0" xfId="43" applyNumberFormat="1" applyFont="1" applyFill="1" applyAlignment="1">
      <alignment horizontal="right" wrapText="1"/>
    </xf>
    <xf numFmtId="165" fontId="25" fillId="0" borderId="0" xfId="43" applyNumberFormat="1" applyFont="1" applyFill="1" applyAlignment="1">
      <alignment horizontal="right"/>
    </xf>
    <xf numFmtId="9" fontId="25" fillId="0" borderId="0" xfId="42" applyFont="1" applyFill="1" applyAlignment="1">
      <alignment horizontal="right"/>
    </xf>
    <xf numFmtId="0" fontId="35" fillId="0" borderId="0" xfId="0" applyNumberFormat="1" applyFont="1" applyFill="1" applyAlignment="1">
      <alignment horizontal="centerContinuous"/>
    </xf>
    <xf numFmtId="0" fontId="1" fillId="0" borderId="1" xfId="0" applyFont="1" applyFill="1" applyBorder="1"/>
    <xf numFmtId="9" fontId="25" fillId="0" borderId="0" xfId="42" applyNumberFormat="1" applyFont="1" applyFill="1" applyAlignment="1">
      <alignment horizontal="right"/>
    </xf>
    <xf numFmtId="0" fontId="1" fillId="2" borderId="0" xfId="0" applyNumberFormat="1" applyFont="1" applyFill="1"/>
    <xf numFmtId="0" fontId="0" fillId="34" borderId="0" xfId="0" applyFont="1" applyFill="1" applyBorder="1" applyAlignment="1">
      <alignment horizontal="right"/>
    </xf>
    <xf numFmtId="0" fontId="38" fillId="0" borderId="0" xfId="0" applyFont="1" applyAlignment="1">
      <alignment horizontal="centerContinuous"/>
    </xf>
    <xf numFmtId="0" fontId="0" fillId="0" borderId="0" xfId="0" applyFont="1" applyAlignment="1">
      <alignment horizontal="centerContinuous"/>
    </xf>
    <xf numFmtId="0" fontId="0" fillId="0" borderId="1" xfId="0" applyFont="1" applyBorder="1"/>
    <xf numFmtId="0" fontId="0" fillId="0" borderId="1" xfId="0" applyFont="1" applyBorder="1" applyAlignment="1">
      <alignment horizontal="center"/>
    </xf>
    <xf numFmtId="0" fontId="0" fillId="0" borderId="0" xfId="0" applyFont="1" applyAlignment="1">
      <alignment horizontal="center"/>
    </xf>
    <xf numFmtId="0" fontId="0" fillId="0" borderId="2" xfId="0" applyFont="1" applyBorder="1" applyAlignment="1">
      <alignment horizontal="right"/>
    </xf>
    <xf numFmtId="0" fontId="0" fillId="0" borderId="2" xfId="0" applyFont="1" applyBorder="1" applyAlignment="1">
      <alignment horizontal="centerContinuous"/>
    </xf>
    <xf numFmtId="0" fontId="25" fillId="0" borderId="2" xfId="0" applyFont="1" applyBorder="1" applyAlignment="1">
      <alignment horizontal="center"/>
    </xf>
    <xf numFmtId="0" fontId="0" fillId="0" borderId="2" xfId="0" applyFont="1" applyBorder="1"/>
    <xf numFmtId="9" fontId="0" fillId="0" borderId="0" xfId="0" applyNumberFormat="1" applyFont="1" applyAlignment="1">
      <alignment horizontal="right"/>
    </xf>
    <xf numFmtId="43" fontId="0" fillId="0" borderId="0" xfId="0" applyNumberFormat="1" applyFont="1"/>
    <xf numFmtId="0" fontId="25" fillId="0" borderId="0" xfId="0" applyFont="1" applyAlignment="1">
      <alignment horizontal="left" indent="1"/>
    </xf>
    <xf numFmtId="0" fontId="29" fillId="0" borderId="0" xfId="0" applyFont="1" applyAlignment="1">
      <alignment horizontal="left" indent="1"/>
    </xf>
    <xf numFmtId="0" fontId="29" fillId="0" borderId="0" xfId="0" applyFont="1" applyAlignment="1">
      <alignment horizontal="center"/>
    </xf>
    <xf numFmtId="0" fontId="25" fillId="0" borderId="2" xfId="0" applyFont="1" applyBorder="1" applyAlignment="1">
      <alignment horizontal="left" indent="1"/>
    </xf>
    <xf numFmtId="0" fontId="25" fillId="0" borderId="0" xfId="0" applyFont="1" applyAlignment="1">
      <alignment horizontal="left"/>
    </xf>
    <xf numFmtId="3" fontId="0" fillId="0" borderId="0" xfId="0" applyNumberFormat="1" applyFont="1"/>
    <xf numFmtId="0" fontId="0" fillId="0" borderId="0" xfId="0" applyFont="1" applyFill="1"/>
    <xf numFmtId="0" fontId="0" fillId="0" borderId="0" xfId="0" applyFont="1" applyAlignment="1">
      <alignment horizontal="right"/>
    </xf>
    <xf numFmtId="0" fontId="29" fillId="0" borderId="0" xfId="0" applyFont="1" applyFill="1" applyAlignment="1">
      <alignment horizontal="center"/>
    </xf>
    <xf numFmtId="0" fontId="29" fillId="0" borderId="1" xfId="0" applyFont="1" applyFill="1" applyBorder="1" applyAlignment="1">
      <alignment horizontal="center"/>
    </xf>
    <xf numFmtId="164" fontId="0" fillId="0" borderId="1" xfId="0" applyNumberFormat="1" applyFont="1" applyBorder="1"/>
    <xf numFmtId="167" fontId="0" fillId="0" borderId="1" xfId="0" applyNumberFormat="1" applyFont="1" applyBorder="1"/>
    <xf numFmtId="0" fontId="0" fillId="0" borderId="1" xfId="0" applyFont="1" applyFill="1" applyBorder="1"/>
    <xf numFmtId="0" fontId="26" fillId="0" borderId="0" xfId="0" applyFont="1" applyFill="1" applyAlignment="1">
      <alignment horizontal="center"/>
    </xf>
    <xf numFmtId="0" fontId="41" fillId="0" borderId="0" xfId="0" applyFont="1" applyAlignment="1">
      <alignment horizontal="left"/>
    </xf>
    <xf numFmtId="167" fontId="0" fillId="0" borderId="0" xfId="0" applyNumberFormat="1" applyFont="1"/>
    <xf numFmtId="0" fontId="0" fillId="0" borderId="0" xfId="0" applyFont="1" applyBorder="1" applyAlignment="1">
      <alignment horizontal="center"/>
    </xf>
    <xf numFmtId="0" fontId="0" fillId="0" borderId="0" xfId="0" applyFont="1" applyBorder="1"/>
    <xf numFmtId="0" fontId="29" fillId="0" borderId="0" xfId="0" applyFont="1" applyFill="1" applyBorder="1" applyAlignment="1">
      <alignment horizontal="center"/>
    </xf>
    <xf numFmtId="2" fontId="0" fillId="0" borderId="0" xfId="0" applyNumberFormat="1" applyFont="1"/>
    <xf numFmtId="0" fontId="42" fillId="0" borderId="0" xfId="0" applyFont="1" applyAlignment="1">
      <alignment horizontal="left"/>
    </xf>
    <xf numFmtId="0" fontId="0" fillId="0" borderId="0" xfId="0" applyFont="1" applyBorder="1" applyAlignment="1">
      <alignment horizontal="left"/>
    </xf>
    <xf numFmtId="0" fontId="43" fillId="0" borderId="0" xfId="0" applyNumberFormat="1" applyFont="1" applyAlignment="1">
      <alignment horizontal="centerContinuous"/>
    </xf>
    <xf numFmtId="0" fontId="44" fillId="0" borderId="0" xfId="0" applyNumberFormat="1" applyFont="1" applyAlignment="1">
      <alignment horizontal="centerContinuous"/>
    </xf>
    <xf numFmtId="10" fontId="44" fillId="0" borderId="0" xfId="42" applyNumberFormat="1" applyFont="1" applyAlignment="1">
      <alignment horizontal="centerContinuous"/>
    </xf>
    <xf numFmtId="10" fontId="20" fillId="0" borderId="0" xfId="42" applyNumberFormat="1" applyFont="1" applyAlignment="1">
      <alignment horizontal="centerContinuous"/>
    </xf>
    <xf numFmtId="165" fontId="20" fillId="0" borderId="0" xfId="43" applyNumberFormat="1" applyFont="1" applyAlignment="1">
      <alignment horizontal="centerContinuous"/>
    </xf>
    <xf numFmtId="166" fontId="20" fillId="0" borderId="0" xfId="42" applyNumberFormat="1" applyFont="1" applyAlignment="1">
      <alignment horizontal="centerContinuous"/>
    </xf>
    <xf numFmtId="165" fontId="20" fillId="0" borderId="0" xfId="43" applyNumberFormat="1" applyFont="1" applyFill="1" applyAlignment="1">
      <alignment horizontal="centerContinuous"/>
    </xf>
    <xf numFmtId="0" fontId="20" fillId="0" borderId="0" xfId="0" applyFont="1" applyAlignment="1">
      <alignment horizontal="right" wrapText="1"/>
    </xf>
    <xf numFmtId="0" fontId="20" fillId="0" borderId="0" xfId="0" applyNumberFormat="1" applyFont="1"/>
    <xf numFmtId="43" fontId="25" fillId="0" borderId="0" xfId="43" applyNumberFormat="1" applyFont="1"/>
    <xf numFmtId="165" fontId="29" fillId="0" borderId="0" xfId="43" applyNumberFormat="1" applyFont="1"/>
    <xf numFmtId="168" fontId="20" fillId="0" borderId="0" xfId="0" applyNumberFormat="1" applyFont="1"/>
    <xf numFmtId="10" fontId="20" fillId="0" borderId="0" xfId="0" applyNumberFormat="1" applyFont="1" applyFill="1" applyAlignment="1">
      <alignment horizontal="left"/>
    </xf>
    <xf numFmtId="10" fontId="20" fillId="0" borderId="0" xfId="42" applyNumberFormat="1" applyFont="1" applyFill="1"/>
    <xf numFmtId="9" fontId="20" fillId="0" borderId="0" xfId="0" applyNumberFormat="1" applyFont="1" applyFill="1"/>
    <xf numFmtId="9" fontId="20" fillId="0" borderId="0" xfId="0" applyNumberFormat="1" applyFont="1" applyFill="1" applyAlignment="1">
      <alignment horizontal="left"/>
    </xf>
    <xf numFmtId="0" fontId="20" fillId="0" borderId="0" xfId="0" applyFont="1" applyFill="1" applyAlignment="1">
      <alignment horizontal="right" wrapText="1"/>
    </xf>
    <xf numFmtId="0" fontId="20" fillId="0" borderId="2" xfId="0" applyFont="1" applyFill="1" applyBorder="1"/>
    <xf numFmtId="37" fontId="25" fillId="0" borderId="0" xfId="43" applyNumberFormat="1" applyFont="1"/>
    <xf numFmtId="0" fontId="23" fillId="0" borderId="0" xfId="0" applyFont="1" applyFill="1"/>
    <xf numFmtId="166" fontId="20" fillId="0" borderId="0" xfId="0" applyNumberFormat="1" applyFont="1"/>
    <xf numFmtId="166" fontId="20" fillId="0" borderId="0" xfId="0" applyNumberFormat="1" applyFont="1" applyFill="1"/>
  </cellXfs>
  <cellStyles count="7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omma 10 2" xfId="46"/>
    <cellStyle name="Comma 14" xfId="55"/>
    <cellStyle name="Comma 15" xfId="5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1" xfId="45"/>
    <cellStyle name="Normal 102 2" xfId="54"/>
    <cellStyle name="Normal 103" xfId="48"/>
    <cellStyle name="Normal 105 2" xfId="44"/>
    <cellStyle name="Normal 107" xfId="47"/>
    <cellStyle name="Normal 108" xfId="68"/>
    <cellStyle name="Normal 109" xfId="69"/>
    <cellStyle name="Normal 110" xfId="70"/>
    <cellStyle name="Normal 111" xfId="71"/>
    <cellStyle name="Normal 118" xfId="57"/>
    <cellStyle name="Normal 119" xfId="58"/>
    <cellStyle name="Normal 120" xfId="59"/>
    <cellStyle name="Normal 121" xfId="60"/>
    <cellStyle name="Normal 122" xfId="61"/>
    <cellStyle name="Normal 123" xfId="62"/>
    <cellStyle name="Normal 124" xfId="63"/>
    <cellStyle name="Normal 137" xfId="56"/>
    <cellStyle name="Normal 139" xfId="64"/>
    <cellStyle name="Normal 192" xfId="77"/>
    <cellStyle name="Normal 198" xfId="53"/>
    <cellStyle name="Normal 26" xfId="49"/>
    <cellStyle name="Normal 27" xfId="50"/>
    <cellStyle name="Normal 28" xfId="52"/>
    <cellStyle name="Normal 30" xfId="65"/>
    <cellStyle name="Normal 32 4" xfId="66"/>
    <cellStyle name="Normal 41 2" xfId="67"/>
    <cellStyle name="Normal 44 2" xfId="73"/>
    <cellStyle name="Normal 74" xfId="72"/>
    <cellStyle name="Normal 79" xfId="74"/>
    <cellStyle name="Normal 83" xfId="75"/>
    <cellStyle name="Normal 87" xfId="76"/>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9">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9" formatCode="&quot;-&quot;"/>
    </dxf>
    <dxf>
      <numFmt numFmtId="169" formatCode="&quot;-&quot;"/>
    </dxf>
  </dxfs>
  <tableStyles count="0" defaultTableStyle="TableStyleMedium2" defaultPivotStyle="PivotStyleLight16"/>
  <colors>
    <mruColors>
      <color rgb="FF0000CC"/>
      <color rgb="FF0046FA"/>
      <color rgb="FF509A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Brattle 2015">
  <a:themeElements>
    <a:clrScheme name="Brattle 2015">
      <a:dk1>
        <a:srgbClr val="000000"/>
      </a:dk1>
      <a:lt1>
        <a:srgbClr val="FFFFFF"/>
      </a:lt1>
      <a:dk2>
        <a:srgbClr val="FFFFFF"/>
      </a:dk2>
      <a:lt2>
        <a:srgbClr val="00467F"/>
      </a:lt2>
      <a:accent1>
        <a:srgbClr val="002B54"/>
      </a:accent1>
      <a:accent2>
        <a:srgbClr val="7FB9C2"/>
      </a:accent2>
      <a:accent3>
        <a:srgbClr val="6A7277"/>
      </a:accent3>
      <a:accent4>
        <a:srgbClr val="EF4623"/>
      </a:accent4>
      <a:accent5>
        <a:srgbClr val="00467F"/>
      </a:accent5>
      <a:accent6>
        <a:srgbClr val="CCCDC3"/>
      </a:accent6>
      <a:hlink>
        <a:srgbClr val="7FB9C2"/>
      </a:hlink>
      <a:folHlink>
        <a:srgbClr val="00467F"/>
      </a:folHlink>
    </a:clrScheme>
    <a:fontScheme name="Brattle 2015">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W67"/>
  <sheetViews>
    <sheetView showGridLines="0" tabSelected="1" topLeftCell="L3" zoomScale="90" zoomScaleNormal="90" workbookViewId="0">
      <selection activeCell="L3" sqref="L3"/>
    </sheetView>
  </sheetViews>
  <sheetFormatPr defaultRowHeight="15" outlineLevelRow="1" outlineLevelCol="1" x14ac:dyDescent="0.25"/>
  <cols>
    <col min="1" max="1" width="9.140625" style="98" hidden="1" customWidth="1" outlineLevel="1"/>
    <col min="2" max="2" width="4.42578125" style="31" customWidth="1" collapsed="1"/>
    <col min="3" max="3" width="47.140625" style="31" customWidth="1"/>
    <col min="4" max="4" width="4.7109375" style="31" bestFit="1" customWidth="1"/>
    <col min="5" max="5" width="9.140625" style="31"/>
    <col min="6" max="6" width="3.42578125" style="31" bestFit="1" customWidth="1"/>
    <col min="7" max="7" width="10.85546875" style="31" customWidth="1"/>
    <col min="8" max="8" width="1.7109375" style="31" customWidth="1"/>
    <col min="9" max="9" width="16" style="31" bestFit="1" customWidth="1"/>
    <col min="10" max="11" width="25.28515625" style="31" customWidth="1"/>
    <col min="12" max="12" width="9.140625" style="31"/>
    <col min="13" max="13" width="72.140625" style="31" customWidth="1"/>
    <col min="14" max="14" width="10.85546875" style="31" bestFit="1" customWidth="1"/>
    <col min="15" max="15" width="15.42578125" style="31" customWidth="1"/>
    <col min="16" max="16" width="14.28515625" style="31" bestFit="1" customWidth="1"/>
    <col min="17" max="19" width="9.140625" style="31"/>
    <col min="20" max="20" width="72.140625" style="31" customWidth="1"/>
    <col min="21" max="21" width="10.85546875" style="31" bestFit="1" customWidth="1"/>
    <col min="22" max="22" width="15.42578125" style="31" customWidth="1"/>
    <col min="23" max="23" width="14.28515625" style="31" bestFit="1" customWidth="1"/>
    <col min="24" max="24" width="9" style="31" customWidth="1"/>
    <col min="25" max="16384" width="9.140625" style="31"/>
  </cols>
  <sheetData>
    <row r="1" spans="1:23" s="98" customFormat="1" hidden="1" outlineLevel="1" x14ac:dyDescent="0.25">
      <c r="E1" s="98" t="s">
        <v>33</v>
      </c>
      <c r="G1" s="98" t="s">
        <v>32</v>
      </c>
      <c r="I1" s="98" t="s">
        <v>47</v>
      </c>
      <c r="O1" s="156" t="s">
        <v>33</v>
      </c>
      <c r="P1" s="98" t="s">
        <v>46</v>
      </c>
      <c r="V1" s="156" t="s">
        <v>33</v>
      </c>
      <c r="W1" s="98" t="s">
        <v>46</v>
      </c>
    </row>
    <row r="2" spans="1:23" s="98" customFormat="1" hidden="1" outlineLevel="1" x14ac:dyDescent="0.25">
      <c r="E2" s="98" t="s">
        <v>18</v>
      </c>
      <c r="G2" s="98" t="s">
        <v>66</v>
      </c>
    </row>
    <row r="3" spans="1:23" collapsed="1" x14ac:dyDescent="0.25">
      <c r="B3" s="157" t="s">
        <v>157</v>
      </c>
      <c r="C3" s="158"/>
      <c r="D3" s="158"/>
      <c r="E3" s="158"/>
      <c r="F3" s="158"/>
      <c r="G3" s="158"/>
      <c r="H3" s="158"/>
      <c r="I3" s="158"/>
      <c r="L3" s="157" t="s">
        <v>158</v>
      </c>
      <c r="M3" s="158"/>
      <c r="N3" s="158"/>
      <c r="O3" s="158"/>
      <c r="P3" s="158"/>
      <c r="S3" s="157" t="s">
        <v>159</v>
      </c>
      <c r="T3" s="158"/>
      <c r="U3" s="158"/>
      <c r="V3" s="158"/>
      <c r="W3" s="158"/>
    </row>
    <row r="4" spans="1:23" ht="6" customHeight="1" thickBot="1" x14ac:dyDescent="0.3">
      <c r="B4" s="159"/>
      <c r="C4" s="159"/>
      <c r="D4" s="160"/>
      <c r="E4" s="159"/>
      <c r="F4" s="159"/>
      <c r="G4" s="159"/>
      <c r="H4" s="159"/>
      <c r="I4" s="159"/>
      <c r="L4" s="130"/>
      <c r="M4" s="130"/>
      <c r="N4" s="133"/>
      <c r="O4" s="130"/>
      <c r="P4" s="159"/>
      <c r="S4" s="130"/>
      <c r="T4" s="130"/>
      <c r="U4" s="133"/>
      <c r="V4" s="130"/>
      <c r="W4" s="159"/>
    </row>
    <row r="5" spans="1:23" ht="6" customHeight="1" thickTop="1" x14ac:dyDescent="0.25">
      <c r="D5" s="161"/>
      <c r="L5" s="125"/>
      <c r="M5" s="125"/>
      <c r="N5" s="134"/>
      <c r="O5" s="125"/>
      <c r="S5" s="125"/>
      <c r="T5" s="125"/>
      <c r="U5" s="134"/>
      <c r="V5" s="125"/>
    </row>
    <row r="6" spans="1:23" x14ac:dyDescent="0.25">
      <c r="B6" s="162"/>
      <c r="C6" s="162"/>
      <c r="D6" s="162"/>
      <c r="E6" s="162" t="s">
        <v>69</v>
      </c>
      <c r="F6" s="163" t="s">
        <v>66</v>
      </c>
      <c r="G6" s="163"/>
      <c r="H6" s="162"/>
      <c r="I6" s="162" t="s">
        <v>70</v>
      </c>
      <c r="L6" s="135"/>
      <c r="M6" s="135"/>
      <c r="N6" s="135"/>
      <c r="O6" s="164" t="s">
        <v>25</v>
      </c>
      <c r="P6" s="165" t="s">
        <v>98</v>
      </c>
      <c r="S6" s="135"/>
      <c r="T6" s="135"/>
      <c r="U6" s="135"/>
      <c r="V6" s="164" t="s">
        <v>25</v>
      </c>
      <c r="W6" s="165" t="s">
        <v>98</v>
      </c>
    </row>
    <row r="7" spans="1:23" ht="6" customHeight="1" x14ac:dyDescent="0.25">
      <c r="D7" s="161"/>
      <c r="L7" s="125"/>
      <c r="M7" s="125"/>
      <c r="N7" s="134"/>
      <c r="O7" s="125"/>
      <c r="S7" s="125"/>
      <c r="T7" s="125"/>
      <c r="U7" s="134"/>
      <c r="V7" s="125"/>
    </row>
    <row r="8" spans="1:23" x14ac:dyDescent="0.25">
      <c r="A8" s="12">
        <v>1</v>
      </c>
      <c r="B8" s="125" t="s">
        <v>71</v>
      </c>
      <c r="C8" s="125"/>
      <c r="D8" s="134" t="str">
        <f t="shared" ref="D8:D16" si="0">"["&amp;A8&amp;"]"</f>
        <v>[1]</v>
      </c>
      <c r="E8" s="122">
        <f>INDEX('2020 CAISO+PAC'!$E:$E,MATCH(E$2,'2020 CAISO+PAC'!$B:$B,0))</f>
        <v>1.1499999999999999</v>
      </c>
      <c r="F8" s="122"/>
      <c r="G8" s="122">
        <f>INDEX('2020 CAISO+PAC'!$E:$E,MATCH(G$2,'2020 CAISO+PAC'!$B:$B,0))</f>
        <v>1.1299999999999999</v>
      </c>
      <c r="H8" s="124"/>
      <c r="I8" s="13"/>
      <c r="L8" s="125" t="s">
        <v>77</v>
      </c>
      <c r="M8" s="125"/>
      <c r="N8" s="134" t="str">
        <f t="shared" ref="N8:N16" si="1">"["&amp;A8&amp;"]"</f>
        <v>[1]</v>
      </c>
      <c r="O8" s="154" t="s">
        <v>86</v>
      </c>
      <c r="P8" s="166" t="s">
        <v>87</v>
      </c>
      <c r="S8" s="125" t="s">
        <v>77</v>
      </c>
      <c r="T8" s="125"/>
      <c r="U8" s="134" t="str">
        <f>"["&amp;A8&amp;"]"</f>
        <v>[1]</v>
      </c>
      <c r="V8" s="154" t="s">
        <v>86</v>
      </c>
      <c r="W8" s="166" t="s">
        <v>87</v>
      </c>
    </row>
    <row r="9" spans="1:23" ht="15" customHeight="1" x14ac:dyDescent="0.25">
      <c r="A9" s="23">
        <f>MAX($A$3:$A8)+1</f>
        <v>2</v>
      </c>
      <c r="B9" s="125" t="s">
        <v>56</v>
      </c>
      <c r="C9" s="125"/>
      <c r="D9" s="134" t="str">
        <f t="shared" si="0"/>
        <v>[2]</v>
      </c>
      <c r="E9" s="123">
        <f>SUMIFS('2020 CAISO+PAC'!$F:$F,'2020 CAISO+PAC'!$D:$D,Results!E$1)</f>
        <v>47009.573416528947</v>
      </c>
      <c r="F9" s="123"/>
      <c r="G9" s="123">
        <f>SUMIFS('2020 CAISO+PAC'!$F:$F,'2020 CAISO+PAC'!$D:$D,Results!G$1)</f>
        <v>13234</v>
      </c>
      <c r="H9" s="124"/>
      <c r="I9" s="81">
        <f>SUM(E9:G9)</f>
        <v>60243.573416528947</v>
      </c>
      <c r="L9" s="131" t="s">
        <v>78</v>
      </c>
      <c r="M9" s="131"/>
      <c r="N9" s="164" t="str">
        <f t="shared" si="1"/>
        <v>[2]</v>
      </c>
      <c r="O9" s="141">
        <f>SUMIFS('2030 Regional ISO'!$I:$I,'2030 Regional ISO'!$B:$B,Results!O$1)</f>
        <v>57187.793435409614</v>
      </c>
      <c r="P9" s="141">
        <f>SUMIFS('2030 Regional ISO'!$I:$I,'2030 Regional ISO'!$B:$B,Results!P$1)</f>
        <v>85302.411698038733</v>
      </c>
      <c r="S9" s="131" t="s">
        <v>78</v>
      </c>
      <c r="T9" s="131"/>
      <c r="U9" s="164" t="str">
        <f t="shared" ref="U9:U16" si="2">"["&amp;A9&amp;"]"</f>
        <v>[2]</v>
      </c>
      <c r="V9" s="141">
        <f>SUMIFS('2020 Regional ISO'!$I:$I,'2020 Regional ISO'!$B:$B,Results!V$1)</f>
        <v>59688.317087729149</v>
      </c>
      <c r="W9" s="141">
        <f>SUMIFS('2020 Regional ISO'!$I:$I,'2020 Regional ISO'!$B:$B,Results!W$1)</f>
        <v>75829</v>
      </c>
    </row>
    <row r="10" spans="1:23" ht="15" customHeight="1" x14ac:dyDescent="0.25">
      <c r="A10" s="23">
        <f>MAX($A$3:$A9)+1</f>
        <v>3</v>
      </c>
      <c r="B10" s="125" t="s">
        <v>132</v>
      </c>
      <c r="C10" s="125"/>
      <c r="D10" s="134" t="str">
        <f t="shared" si="0"/>
        <v>[3]</v>
      </c>
      <c r="E10" s="122">
        <f>IFERROR(SUMIFS('2020 CAISO+PAC'!$S:$S,'2020 CAISO+PAC'!$D:$D,Results!E$1)/SUMIFS('2020 CAISO+PAC'!$F:$F,'2020 CAISO+PAC'!$D:$D,Results!E$1),"-")</f>
        <v>0.99659090909090908</v>
      </c>
      <c r="F10" s="122"/>
      <c r="G10" s="122">
        <f>IFERROR(SUMIFS('2020 CAISO+PAC'!$S:$S,'2020 CAISO+PAC'!$D:$D,Results!G$1)/SUMIFS('2020 CAISO+PAC'!$F:$F,'2020 CAISO+PAC'!$D:$D,Results!G$1),"-")</f>
        <v>0.92192466500519277</v>
      </c>
      <c r="H10" s="124"/>
      <c r="I10" s="13"/>
      <c r="L10" s="125" t="s">
        <v>89</v>
      </c>
      <c r="M10" s="125"/>
      <c r="N10" s="134" t="str">
        <f t="shared" si="1"/>
        <v>[3]</v>
      </c>
      <c r="O10" s="122">
        <f>O11/O9</f>
        <v>0.9922900718725115</v>
      </c>
      <c r="P10" s="122">
        <f>P11/P9</f>
        <v>0.94210534074477226</v>
      </c>
      <c r="S10" s="125" t="s">
        <v>89</v>
      </c>
      <c r="T10" s="125"/>
      <c r="U10" s="134" t="str">
        <f t="shared" si="2"/>
        <v>[3]</v>
      </c>
      <c r="V10" s="122">
        <f>V11/V9</f>
        <v>0.99286350169975468</v>
      </c>
      <c r="W10" s="122">
        <f>W11/W9</f>
        <v>0.94020439048448035</v>
      </c>
    </row>
    <row r="11" spans="1:23" ht="15" customHeight="1" x14ac:dyDescent="0.25">
      <c r="A11" s="23">
        <f>MAX($A$3:$A10)+1</f>
        <v>4</v>
      </c>
      <c r="B11" s="125" t="s">
        <v>72</v>
      </c>
      <c r="C11" s="125"/>
      <c r="D11" s="134" t="str">
        <f t="shared" si="0"/>
        <v>[4]</v>
      </c>
      <c r="E11" s="123">
        <f>IFERROR(E9*E10,"-")</f>
        <v>46849.313507154417</v>
      </c>
      <c r="F11" s="123"/>
      <c r="G11" s="123">
        <f t="shared" ref="G11" si="3">IFERROR(G9*G10,"-")</f>
        <v>12200.751016678721</v>
      </c>
      <c r="H11" s="124"/>
      <c r="I11" s="81">
        <f>SUM(E11:G11)</f>
        <v>59050.064523833134</v>
      </c>
      <c r="L11" s="125" t="s">
        <v>90</v>
      </c>
      <c r="M11" s="125"/>
      <c r="N11" s="134" t="str">
        <f t="shared" si="1"/>
        <v>[4]</v>
      </c>
      <c r="O11" s="123">
        <f>SUMIFS('2030 Regional ISO'!$V:$V,'2030 Regional ISO'!$B:$B,Results!O$1)</f>
        <v>56746.879658252947</v>
      </c>
      <c r="P11" s="123">
        <f>SUMIFS('2030 Regional ISO'!$V:$V,'2030 Regional ISO'!$B:$B,Results!P$1)</f>
        <v>80363.857639131631</v>
      </c>
      <c r="S11" s="125" t="s">
        <v>90</v>
      </c>
      <c r="T11" s="125"/>
      <c r="U11" s="134" t="str">
        <f t="shared" si="2"/>
        <v>[4]</v>
      </c>
      <c r="V11" s="123">
        <f>SUMIFS('2020 Regional ISO'!$V:$V,'2020 Regional ISO'!$B:$B,Results!V$1)</f>
        <v>59262.351514288064</v>
      </c>
      <c r="W11" s="123">
        <f>SUMIFS('2020 Regional ISO'!$V:$V,'2020 Regional ISO'!$B:$B,Results!W$1)</f>
        <v>71294.758726047658</v>
      </c>
    </row>
    <row r="12" spans="1:23" ht="15" customHeight="1" x14ac:dyDescent="0.25">
      <c r="A12" s="23">
        <f>MAX($A$3:$A11)+1</f>
        <v>5</v>
      </c>
      <c r="B12" s="125" t="s">
        <v>73</v>
      </c>
      <c r="C12" s="125"/>
      <c r="D12" s="134" t="str">
        <f t="shared" si="0"/>
        <v>[5]</v>
      </c>
      <c r="E12" s="123">
        <f>IFERROR((E8)*(E9-E11),"-")</f>
        <v>184.29889578070978</v>
      </c>
      <c r="F12" s="123"/>
      <c r="G12" s="123">
        <f>IFERROR((G8)*(G9-G11),"-")</f>
        <v>1167.5713511530446</v>
      </c>
      <c r="H12" s="124"/>
      <c r="I12" s="81">
        <f>SUM(E12:G12)</f>
        <v>1351.8702469337543</v>
      </c>
      <c r="J12" s="167"/>
      <c r="K12" s="167"/>
      <c r="L12" s="125" t="s">
        <v>128</v>
      </c>
      <c r="M12" s="125"/>
      <c r="N12" s="134" t="str">
        <f t="shared" si="1"/>
        <v>[5]</v>
      </c>
      <c r="O12" s="123">
        <f>SUMIFS('2030 Regional ISO'!$W:$W,'2030 Regional ISO'!$B:$B,Results!O$1)</f>
        <v>507.9695603651906</v>
      </c>
      <c r="P12" s="123">
        <f>SUMIFS('2030 Regional ISO'!$W:$W,'2030 Regional ISO'!$B:$B,Results!P$1)</f>
        <v>5702.5700615213136</v>
      </c>
      <c r="S12" s="125" t="s">
        <v>128</v>
      </c>
      <c r="T12" s="125"/>
      <c r="U12" s="134" t="str">
        <f t="shared" si="2"/>
        <v>[5]</v>
      </c>
      <c r="V12" s="123">
        <f>SUMIFS('2020 Regional ISO'!$W:$W,'2020 Regional ISO'!$B:$B,Results!V$1)</f>
        <v>490.70919441841806</v>
      </c>
      <c r="W12" s="123">
        <f>SUMIFS('2020 Regional ISO'!$W:$W,'2020 Regional ISO'!$B:$B,Results!W$1)</f>
        <v>5235.6054082614964</v>
      </c>
    </row>
    <row r="13" spans="1:23" ht="15" customHeight="1" x14ac:dyDescent="0.25">
      <c r="A13" s="23">
        <f>MAX($A$3:$A12)+1</f>
        <v>6</v>
      </c>
      <c r="B13" s="125" t="s">
        <v>75</v>
      </c>
      <c r="D13" s="134" t="str">
        <f t="shared" si="0"/>
        <v>[6]</v>
      </c>
      <c r="E13" s="31">
        <f>INDEX('2020 CAISO+PAC'!$U:$U,MATCH(Results!E$2,'2020 CAISO+PAC'!$B:$B,0))</f>
        <v>982</v>
      </c>
      <c r="G13" s="31">
        <f>INDEX('2020 CAISO+PAC'!$U:$U,MATCH(Results!G$2,'2020 CAISO+PAC'!$B:$B,0))</f>
        <v>776</v>
      </c>
      <c r="L13" s="168" t="s">
        <v>59</v>
      </c>
      <c r="M13" s="125"/>
      <c r="N13" s="134" t="str">
        <f t="shared" si="1"/>
        <v>[6]</v>
      </c>
      <c r="O13" s="123">
        <f>SUMIFS('2030 Regional ISO'!$Y:$Y,'2030 Regional ISO'!$B:$B,Results!O$1)</f>
        <v>0</v>
      </c>
      <c r="P13" s="123">
        <f>SUMIFS('2030 Regional ISO'!$Y:$Y,'2030 Regional ISO'!$B:$B,Results!P$1)</f>
        <v>4480.5614896790439</v>
      </c>
      <c r="S13" s="168" t="s">
        <v>59</v>
      </c>
      <c r="T13" s="125"/>
      <c r="U13" s="134" t="str">
        <f t="shared" si="2"/>
        <v>[6]</v>
      </c>
      <c r="V13" s="123">
        <f>SUMIFS('2020 Regional ISO'!$Y:$Y,'2020 Regional ISO'!$B:$B,Results!V$1)</f>
        <v>0</v>
      </c>
      <c r="W13" s="123">
        <f>SUMIFS('2020 Regional ISO'!$Y:$Y,'2020 Regional ISO'!$B:$B,Results!W$1)</f>
        <v>4136.1659081169601</v>
      </c>
    </row>
    <row r="14" spans="1:23" ht="15" customHeight="1" x14ac:dyDescent="0.25">
      <c r="A14" s="23">
        <f>MAX($A$3:$A13)+1</f>
        <v>7</v>
      </c>
      <c r="B14" s="169" t="s">
        <v>58</v>
      </c>
      <c r="C14" s="136"/>
      <c r="D14" s="170" t="str">
        <f t="shared" si="0"/>
        <v>[7]</v>
      </c>
      <c r="E14" s="126">
        <f>MIN(E12:E13)</f>
        <v>184.29889578070978</v>
      </c>
      <c r="F14" s="126"/>
      <c r="G14" s="126">
        <f t="shared" ref="G14" si="4">MIN(G12:G13)</f>
        <v>776</v>
      </c>
      <c r="H14" s="126"/>
      <c r="I14" s="142">
        <f>SUM(E14:G14)</f>
        <v>960.29889578070981</v>
      </c>
      <c r="L14" s="169" t="s">
        <v>129</v>
      </c>
      <c r="M14" s="136"/>
      <c r="N14" s="170" t="str">
        <f t="shared" si="1"/>
        <v>[7]</v>
      </c>
      <c r="O14" s="126">
        <f>SUMIFS('2030 Regional ISO'!$AB:$AB,'2030 Regional ISO'!$B:$B,Results!O$1)</f>
        <v>362.86330333527815</v>
      </c>
      <c r="P14" s="126">
        <f>SUMIFS('2030 Regional ISO'!$AB:$AB,'2030 Regional ISO'!$B:$B,Results!P$1)</f>
        <v>604.19500415879088</v>
      </c>
      <c r="S14" s="169" t="s">
        <v>129</v>
      </c>
      <c r="T14" s="136"/>
      <c r="U14" s="134" t="str">
        <f t="shared" si="2"/>
        <v>[7]</v>
      </c>
      <c r="V14" s="126">
        <f>SUMIFS('2020 Regional ISO'!$AB:$AB,'2020 Regional ISO'!$B:$B,Results!V$1)</f>
        <v>353.06654423369548</v>
      </c>
      <c r="W14" s="126">
        <f>SUMIFS('2020 Regional ISO'!$AB:$AB,'2020 Regional ISO'!$B:$B,Results!W$1)</f>
        <v>532.55912159997945</v>
      </c>
    </row>
    <row r="15" spans="1:23" ht="15" customHeight="1" x14ac:dyDescent="0.25">
      <c r="A15" s="23">
        <f>MAX($A$3:$A14)+1</f>
        <v>8</v>
      </c>
      <c r="B15" s="125" t="s">
        <v>94</v>
      </c>
      <c r="D15" s="134" t="str">
        <f t="shared" si="0"/>
        <v>[8]</v>
      </c>
      <c r="E15" s="144">
        <f>E14/E9</f>
        <v>3.9204545454545395E-3</v>
      </c>
      <c r="F15" s="144"/>
      <c r="G15" s="144">
        <f t="shared" ref="G15" si="5">G14/G9</f>
        <v>5.8636844491461386E-2</v>
      </c>
      <c r="L15" s="171" t="s">
        <v>57</v>
      </c>
      <c r="M15" s="131"/>
      <c r="N15" s="164" t="str">
        <f t="shared" si="1"/>
        <v>[8]</v>
      </c>
      <c r="O15" s="141">
        <f>SUMIFS('2030 Regional ISO'!$AC:$AC,'2030 Regional ISO'!$B:$B,Results!O$1)</f>
        <v>145.10625702991243</v>
      </c>
      <c r="P15" s="141">
        <f>SUMIFS('2030 Regional ISO'!$AC:$AC,'2030 Regional ISO'!$B:$B,Results!P$1)</f>
        <v>617.81356768348019</v>
      </c>
      <c r="S15" s="171" t="s">
        <v>57</v>
      </c>
      <c r="T15" s="131"/>
      <c r="U15" s="164" t="str">
        <f t="shared" si="2"/>
        <v>[8]</v>
      </c>
      <c r="V15" s="141">
        <f>SUMIFS('2020 Regional ISO'!$AC:$AC,'2020 Regional ISO'!$B:$B,Results!V$1)</f>
        <v>137.64265018472258</v>
      </c>
      <c r="W15" s="141">
        <f>SUMIFS('2020 Regional ISO'!$AC:$AC,'2020 Regional ISO'!$B:$B,Results!W$1)</f>
        <v>566.88037854455797</v>
      </c>
    </row>
    <row r="16" spans="1:23" ht="15" customHeight="1" x14ac:dyDescent="0.25">
      <c r="A16" s="23">
        <f>MAX($A$3:$A15)+1</f>
        <v>9</v>
      </c>
      <c r="B16" s="169" t="s">
        <v>57</v>
      </c>
      <c r="C16" s="136"/>
      <c r="D16" s="170" t="str">
        <f t="shared" si="0"/>
        <v>[9]</v>
      </c>
      <c r="E16" s="126">
        <f>E12-E14</f>
        <v>0</v>
      </c>
      <c r="F16" s="126"/>
      <c r="G16" s="126">
        <f>G12-G14</f>
        <v>391.57135115304459</v>
      </c>
      <c r="H16" s="129"/>
      <c r="I16" s="142">
        <f>SUM(E16:G16)</f>
        <v>391.57135115304459</v>
      </c>
      <c r="L16" s="172" t="s">
        <v>91</v>
      </c>
      <c r="M16" s="125"/>
      <c r="N16" s="134" t="str">
        <f t="shared" si="1"/>
        <v>[9]</v>
      </c>
      <c r="O16" s="122">
        <f>O17/O11</f>
        <v>0.98113587018876625</v>
      </c>
      <c r="P16" s="122">
        <f>P17/P11</f>
        <v>0.96330470599714735</v>
      </c>
      <c r="S16" s="172" t="s">
        <v>91</v>
      </c>
      <c r="T16" s="125"/>
      <c r="U16" s="134" t="str">
        <f t="shared" si="2"/>
        <v>[9]</v>
      </c>
      <c r="V16" s="122">
        <f>V17/V11</f>
        <v>0.98087273048721246</v>
      </c>
      <c r="W16" s="122">
        <f>W17/W11</f>
        <v>0.99784473148826147</v>
      </c>
    </row>
    <row r="17" spans="1:23" ht="15" customHeight="1" x14ac:dyDescent="0.25">
      <c r="A17" s="23"/>
      <c r="B17" s="125" t="s">
        <v>94</v>
      </c>
      <c r="D17" s="134" t="str">
        <f>"["&amp;A18&amp;"]"</f>
        <v>[10]</v>
      </c>
      <c r="E17" s="144">
        <f>E16/E9</f>
        <v>0</v>
      </c>
      <c r="F17" s="144"/>
      <c r="G17" s="144">
        <f t="shared" ref="G17" si="6">G16/G9</f>
        <v>2.9588284052670742E-2</v>
      </c>
      <c r="L17" s="125" t="s">
        <v>92</v>
      </c>
      <c r="M17" s="125"/>
      <c r="N17" s="134" t="str">
        <f t="shared" ref="N17:N22" si="7">"["&amp;A18&amp;"]"</f>
        <v>[10]</v>
      </c>
      <c r="O17" s="123">
        <f>'2030 Regional ISO'!V39+'2030 Regional ISO'!V14+'2030 Regional ISO'!V26+'2030 Regional ISO'!V30</f>
        <v>55676.399153997205</v>
      </c>
      <c r="P17" s="173">
        <f>'2030 Regional ISO'!V45-Results!O17</f>
        <v>77414.882255860299</v>
      </c>
      <c r="S17" s="125" t="s">
        <v>92</v>
      </c>
      <c r="T17" s="125"/>
      <c r="U17" s="134" t="str">
        <f>"["&amp;A18&amp;"]"</f>
        <v>[10]</v>
      </c>
      <c r="V17" s="123">
        <f>'2020 Regional ISO'!V39+'2020 Regional ISO'!V14+'2020 Regional ISO'!V26+'2020 Regional ISO'!V30</f>
        <v>58128.824544912721</v>
      </c>
      <c r="W17" s="123">
        <f>'2020 Regional ISO'!V45-Results!O17</f>
        <v>71141.099377513412</v>
      </c>
    </row>
    <row r="18" spans="1:23" ht="15" customHeight="1" x14ac:dyDescent="0.25">
      <c r="A18" s="23">
        <f>MAX($A$3:$A16)+1</f>
        <v>10</v>
      </c>
      <c r="B18" s="136" t="s">
        <v>74</v>
      </c>
      <c r="C18" s="30"/>
      <c r="D18" s="170" t="str">
        <f>"["&amp;A19&amp;"]"</f>
        <v>[11]</v>
      </c>
      <c r="E18" s="138">
        <v>35</v>
      </c>
      <c r="F18" s="143"/>
      <c r="G18" s="138">
        <v>39</v>
      </c>
      <c r="J18" s="174"/>
      <c r="K18" s="174"/>
      <c r="L18" s="125" t="s">
        <v>130</v>
      </c>
      <c r="M18" s="125"/>
      <c r="N18" s="134" t="str">
        <f t="shared" si="7"/>
        <v>[11]</v>
      </c>
      <c r="O18" s="123">
        <f>SUMIFS('2030 Regional ISO'!$W:$W,'2030 Regional ISO'!$C:$C,Results!O$1)</f>
        <v>1231.0525798941067</v>
      </c>
      <c r="P18" s="123">
        <f>SUMIFS('2030 Regional ISO'!$W:$W,'2030 Regional ISO'!$C:$C,Results!P$1)</f>
        <v>3384.781055868953</v>
      </c>
      <c r="S18" s="125" t="s">
        <v>130</v>
      </c>
      <c r="T18" s="125"/>
      <c r="U18" s="134" t="str">
        <f t="shared" ref="U18:U22" si="8">"["&amp;A19&amp;"]"</f>
        <v>[11]</v>
      </c>
      <c r="V18" s="123">
        <f>SUMIFS('2020 Regional ISO'!$W:$W,'2020 Regional ISO'!$C:$C,Results!V$1)</f>
        <v>1303.5560147816416</v>
      </c>
      <c r="W18" s="123">
        <f>SUMIFS('2020 Regional ISO'!$W:$W,'2020 Regional ISO'!$C:$C,Results!W$1)</f>
        <v>2990.6332759491938</v>
      </c>
    </row>
    <row r="19" spans="1:23" ht="15" customHeight="1" x14ac:dyDescent="0.25">
      <c r="A19" s="23">
        <f>MAX($A$3:$A18)+1</f>
        <v>11</v>
      </c>
      <c r="F19" s="175"/>
      <c r="J19" s="174"/>
      <c r="K19" s="174"/>
      <c r="L19" s="169" t="s">
        <v>131</v>
      </c>
      <c r="M19" s="136"/>
      <c r="N19" s="170" t="str">
        <f t="shared" si="7"/>
        <v>[12]</v>
      </c>
      <c r="O19" s="126">
        <f>SUMIFS('2030 Regional ISO'!$AB:$AB,'2030 Regional ISO'!$C:$C,Results!O$1)</f>
        <v>1231.0525798941085</v>
      </c>
      <c r="P19" s="126">
        <f>SUMIFS('2030 Regional ISO'!$AB:$AB,'2030 Regional ISO'!$C:$C,Results!P$1)</f>
        <v>2060.3653594930565</v>
      </c>
      <c r="S19" s="169" t="s">
        <v>131</v>
      </c>
      <c r="T19" s="136"/>
      <c r="U19" s="134" t="str">
        <f t="shared" si="8"/>
        <v>[12]</v>
      </c>
      <c r="V19" s="126">
        <f>SUMIFS('2020 Regional ISO'!$AB:$AB,'2020 Regional ISO'!$C:$C,Results!V$1)</f>
        <v>1303.5560147816434</v>
      </c>
      <c r="W19" s="126">
        <f>SUMIFS('2020 Regional ISO'!$AB:$AB,'2020 Regional ISO'!$C:$C,Results!W$1)</f>
        <v>1855.8176687763485</v>
      </c>
    </row>
    <row r="20" spans="1:23" ht="15" customHeight="1" x14ac:dyDescent="0.25">
      <c r="A20" s="23">
        <f>MAX($A$3:$A19)+1</f>
        <v>12</v>
      </c>
      <c r="B20" s="129" t="s">
        <v>96</v>
      </c>
      <c r="C20" s="174"/>
      <c r="D20" s="176" t="str">
        <f>"["&amp;A20&amp;"]"</f>
        <v>[12]</v>
      </c>
      <c r="E20" s="99">
        <f>(E18*E14)/1000</f>
        <v>6.4504613523248429</v>
      </c>
      <c r="F20" s="100"/>
      <c r="G20" s="99">
        <f>(G18*G14)/1000</f>
        <v>30.263999999999999</v>
      </c>
      <c r="H20" s="99"/>
      <c r="I20" s="99">
        <f>SUM(D20:G20)</f>
        <v>36.71446135232484</v>
      </c>
      <c r="J20" s="174"/>
      <c r="K20" s="174"/>
      <c r="L20" s="171" t="s">
        <v>57</v>
      </c>
      <c r="M20" s="131"/>
      <c r="N20" s="164" t="str">
        <f t="shared" si="7"/>
        <v>[13]</v>
      </c>
      <c r="O20" s="141">
        <f>SUMIFS('2030 Regional ISO'!$AC:$AC,'2030 Regional ISO'!$C:$C,Results!O1)</f>
        <v>0</v>
      </c>
      <c r="P20" s="141">
        <f>SUMIFS('2030 Regional ISO'!$AC:$AC,'2030 Regional ISO'!$C:$C,Results!P1)</f>
        <v>1324.4156963758983</v>
      </c>
      <c r="S20" s="171" t="s">
        <v>57</v>
      </c>
      <c r="T20" s="131"/>
      <c r="U20" s="164" t="str">
        <f t="shared" si="8"/>
        <v>[13]</v>
      </c>
      <c r="V20" s="141">
        <f>SUMIFS('2020 Regional ISO'!$AC:$AC,'2020 Regional ISO'!$C:$C,Results!V1)</f>
        <v>0</v>
      </c>
      <c r="W20" s="141">
        <f>SUMIFS('2020 Regional ISO'!$AC:$AC,'2020 Regional ISO'!$C:$C,Results!W1)</f>
        <v>1134.815607172847</v>
      </c>
    </row>
    <row r="21" spans="1:23" ht="15" customHeight="1" thickBot="1" x14ac:dyDescent="0.3">
      <c r="A21" s="23">
        <f>MAX($A$3:$A20)+1</f>
        <v>13</v>
      </c>
      <c r="B21" s="159" t="s">
        <v>97</v>
      </c>
      <c r="C21" s="159"/>
      <c r="D21" s="177" t="str">
        <f>"["&amp;A21&amp;"]"</f>
        <v>[13]</v>
      </c>
      <c r="E21" s="178">
        <f>(E16*E18)/1000</f>
        <v>0</v>
      </c>
      <c r="F21" s="178"/>
      <c r="G21" s="179">
        <f>(G16*G18)/1000</f>
        <v>15.271282694968738</v>
      </c>
      <c r="H21" s="180"/>
      <c r="I21" s="145">
        <f>SUM(D21:G21)</f>
        <v>15.271282694968738</v>
      </c>
      <c r="J21" s="174"/>
      <c r="K21" s="174"/>
      <c r="L21" s="169" t="str">
        <f>"Total Savings Requiring Transmission Upgrades ( ="&amp;N15&amp;" + "&amp;N20&amp;") (MW)"</f>
        <v>Total Savings Requiring Transmission Upgrades ( =[8] + [13]) (MW)</v>
      </c>
      <c r="M21" s="136"/>
      <c r="N21" s="170" t="str">
        <f t="shared" si="7"/>
        <v>[14]</v>
      </c>
      <c r="O21" s="126">
        <f>O15+O20</f>
        <v>145.10625702991243</v>
      </c>
      <c r="P21" s="126">
        <f>P15+P20</f>
        <v>1942.2292640593785</v>
      </c>
      <c r="S21" s="169" t="str">
        <f>"Total Savings Requiring Transmission Upgrades ( ="&amp;U15&amp;" + "&amp;U20&amp;") (MW)"</f>
        <v>Total Savings Requiring Transmission Upgrades ( =[8] + [13]) (MW)</v>
      </c>
      <c r="T21" s="136"/>
      <c r="U21" s="134" t="str">
        <f t="shared" si="8"/>
        <v>[14]</v>
      </c>
      <c r="V21" s="126">
        <f>V15+V20</f>
        <v>137.64265018472258</v>
      </c>
      <c r="W21" s="126">
        <f>W15+W20</f>
        <v>1701.6959857174049</v>
      </c>
    </row>
    <row r="22" spans="1:23" ht="15" customHeight="1" thickTop="1" x14ac:dyDescent="0.25">
      <c r="A22" s="23">
        <f>MAX($A$3:$A21)+1</f>
        <v>14</v>
      </c>
      <c r="D22" s="181"/>
      <c r="E22" s="25"/>
      <c r="F22" s="25"/>
      <c r="G22" s="25"/>
      <c r="H22" s="174"/>
      <c r="I22" s="174"/>
      <c r="J22" s="174"/>
      <c r="K22" s="174"/>
      <c r="L22" s="31" t="s">
        <v>95</v>
      </c>
      <c r="N22" s="170" t="str">
        <f t="shared" si="7"/>
        <v>[15]</v>
      </c>
      <c r="O22" s="144">
        <f>O21/O9</f>
        <v>2.5373641526106748E-3</v>
      </c>
      <c r="P22" s="144">
        <f>P21/P9</f>
        <v>2.2768749738690378E-2</v>
      </c>
      <c r="S22" s="31" t="s">
        <v>95</v>
      </c>
      <c r="U22" s="134" t="str">
        <f t="shared" si="8"/>
        <v>[15]</v>
      </c>
      <c r="V22" s="144">
        <f>V21/V9</f>
        <v>2.3060233040649667E-3</v>
      </c>
      <c r="W22" s="144">
        <f>W21/W9</f>
        <v>2.244122942037222E-2</v>
      </c>
    </row>
    <row r="23" spans="1:23" ht="15" customHeight="1" x14ac:dyDescent="0.25">
      <c r="A23" s="23">
        <f>MAX($A$3:$A22)+1</f>
        <v>15</v>
      </c>
      <c r="B23" s="182" t="s">
        <v>23</v>
      </c>
      <c r="D23" s="181"/>
      <c r="E23" s="25"/>
      <c r="F23" s="25"/>
      <c r="G23" s="25"/>
      <c r="H23" s="174"/>
      <c r="I23" s="174"/>
      <c r="J23" s="174"/>
      <c r="K23" s="174"/>
      <c r="L23" s="136" t="str">
        <f>"Total Savings w/Current Transmission (="&amp;N14&amp;" + "&amp;N19&amp;") (MW)"</f>
        <v>Total Savings w/Current Transmission (=[7] + [12]) (MW)</v>
      </c>
      <c r="M23" s="136"/>
      <c r="N23" s="170" t="str">
        <f>"["&amp;A25&amp;"]"</f>
        <v>[16]</v>
      </c>
      <c r="O23" s="126">
        <f>O14+O19</f>
        <v>1593.9158832293865</v>
      </c>
      <c r="P23" s="126">
        <f>P14+P19</f>
        <v>2664.5603636518472</v>
      </c>
      <c r="S23" s="136" t="str">
        <f>"Total Savings w/Current Transmission (="&amp;U14&amp;" + "&amp;U19&amp;") (MW)"</f>
        <v>Total Savings w/Current Transmission (=[7] + [12]) (MW)</v>
      </c>
      <c r="T23" s="136"/>
      <c r="U23" s="134" t="str">
        <f>"["&amp;A25&amp;"]"</f>
        <v>[16]</v>
      </c>
      <c r="V23" s="126">
        <f>V14+V19</f>
        <v>1656.622559015339</v>
      </c>
      <c r="W23" s="126">
        <f>W14+W19</f>
        <v>2388.3767903763278</v>
      </c>
    </row>
    <row r="24" spans="1:23" ht="15" customHeight="1" x14ac:dyDescent="0.25">
      <c r="A24" s="23"/>
      <c r="B24" s="125" t="str">
        <f t="shared" ref="B24:B31" si="9">D8</f>
        <v>[1]</v>
      </c>
      <c r="C24" s="125" t="str">
        <f>"Based on PacifiCorp 2014 IRP and CAISO published reserve margins."</f>
        <v>Based on PacifiCorp 2014 IRP and CAISO published reserve margins.</v>
      </c>
      <c r="D24" s="181"/>
      <c r="E24" s="25"/>
      <c r="F24" s="25"/>
      <c r="G24" s="25"/>
      <c r="H24" s="174"/>
      <c r="I24" s="174"/>
      <c r="J24" s="174"/>
      <c r="K24" s="174"/>
      <c r="L24" s="31" t="s">
        <v>95</v>
      </c>
      <c r="N24" s="170" t="str">
        <f>"["&amp;A27&amp;"]"</f>
        <v>[17]</v>
      </c>
      <c r="O24" s="144">
        <f>O23/O9</f>
        <v>2.78716101370413E-2</v>
      </c>
      <c r="P24" s="144">
        <f>P23/P9</f>
        <v>3.1236635759890368E-2</v>
      </c>
      <c r="S24" s="31" t="s">
        <v>95</v>
      </c>
      <c r="U24" s="134" t="str">
        <f>"["&amp;A27&amp;"]"</f>
        <v>[17]</v>
      </c>
      <c r="V24" s="144">
        <f>V23/V9</f>
        <v>2.775455298195886E-2</v>
      </c>
      <c r="W24" s="144">
        <f>W23/W9</f>
        <v>3.1496878376034598E-2</v>
      </c>
    </row>
    <row r="25" spans="1:23" ht="15" customHeight="1" x14ac:dyDescent="0.25">
      <c r="A25" s="23">
        <f>MAX($A$3:$A24)+1</f>
        <v>16</v>
      </c>
      <c r="B25" s="125" t="str">
        <f t="shared" si="9"/>
        <v>[2]</v>
      </c>
      <c r="C25" s="124" t="str">
        <f>"Forecast 2020 Non-Coincident Peak Loads. ISO from 2015 IEPR, equal to CEC 'Mid Baseline Case.' PacifiCorp from 2015 LAR Peak and Energy forecast, PACE + PACW coincident peak."</f>
        <v>Forecast 2020 Non-Coincident Peak Loads. ISO from 2015 IEPR, equal to CEC 'Mid Baseline Case.' PacifiCorp from 2015 LAR Peak and Energy forecast, PACE + PACW coincident peak.</v>
      </c>
      <c r="D25" s="181"/>
      <c r="E25" s="25"/>
      <c r="F25" s="25"/>
      <c r="G25" s="25"/>
      <c r="H25" s="174"/>
      <c r="I25" s="174"/>
      <c r="J25" s="174"/>
      <c r="K25" s="174"/>
      <c r="L25" s="30" t="s">
        <v>74</v>
      </c>
      <c r="N25" s="170" t="str">
        <f>"["&amp;A28&amp;"]"</f>
        <v>[18]</v>
      </c>
      <c r="O25" s="138">
        <v>75</v>
      </c>
      <c r="P25" s="138">
        <v>100</v>
      </c>
      <c r="S25" s="30" t="s">
        <v>74</v>
      </c>
      <c r="U25" s="134" t="str">
        <f>"["&amp;A28&amp;"]"</f>
        <v>[18]</v>
      </c>
      <c r="V25" s="138">
        <v>35</v>
      </c>
      <c r="W25" s="138">
        <v>35</v>
      </c>
    </row>
    <row r="26" spans="1:23" ht="15" customHeight="1" x14ac:dyDescent="0.25">
      <c r="A26" s="23"/>
      <c r="B26" s="125" t="str">
        <f t="shared" si="9"/>
        <v>[3]</v>
      </c>
      <c r="C26" s="124" t="str">
        <f>"Median of annual coincidence factors calculated based on 4CP of hourly load profiles from 2006 to 2014."</f>
        <v>Median of annual coincidence factors calculated based on 4CP of hourly load profiles from 2006 to 2014.</v>
      </c>
      <c r="D26" s="181"/>
      <c r="E26" s="25"/>
      <c r="F26" s="25"/>
      <c r="G26" s="25"/>
      <c r="H26" s="174"/>
      <c r="I26" s="174"/>
      <c r="J26" s="174"/>
      <c r="K26" s="174"/>
      <c r="N26" s="170"/>
      <c r="U26" s="170"/>
    </row>
    <row r="27" spans="1:23" ht="15" customHeight="1" x14ac:dyDescent="0.25">
      <c r="A27" s="23">
        <f>MAX($A$3:$A26)+1</f>
        <v>17</v>
      </c>
      <c r="B27" s="125" t="str">
        <f t="shared" si="9"/>
        <v>[4]</v>
      </c>
      <c r="C27" s="124" t="str">
        <f>D9&amp;" * "&amp;D10</f>
        <v>[2] * [3]</v>
      </c>
      <c r="D27" s="181"/>
      <c r="E27" s="25"/>
      <c r="F27" s="25"/>
      <c r="G27" s="25"/>
      <c r="H27" s="174"/>
      <c r="I27" s="174"/>
      <c r="J27" s="174"/>
      <c r="K27" s="174"/>
      <c r="L27" s="129" t="s">
        <v>79</v>
      </c>
      <c r="M27" s="129"/>
      <c r="N27" s="170" t="str">
        <f>"["&amp;A30&amp;"]"</f>
        <v>[19]</v>
      </c>
      <c r="O27" s="140">
        <f>(O23*O25)/1000</f>
        <v>119.54369124220399</v>
      </c>
      <c r="P27" s="140">
        <f>(P23*P25)/1000</f>
        <v>266.45603636518467</v>
      </c>
      <c r="S27" s="129" t="s">
        <v>79</v>
      </c>
      <c r="T27" s="129"/>
      <c r="U27" s="170" t="str">
        <f>"["&amp;A30&amp;"]"</f>
        <v>[19]</v>
      </c>
      <c r="V27" s="140">
        <f>(V23*V25)/1000</f>
        <v>57.981789565536864</v>
      </c>
      <c r="W27" s="140">
        <f>(W23*W25)/1000</f>
        <v>83.593187663171463</v>
      </c>
    </row>
    <row r="28" spans="1:23" ht="15" customHeight="1" x14ac:dyDescent="0.25">
      <c r="A28" s="23">
        <f>MAX($A$3:$A27)+1</f>
        <v>18</v>
      </c>
      <c r="B28" s="125" t="str">
        <f t="shared" si="9"/>
        <v>[5]</v>
      </c>
      <c r="C28" s="124" t="str">
        <f>D8&amp;" * ("&amp;D9&amp;" - "&amp;D11&amp;")"</f>
        <v>[1] * ([2] - [4])</v>
      </c>
      <c r="D28" s="181"/>
      <c r="E28" s="25"/>
      <c r="F28" s="25"/>
      <c r="G28" s="25"/>
      <c r="H28" s="174"/>
      <c r="I28" s="174"/>
      <c r="L28" s="31" t="s">
        <v>93</v>
      </c>
      <c r="N28" s="170" t="str">
        <f>"["&amp;A31&amp;"]"</f>
        <v>[20]</v>
      </c>
      <c r="O28" s="183">
        <f>(O21*O25)/1000</f>
        <v>10.882969277243431</v>
      </c>
      <c r="P28" s="183">
        <f>(P21*P25)/1000</f>
        <v>194.22292640593784</v>
      </c>
      <c r="S28" s="31" t="s">
        <v>93</v>
      </c>
      <c r="U28" s="170" t="str">
        <f>"["&amp;A31&amp;"]"</f>
        <v>[20]</v>
      </c>
      <c r="V28" s="183">
        <f>(V21*V25)/1000</f>
        <v>4.817492756465291</v>
      </c>
      <c r="W28" s="183">
        <f>(W21*W25)/1000</f>
        <v>59.559359500109174</v>
      </c>
    </row>
    <row r="29" spans="1:23" ht="15" customHeight="1" thickBot="1" x14ac:dyDescent="0.3">
      <c r="B29" s="125" t="str">
        <f t="shared" si="9"/>
        <v>[6]</v>
      </c>
      <c r="C29" s="124" t="str">
        <f>"Contracted import capability for the ISO and PacifiCorp."</f>
        <v>Contracted import capability for the ISO and PacifiCorp.</v>
      </c>
      <c r="D29" s="181"/>
      <c r="E29" s="25"/>
      <c r="F29" s="25"/>
      <c r="G29" s="25"/>
      <c r="H29" s="174"/>
      <c r="I29" s="174"/>
      <c r="L29" s="137"/>
      <c r="M29" s="137"/>
      <c r="N29" s="139"/>
      <c r="O29" s="137"/>
      <c r="P29" s="159"/>
      <c r="S29" s="137"/>
      <c r="T29" s="137"/>
      <c r="U29" s="139"/>
      <c r="V29" s="137"/>
      <c r="W29" s="159"/>
    </row>
    <row r="30" spans="1:23" ht="15" customHeight="1" thickTop="1" x14ac:dyDescent="0.25">
      <c r="A30" s="23">
        <f>MAX($A$3:$A29)+1</f>
        <v>19</v>
      </c>
      <c r="B30" s="125" t="str">
        <f t="shared" si="9"/>
        <v>[7]</v>
      </c>
      <c r="C30" s="124" t="str">
        <f>"Minimum of "&amp;D12&amp;" and "&amp;D13</f>
        <v>Minimum of [5] and [6]</v>
      </c>
      <c r="D30" s="184"/>
      <c r="E30" s="185"/>
      <c r="F30" s="185"/>
      <c r="G30" s="185"/>
      <c r="H30" s="185"/>
      <c r="I30" s="174"/>
      <c r="L30" s="132"/>
      <c r="N30" s="186"/>
      <c r="O30" s="187"/>
      <c r="P30" s="187"/>
      <c r="S30" s="132"/>
      <c r="U30" s="186"/>
      <c r="V30" s="187"/>
      <c r="W30" s="187"/>
    </row>
    <row r="31" spans="1:23" x14ac:dyDescent="0.25">
      <c r="A31" s="23">
        <f>MAX($A$3:$A30)+1</f>
        <v>20</v>
      </c>
      <c r="B31" s="125" t="str">
        <f t="shared" si="9"/>
        <v>[8]</v>
      </c>
      <c r="C31" s="189" t="str">
        <f>D14&amp;" / "&amp;D9</f>
        <v>[7] / [2]</v>
      </c>
      <c r="L31" s="188" t="s">
        <v>23</v>
      </c>
      <c r="N31" s="186"/>
      <c r="O31" s="167"/>
      <c r="P31" s="167"/>
      <c r="S31" s="188" t="s">
        <v>23</v>
      </c>
      <c r="U31" s="186"/>
      <c r="V31" s="167"/>
      <c r="W31" s="167"/>
    </row>
    <row r="32" spans="1:23" x14ac:dyDescent="0.25">
      <c r="B32" s="125" t="str">
        <f>D16</f>
        <v>[9]</v>
      </c>
      <c r="C32" s="125" t="str">
        <f>D12&amp;" - "&amp;D14</f>
        <v>[5] - [7]</v>
      </c>
      <c r="L32" s="124" t="str">
        <f>N8</f>
        <v>[1]</v>
      </c>
      <c r="M32" s="174" t="s">
        <v>80</v>
      </c>
      <c r="O32" s="167"/>
      <c r="P32" s="167"/>
      <c r="S32" s="124" t="str">
        <f>U8</f>
        <v>[1]</v>
      </c>
      <c r="T32" s="174" t="s">
        <v>80</v>
      </c>
      <c r="V32" s="167"/>
      <c r="W32" s="167"/>
    </row>
    <row r="33" spans="1:20" x14ac:dyDescent="0.25">
      <c r="B33" s="125" t="str">
        <f>D17</f>
        <v>[10]</v>
      </c>
      <c r="C33" s="125" t="str">
        <f>D16&amp;" / "&amp;D9</f>
        <v>[9] / [2]</v>
      </c>
      <c r="L33" s="124" t="str">
        <f t="shared" ref="L33:L49" si="10">N9</f>
        <v>[2]</v>
      </c>
      <c r="M33" s="174" t="s">
        <v>162</v>
      </c>
      <c r="S33" s="124" t="str">
        <f t="shared" ref="S33:S49" si="11">U9</f>
        <v>[2]</v>
      </c>
      <c r="T33" s="174" t="s">
        <v>160</v>
      </c>
    </row>
    <row r="34" spans="1:20" x14ac:dyDescent="0.25">
      <c r="A34" s="31"/>
      <c r="B34" s="125" t="str">
        <f>D18</f>
        <v>[11]</v>
      </c>
      <c r="C34" s="125" t="s">
        <v>76</v>
      </c>
      <c r="L34" s="124" t="str">
        <f t="shared" si="10"/>
        <v>[3]</v>
      </c>
      <c r="M34" s="174" t="str">
        <f>N11&amp;" / "&amp;N9</f>
        <v>[4] / [2]</v>
      </c>
      <c r="S34" s="124" t="str">
        <f t="shared" si="11"/>
        <v>[3]</v>
      </c>
      <c r="T34" s="174" t="str">
        <f>U11&amp;" / "&amp;U9</f>
        <v>[4] / [2]</v>
      </c>
    </row>
    <row r="35" spans="1:20" x14ac:dyDescent="0.25">
      <c r="A35" s="31"/>
      <c r="B35" s="125" t="str">
        <f>D20</f>
        <v>[12]</v>
      </c>
      <c r="C35" s="125" t="str">
        <f>D18&amp;" * "&amp;D14</f>
        <v>[11] * [7]</v>
      </c>
      <c r="L35" s="124" t="str">
        <f t="shared" si="10"/>
        <v>[4]</v>
      </c>
      <c r="M35" s="174" t="s">
        <v>163</v>
      </c>
      <c r="S35" s="124" t="str">
        <f t="shared" si="11"/>
        <v>[4]</v>
      </c>
      <c r="T35" s="174" t="s">
        <v>161</v>
      </c>
    </row>
    <row r="36" spans="1:20" x14ac:dyDescent="0.25">
      <c r="A36" s="31"/>
      <c r="L36" s="124" t="str">
        <f t="shared" si="10"/>
        <v>[5]</v>
      </c>
      <c r="M36" s="174" t="str">
        <f>"Sum of potential savings from sharing within subregions [Approximately "&amp;N8&amp;" * ("&amp;N11&amp;" - "&amp;N9&amp;")]"</f>
        <v>Sum of potential savings from sharing within subregions [Approximately [1] * ([4] - [2])]</v>
      </c>
      <c r="S36" s="124" t="str">
        <f t="shared" si="11"/>
        <v>[5]</v>
      </c>
      <c r="T36" s="174" t="str">
        <f>"Sum of potential savings from sharing within subregions [Approximately "&amp;U8&amp;" * ("&amp;U11&amp;" - "&amp;U9&amp;")]"</f>
        <v>Sum of potential savings from sharing within subregions [Approximately [1] * ([4] - [2])]</v>
      </c>
    </row>
    <row r="37" spans="1:20" x14ac:dyDescent="0.25">
      <c r="A37" s="31"/>
      <c r="B37" s="15"/>
      <c r="L37" s="124" t="str">
        <f t="shared" si="10"/>
        <v>[6]</v>
      </c>
      <c r="M37" s="174" t="s">
        <v>81</v>
      </c>
      <c r="S37" s="124" t="str">
        <f t="shared" si="11"/>
        <v>[6]</v>
      </c>
      <c r="T37" s="174" t="s">
        <v>81</v>
      </c>
    </row>
    <row r="38" spans="1:20" x14ac:dyDescent="0.25">
      <c r="A38" s="31"/>
      <c r="B38" s="15"/>
      <c r="L38" s="124" t="str">
        <f t="shared" si="10"/>
        <v>[7]</v>
      </c>
      <c r="M38" s="174" t="s">
        <v>82</v>
      </c>
      <c r="S38" s="124" t="str">
        <f t="shared" si="11"/>
        <v>[7]</v>
      </c>
      <c r="T38" s="174" t="s">
        <v>82</v>
      </c>
    </row>
    <row r="39" spans="1:20" x14ac:dyDescent="0.25">
      <c r="A39" s="31"/>
      <c r="B39" s="15"/>
      <c r="C39" s="174"/>
      <c r="L39" s="124" t="str">
        <f t="shared" si="10"/>
        <v>[8]</v>
      </c>
      <c r="M39" s="174" t="s">
        <v>83</v>
      </c>
      <c r="S39" s="124" t="str">
        <f t="shared" si="11"/>
        <v>[8]</v>
      </c>
      <c r="T39" s="174" t="s">
        <v>83</v>
      </c>
    </row>
    <row r="40" spans="1:20" x14ac:dyDescent="0.25">
      <c r="A40" s="31"/>
      <c r="L40" s="124" t="str">
        <f t="shared" si="10"/>
        <v>[9]</v>
      </c>
      <c r="M40" s="31" t="str">
        <f>N17&amp;" / "&amp;N11</f>
        <v>[10] / [4]</v>
      </c>
      <c r="S40" s="124" t="str">
        <f t="shared" si="11"/>
        <v>[9]</v>
      </c>
      <c r="T40" s="31" t="str">
        <f>U17&amp;" / "&amp;U11</f>
        <v>[10] / [4]</v>
      </c>
    </row>
    <row r="41" spans="1:20" x14ac:dyDescent="0.25">
      <c r="A41" s="31"/>
      <c r="L41" s="124" t="str">
        <f t="shared" si="10"/>
        <v>[10]</v>
      </c>
      <c r="M41" s="174" t="str">
        <f>N11&amp;" *"&amp;N16</f>
        <v>[4] *[9]</v>
      </c>
      <c r="S41" s="124" t="str">
        <f t="shared" si="11"/>
        <v>[10]</v>
      </c>
      <c r="T41" s="174" t="str">
        <f>U11&amp;" *"&amp;U16</f>
        <v>[4] *[9]</v>
      </c>
    </row>
    <row r="42" spans="1:20" x14ac:dyDescent="0.25">
      <c r="A42" s="31"/>
      <c r="C42" s="148"/>
      <c r="D42" s="148"/>
      <c r="E42" s="148"/>
      <c r="F42" s="148"/>
      <c r="G42" s="148"/>
      <c r="H42" s="148"/>
      <c r="I42" s="148"/>
      <c r="L42" s="124" t="str">
        <f t="shared" si="10"/>
        <v>[11]</v>
      </c>
      <c r="M42" s="174" t="str">
        <f>"Sum of potential savings from sharing across subregions [Approximately "&amp;N8&amp;" * ("&amp;N11&amp;" - "&amp;N17&amp;")]. California savings California subregion savings."</f>
        <v>Sum of potential savings from sharing across subregions [Approximately [1] * ([4] - [10])]. California savings California subregion savings.</v>
      </c>
      <c r="S42" s="124" t="str">
        <f t="shared" si="11"/>
        <v>[11]</v>
      </c>
      <c r="T42" s="174" t="str">
        <f>"Sum of potential savings from sharing across subregions [Approximately "&amp;U8&amp;" * ("&amp;U11&amp;" - "&amp;U17&amp;")]. California savings California subregion savings."</f>
        <v>Sum of potential savings from sharing across subregions [Approximately [1] * ([4] - [10])]. California savings California subregion savings.</v>
      </c>
    </row>
    <row r="43" spans="1:20" x14ac:dyDescent="0.25">
      <c r="A43" s="31"/>
      <c r="L43" s="124" t="str">
        <f t="shared" si="10"/>
        <v>[12]</v>
      </c>
      <c r="M43" s="174" t="s">
        <v>84</v>
      </c>
      <c r="S43" s="124" t="str">
        <f t="shared" si="11"/>
        <v>[12]</v>
      </c>
      <c r="T43" s="174" t="s">
        <v>84</v>
      </c>
    </row>
    <row r="44" spans="1:20" x14ac:dyDescent="0.25">
      <c r="A44" s="31"/>
      <c r="L44" s="124" t="str">
        <f t="shared" si="10"/>
        <v>[13]</v>
      </c>
      <c r="M44" s="174" t="s">
        <v>85</v>
      </c>
      <c r="S44" s="124" t="str">
        <f t="shared" si="11"/>
        <v>[13]</v>
      </c>
      <c r="T44" s="174" t="s">
        <v>85</v>
      </c>
    </row>
    <row r="45" spans="1:20" x14ac:dyDescent="0.25">
      <c r="A45" s="31"/>
      <c r="L45" s="124" t="str">
        <f t="shared" si="10"/>
        <v>[14]</v>
      </c>
      <c r="M45" s="174" t="str">
        <f>N15&amp;" + "&amp;N20</f>
        <v>[8] + [13]</v>
      </c>
      <c r="S45" s="124" t="str">
        <f t="shared" si="11"/>
        <v>[14]</v>
      </c>
      <c r="T45" s="174" t="str">
        <f>U15&amp;" + "&amp;U20</f>
        <v>[8] + [13]</v>
      </c>
    </row>
    <row r="46" spans="1:20" x14ac:dyDescent="0.25">
      <c r="A46" s="31"/>
      <c r="L46" s="124" t="str">
        <f t="shared" si="10"/>
        <v>[15]</v>
      </c>
      <c r="M46" s="31" t="str">
        <f>N21&amp;" / "&amp;N9</f>
        <v>[14] / [2]</v>
      </c>
      <c r="S46" s="124" t="str">
        <f t="shared" si="11"/>
        <v>[15]</v>
      </c>
      <c r="T46" s="31" t="str">
        <f>U21&amp;" / "&amp;U9</f>
        <v>[14] / [2]</v>
      </c>
    </row>
    <row r="47" spans="1:20" x14ac:dyDescent="0.25">
      <c r="A47" s="31"/>
      <c r="L47" s="124" t="str">
        <f t="shared" si="10"/>
        <v>[16]</v>
      </c>
      <c r="M47" s="31" t="str">
        <f>N14&amp;" + "&amp;N19</f>
        <v>[7] + [12]</v>
      </c>
      <c r="S47" s="124" t="str">
        <f t="shared" si="11"/>
        <v>[16]</v>
      </c>
      <c r="T47" s="31" t="str">
        <f>U14&amp;" + "&amp;U19</f>
        <v>[7] + [12]</v>
      </c>
    </row>
    <row r="48" spans="1:20" x14ac:dyDescent="0.25">
      <c r="A48" s="31"/>
      <c r="L48" s="124" t="str">
        <f t="shared" si="10"/>
        <v>[17]</v>
      </c>
      <c r="M48" s="31" t="str">
        <f>N23&amp;" / "&amp;N9</f>
        <v>[16] / [2]</v>
      </c>
      <c r="S48" s="124" t="str">
        <f t="shared" si="11"/>
        <v>[17]</v>
      </c>
      <c r="T48" s="31" t="str">
        <f>U23&amp;" / "&amp;U9</f>
        <v>[16] / [2]</v>
      </c>
    </row>
    <row r="49" spans="1:20" x14ac:dyDescent="0.25">
      <c r="A49" s="31"/>
      <c r="L49" s="124" t="str">
        <f t="shared" si="10"/>
        <v>[18]</v>
      </c>
      <c r="M49" s="174" t="str">
        <f>"Assumed avoided cost of $"&amp;O25&amp;"/kW-yr in California and $"&amp;P25&amp;"/kW-yr in Rest of Region"</f>
        <v>Assumed avoided cost of $75/kW-yr in California and $100/kW-yr in Rest of Region</v>
      </c>
      <c r="S49" s="124" t="str">
        <f t="shared" si="11"/>
        <v>[18]</v>
      </c>
      <c r="T49" s="174" t="str">
        <f>"Assumed avoided cost of $"&amp;V25&amp;"/kW-yr in California and $"&amp;W25&amp;"/kW-yr in Rest of Region"</f>
        <v>Assumed avoided cost of $35/kW-yr in California and $35/kW-yr in Rest of Region</v>
      </c>
    </row>
    <row r="50" spans="1:20" x14ac:dyDescent="0.25">
      <c r="A50" s="31"/>
      <c r="L50" s="124" t="str">
        <f>N27</f>
        <v>[19]</v>
      </c>
      <c r="M50" s="174" t="str">
        <f>N23&amp;" * "&amp;N25</f>
        <v>[16] * [18]</v>
      </c>
      <c r="S50" s="124" t="str">
        <f>U27</f>
        <v>[19]</v>
      </c>
      <c r="T50" s="174" t="str">
        <f>U23&amp;" * "&amp;U25</f>
        <v>[16] * [18]</v>
      </c>
    </row>
    <row r="51" spans="1:20" x14ac:dyDescent="0.25">
      <c r="A51" s="31"/>
      <c r="L51" s="124" t="str">
        <f>N28</f>
        <v>[20]</v>
      </c>
      <c r="M51" s="31" t="str">
        <f>N21&amp;" * "&amp;N25</f>
        <v>[14] * [18]</v>
      </c>
      <c r="S51" s="124" t="str">
        <f>U28</f>
        <v>[20]</v>
      </c>
      <c r="T51" s="31" t="str">
        <f>U21&amp;" * "&amp;U25</f>
        <v>[14] * [18]</v>
      </c>
    </row>
    <row r="52" spans="1:20" x14ac:dyDescent="0.25">
      <c r="A52" s="31"/>
    </row>
    <row r="53" spans="1:20" x14ac:dyDescent="0.25">
      <c r="A53" s="31"/>
    </row>
    <row r="54" spans="1:20" x14ac:dyDescent="0.25">
      <c r="A54" s="31"/>
    </row>
    <row r="55" spans="1:20" x14ac:dyDescent="0.25">
      <c r="A55" s="31"/>
    </row>
    <row r="56" spans="1:20" x14ac:dyDescent="0.25">
      <c r="A56" s="31"/>
    </row>
    <row r="57" spans="1:20" x14ac:dyDescent="0.25">
      <c r="A57" s="31"/>
    </row>
    <row r="58" spans="1:20" x14ac:dyDescent="0.25">
      <c r="A58" s="31"/>
    </row>
    <row r="59" spans="1:20" x14ac:dyDescent="0.25">
      <c r="A59" s="31"/>
    </row>
    <row r="60" spans="1:20" x14ac:dyDescent="0.25">
      <c r="A60" s="31"/>
    </row>
    <row r="61" spans="1:20" x14ac:dyDescent="0.25">
      <c r="A61" s="31"/>
    </row>
    <row r="62" spans="1:20" x14ac:dyDescent="0.25">
      <c r="A62" s="31"/>
    </row>
    <row r="63" spans="1:20" x14ac:dyDescent="0.25">
      <c r="A63" s="31"/>
    </row>
    <row r="64" spans="1:20" x14ac:dyDescent="0.25">
      <c r="A64" s="31"/>
    </row>
    <row r="65" spans="1:1" x14ac:dyDescent="0.25">
      <c r="A65" s="31"/>
    </row>
    <row r="66" spans="1:1" x14ac:dyDescent="0.25">
      <c r="A66" s="31"/>
    </row>
    <row r="67" spans="1:1" x14ac:dyDescent="0.25">
      <c r="A67" s="31"/>
    </row>
  </sheetData>
  <printOptions horizontalCentered="1" verticalCentered="1"/>
  <pageMargins left="0.7" right="0.7" top="0.75" bottom="0.75" header="0.3" footer="0.3"/>
  <pageSetup scale="69" orientation="portrait" horizontalDpi="1200" verticalDpi="1200" r:id="rId1"/>
  <headerFooter scaleWithDoc="0">
    <oddFooter>&amp;L&amp;F [&amp;A]&amp;RPage &amp;P of &amp;N</oddFooter>
  </headerFooter>
  <ignoredErrors>
    <ignoredError sqref="G16 E16 O15:P15 P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37"/>
  <sheetViews>
    <sheetView topLeftCell="B2" zoomScale="80" zoomScaleNormal="80" workbookViewId="0">
      <selection activeCell="D2" sqref="D2"/>
    </sheetView>
  </sheetViews>
  <sheetFormatPr defaultRowHeight="15.75" outlineLevelRow="1" outlineLevelCol="1" x14ac:dyDescent="0.25"/>
  <cols>
    <col min="1" max="1" width="38.42578125" style="6" hidden="1" customWidth="1" outlineLevel="1"/>
    <col min="2" max="2" width="4.28515625" style="4" customWidth="1" collapsed="1"/>
    <col min="3" max="3" width="39.140625" style="18" customWidth="1"/>
    <col min="4" max="4" width="12.140625" style="14" bestFit="1" customWidth="1"/>
    <col min="5" max="5" width="11" style="38" customWidth="1"/>
    <col min="6" max="6" width="13.85546875" style="20" customWidth="1"/>
    <col min="7" max="15" width="9" style="38" hidden="1" customWidth="1" outlineLevel="1"/>
    <col min="16" max="16" width="12.140625" style="38" hidden="1" customWidth="1" outlineLevel="1"/>
    <col min="17" max="17" width="11.42578125" style="38" hidden="1" customWidth="1" outlineLevel="1"/>
    <col min="18" max="18" width="14.7109375" style="38" customWidth="1" collapsed="1"/>
    <col min="19" max="19" width="15.7109375" style="26" customWidth="1"/>
    <col min="20" max="22" width="18.5703125" style="20" customWidth="1"/>
    <col min="23" max="23" width="20.7109375" style="20" customWidth="1"/>
    <col min="24" max="24" width="9.140625" style="4"/>
    <col min="25" max="31" width="15.7109375" style="3" customWidth="1"/>
    <col min="32" max="16384" width="9.140625" style="4"/>
  </cols>
  <sheetData>
    <row r="1" spans="1:31" s="59" customFormat="1" hidden="1" outlineLevel="1" x14ac:dyDescent="0.25">
      <c r="D1" s="128"/>
      <c r="E1" s="63">
        <v>1</v>
      </c>
      <c r="F1" s="62">
        <v>2</v>
      </c>
      <c r="G1" s="60"/>
      <c r="H1" s="60"/>
      <c r="I1" s="60"/>
      <c r="J1" s="60"/>
      <c r="K1" s="60"/>
      <c r="L1" s="60"/>
      <c r="M1" s="60"/>
      <c r="N1" s="60"/>
      <c r="O1" s="60"/>
      <c r="P1" s="60"/>
      <c r="Q1" s="60"/>
      <c r="R1" s="62">
        <v>3</v>
      </c>
      <c r="S1" s="62">
        <v>4</v>
      </c>
      <c r="T1" s="62">
        <v>5</v>
      </c>
      <c r="U1" s="62">
        <v>6</v>
      </c>
      <c r="V1" s="62">
        <v>7</v>
      </c>
      <c r="W1" s="62">
        <v>8</v>
      </c>
      <c r="X1" s="62"/>
      <c r="Y1" s="101"/>
      <c r="Z1" s="101"/>
      <c r="AA1" s="101"/>
      <c r="AB1" s="101"/>
      <c r="AC1" s="101"/>
      <c r="AD1" s="101"/>
      <c r="AE1" s="101"/>
    </row>
    <row r="2" spans="1:31" collapsed="1" x14ac:dyDescent="0.25">
      <c r="E2" s="42"/>
      <c r="F2" s="19"/>
      <c r="G2" s="42"/>
      <c r="H2" s="42"/>
      <c r="I2" s="42"/>
      <c r="J2" s="42"/>
      <c r="K2" s="42"/>
      <c r="L2" s="42"/>
      <c r="M2" s="42"/>
      <c r="N2" s="42"/>
      <c r="O2" s="42"/>
      <c r="P2" s="42"/>
      <c r="Q2" s="42"/>
      <c r="R2" s="42"/>
      <c r="S2" s="28"/>
      <c r="T2" s="19"/>
      <c r="U2" s="19"/>
      <c r="V2" s="19"/>
      <c r="W2" s="19"/>
    </row>
    <row r="3" spans="1:31" ht="21" x14ac:dyDescent="0.35">
      <c r="B3" s="147" t="s">
        <v>166</v>
      </c>
      <c r="C3" s="91"/>
      <c r="D3" s="152"/>
      <c r="E3" s="92"/>
      <c r="F3" s="93"/>
      <c r="G3" s="92"/>
      <c r="H3" s="92"/>
      <c r="I3" s="92"/>
      <c r="J3" s="92"/>
      <c r="K3" s="92"/>
      <c r="L3" s="92"/>
      <c r="M3" s="92"/>
      <c r="N3" s="92"/>
      <c r="O3" s="92"/>
      <c r="P3" s="92"/>
      <c r="Q3" s="92"/>
      <c r="R3" s="92"/>
      <c r="S3" s="94"/>
      <c r="T3" s="95"/>
      <c r="U3" s="94"/>
      <c r="V3" s="94"/>
      <c r="W3" s="94"/>
      <c r="X3" s="86"/>
    </row>
    <row r="4" spans="1:31" ht="6" customHeight="1" thickBot="1" x14ac:dyDescent="0.3">
      <c r="B4" s="5"/>
      <c r="C4" s="5"/>
      <c r="D4" s="153"/>
      <c r="E4" s="47"/>
      <c r="F4" s="22"/>
      <c r="G4" s="47"/>
      <c r="H4" s="47"/>
      <c r="I4" s="47"/>
      <c r="J4" s="47"/>
      <c r="K4" s="47"/>
      <c r="L4" s="47"/>
      <c r="M4" s="47"/>
      <c r="N4" s="47"/>
      <c r="O4" s="47"/>
      <c r="P4" s="47"/>
      <c r="Q4" s="47"/>
      <c r="R4" s="47"/>
      <c r="S4" s="57"/>
      <c r="T4" s="22"/>
      <c r="U4" s="22"/>
      <c r="V4" s="22"/>
      <c r="W4" s="22"/>
    </row>
    <row r="5" spans="1:31" ht="6" customHeight="1" thickTop="1" x14ac:dyDescent="0.25">
      <c r="E5" s="42"/>
      <c r="F5" s="19"/>
      <c r="G5" s="42"/>
      <c r="H5" s="42"/>
      <c r="I5" s="42"/>
      <c r="J5" s="42"/>
      <c r="K5" s="42"/>
      <c r="L5" s="42"/>
      <c r="M5" s="42"/>
      <c r="N5" s="42"/>
      <c r="O5" s="42"/>
      <c r="P5" s="42"/>
      <c r="Q5" s="42"/>
      <c r="R5" s="42"/>
      <c r="S5" s="28"/>
      <c r="T5" s="19"/>
      <c r="U5" s="19"/>
      <c r="V5" s="19"/>
      <c r="W5" s="19"/>
    </row>
    <row r="6" spans="1:31" s="32" customFormat="1" ht="63.75" customHeight="1" x14ac:dyDescent="0.25">
      <c r="A6" s="36"/>
      <c r="B6" s="83" t="s">
        <v>30</v>
      </c>
      <c r="C6" s="83"/>
      <c r="D6" s="206" t="s">
        <v>104</v>
      </c>
      <c r="E6" s="77" t="s">
        <v>101</v>
      </c>
      <c r="F6" s="78" t="s">
        <v>48</v>
      </c>
      <c r="G6" s="77" t="s">
        <v>38</v>
      </c>
      <c r="H6" s="77" t="s">
        <v>39</v>
      </c>
      <c r="I6" s="77" t="s">
        <v>40</v>
      </c>
      <c r="J6" s="77" t="s">
        <v>41</v>
      </c>
      <c r="K6" s="77" t="s">
        <v>42</v>
      </c>
      <c r="L6" s="77" t="s">
        <v>35</v>
      </c>
      <c r="M6" s="77" t="s">
        <v>36</v>
      </c>
      <c r="N6" s="77" t="s">
        <v>37</v>
      </c>
      <c r="O6" s="77" t="s">
        <v>43</v>
      </c>
      <c r="P6" s="77" t="s">
        <v>44</v>
      </c>
      <c r="Q6" s="77" t="s">
        <v>45</v>
      </c>
      <c r="R6" s="78" t="s">
        <v>132</v>
      </c>
      <c r="S6" s="79" t="s">
        <v>24</v>
      </c>
      <c r="T6" s="197" t="s">
        <v>62</v>
      </c>
      <c r="U6" s="78" t="s">
        <v>50</v>
      </c>
      <c r="V6" s="86" t="s">
        <v>64</v>
      </c>
      <c r="W6" s="86" t="s">
        <v>65</v>
      </c>
      <c r="Y6" s="102"/>
      <c r="Z6" s="103"/>
      <c r="AA6" s="103"/>
      <c r="AB6" s="104"/>
      <c r="AC6" s="103"/>
      <c r="AD6" s="103"/>
      <c r="AE6" s="105"/>
    </row>
    <row r="7" spans="1:31" x14ac:dyDescent="0.25">
      <c r="B7" s="119"/>
      <c r="C7" s="119"/>
      <c r="D7" s="10"/>
      <c r="E7" s="45" t="s">
        <v>29</v>
      </c>
      <c r="F7" s="46" t="s">
        <v>22</v>
      </c>
      <c r="G7" s="45" t="s">
        <v>29</v>
      </c>
      <c r="H7" s="45" t="s">
        <v>29</v>
      </c>
      <c r="I7" s="45" t="s">
        <v>29</v>
      </c>
      <c r="J7" s="45" t="s">
        <v>29</v>
      </c>
      <c r="K7" s="45" t="s">
        <v>29</v>
      </c>
      <c r="L7" s="45" t="s">
        <v>29</v>
      </c>
      <c r="M7" s="45" t="s">
        <v>29</v>
      </c>
      <c r="N7" s="45" t="s">
        <v>29</v>
      </c>
      <c r="O7" s="45" t="s">
        <v>29</v>
      </c>
      <c r="P7" s="45" t="s">
        <v>29</v>
      </c>
      <c r="Q7" s="45" t="s">
        <v>29</v>
      </c>
      <c r="R7" s="45" t="s">
        <v>29</v>
      </c>
      <c r="S7" s="46" t="s">
        <v>22</v>
      </c>
      <c r="T7" s="46" t="s">
        <v>22</v>
      </c>
      <c r="U7" s="46" t="s">
        <v>22</v>
      </c>
      <c r="V7" s="46" t="s">
        <v>22</v>
      </c>
      <c r="W7" s="46" t="s">
        <v>22</v>
      </c>
      <c r="Y7" s="106"/>
      <c r="Z7" s="106"/>
      <c r="AA7" s="106"/>
      <c r="AB7" s="106"/>
      <c r="AC7" s="106"/>
      <c r="AD7" s="106"/>
      <c r="AE7" s="107"/>
    </row>
    <row r="8" spans="1:31" x14ac:dyDescent="0.25">
      <c r="B8" s="119"/>
      <c r="C8" s="119"/>
      <c r="D8" s="10"/>
      <c r="E8" s="45" t="s">
        <v>133</v>
      </c>
      <c r="F8" s="46" t="s">
        <v>134</v>
      </c>
      <c r="G8" s="45"/>
      <c r="H8" s="45"/>
      <c r="I8" s="45"/>
      <c r="J8" s="45"/>
      <c r="K8" s="45"/>
      <c r="L8" s="45"/>
      <c r="M8" s="45"/>
      <c r="N8" s="45"/>
      <c r="O8" s="45"/>
      <c r="P8" s="45"/>
      <c r="Q8" s="45"/>
      <c r="R8" s="45" t="s">
        <v>135</v>
      </c>
      <c r="S8" s="45" t="s">
        <v>136</v>
      </c>
      <c r="T8" s="46" t="s">
        <v>137</v>
      </c>
      <c r="U8" s="46" t="s">
        <v>138</v>
      </c>
      <c r="V8" s="46" t="s">
        <v>139</v>
      </c>
      <c r="W8" s="46" t="s">
        <v>140</v>
      </c>
      <c r="Y8" s="108"/>
      <c r="Z8" s="109"/>
      <c r="AA8" s="109"/>
      <c r="AB8" s="109"/>
      <c r="AC8" s="109"/>
      <c r="AD8" s="109"/>
      <c r="AE8" s="109"/>
    </row>
    <row r="9" spans="1:31" ht="6" customHeight="1" x14ac:dyDescent="0.25">
      <c r="B9" s="120"/>
      <c r="C9" s="120"/>
      <c r="D9" s="207"/>
      <c r="E9" s="69"/>
      <c r="F9" s="68"/>
      <c r="G9" s="69"/>
      <c r="H9" s="69"/>
      <c r="I9" s="69"/>
      <c r="J9" s="69"/>
      <c r="K9" s="69"/>
      <c r="L9" s="69"/>
      <c r="M9" s="69"/>
      <c r="N9" s="69"/>
      <c r="O9" s="69"/>
      <c r="P9" s="69"/>
      <c r="Q9" s="69"/>
      <c r="R9" s="69"/>
      <c r="S9" s="27"/>
      <c r="T9" s="68"/>
      <c r="U9" s="68"/>
      <c r="V9" s="68"/>
      <c r="W9" s="68"/>
      <c r="Y9" s="90"/>
      <c r="Z9" s="110"/>
      <c r="AA9" s="110"/>
      <c r="AB9" s="110"/>
      <c r="AC9" s="110"/>
      <c r="AD9" s="110"/>
    </row>
    <row r="10" spans="1:31" ht="6" customHeight="1" x14ac:dyDescent="0.25">
      <c r="B10" s="119"/>
      <c r="C10" s="119"/>
      <c r="D10" s="10"/>
      <c r="E10" s="42"/>
      <c r="F10" s="28"/>
      <c r="G10" s="42"/>
      <c r="H10" s="42"/>
      <c r="I10" s="42"/>
      <c r="J10" s="42"/>
      <c r="K10" s="42"/>
      <c r="L10" s="42"/>
      <c r="M10" s="42"/>
      <c r="N10" s="42"/>
      <c r="O10" s="42"/>
      <c r="P10" s="42"/>
      <c r="Q10" s="42"/>
      <c r="R10" s="42"/>
      <c r="S10" s="28"/>
      <c r="T10" s="19"/>
      <c r="U10" s="19"/>
      <c r="V10" s="19"/>
      <c r="W10" s="19"/>
      <c r="Y10" s="90"/>
      <c r="Z10" s="110"/>
      <c r="AA10" s="110"/>
      <c r="AB10" s="110"/>
      <c r="AC10" s="110"/>
      <c r="AD10" s="110"/>
    </row>
    <row r="11" spans="1:31" x14ac:dyDescent="0.25">
      <c r="A11" s="6" t="s">
        <v>25</v>
      </c>
      <c r="B11" s="119" t="s">
        <v>18</v>
      </c>
      <c r="C11" s="119"/>
      <c r="D11" s="10" t="s">
        <v>33</v>
      </c>
      <c r="E11" s="24">
        <v>1.1499999999999999</v>
      </c>
      <c r="F11" s="29">
        <v>47009.573416528947</v>
      </c>
      <c r="G11" s="24">
        <v>1</v>
      </c>
      <c r="H11" s="24">
        <v>0.99999999999999989</v>
      </c>
      <c r="I11" s="24">
        <v>0.9962493911349245</v>
      </c>
      <c r="J11" s="24">
        <v>1</v>
      </c>
      <c r="K11" s="24">
        <v>0.99659090909090908</v>
      </c>
      <c r="L11" s="24">
        <v>0.99522650431954018</v>
      </c>
      <c r="M11" s="24">
        <v>1</v>
      </c>
      <c r="N11" s="24">
        <v>0.996514667441185</v>
      </c>
      <c r="O11" s="24">
        <v>0.99192481177603464</v>
      </c>
      <c r="P11" s="24">
        <v>0.99659090909090908</v>
      </c>
      <c r="Q11" s="24">
        <v>0.99738958708473269</v>
      </c>
      <c r="R11" s="24">
        <v>0.99659090909090908</v>
      </c>
      <c r="S11" s="29">
        <v>46849.313507154417</v>
      </c>
      <c r="T11" s="208">
        <v>184.29889578070978</v>
      </c>
      <c r="U11" s="29">
        <v>982</v>
      </c>
      <c r="V11" s="29">
        <v>184.29889578070978</v>
      </c>
      <c r="W11" s="29">
        <v>0</v>
      </c>
      <c r="Y11" s="17"/>
      <c r="Z11" s="16"/>
      <c r="AA11" s="111"/>
      <c r="AB11" s="16"/>
      <c r="AC11" s="16"/>
      <c r="AD11" s="16"/>
      <c r="AE11" s="112"/>
    </row>
    <row r="12" spans="1:31" x14ac:dyDescent="0.25">
      <c r="A12" s="6" t="s">
        <v>28</v>
      </c>
      <c r="B12" s="119" t="s">
        <v>66</v>
      </c>
      <c r="C12" s="119"/>
      <c r="D12" s="10" t="s">
        <v>32</v>
      </c>
      <c r="E12" s="24">
        <v>1.1299999999999999</v>
      </c>
      <c r="F12" s="29">
        <v>13234</v>
      </c>
      <c r="G12" s="24">
        <v>0.98900145620354274</v>
      </c>
      <c r="H12" s="24">
        <v>0.91883208677101802</v>
      </c>
      <c r="I12" s="24">
        <v>0.90805624357293224</v>
      </c>
      <c r="J12" s="24">
        <v>0.8815772683595553</v>
      </c>
      <c r="K12" s="24">
        <v>0.95906232065775454</v>
      </c>
      <c r="L12" s="24">
        <v>0.92192466500519277</v>
      </c>
      <c r="M12" s="24">
        <v>0.95641273771136925</v>
      </c>
      <c r="N12" s="24">
        <v>0.97506381439384426</v>
      </c>
      <c r="O12" s="24">
        <v>0.87773043310612775</v>
      </c>
      <c r="P12" s="24">
        <v>0.92192466500519277</v>
      </c>
      <c r="Q12" s="24">
        <v>0.93196233619792634</v>
      </c>
      <c r="R12" s="24">
        <v>0.92192466500519277</v>
      </c>
      <c r="S12" s="29">
        <v>12200.751016678721</v>
      </c>
      <c r="T12" s="208">
        <v>1167.5713511530446</v>
      </c>
      <c r="U12" s="29">
        <v>776</v>
      </c>
      <c r="V12" s="29">
        <v>776</v>
      </c>
      <c r="W12" s="29">
        <v>391.57135115304459</v>
      </c>
      <c r="Y12" s="17"/>
      <c r="Z12" s="16"/>
      <c r="AA12" s="111"/>
      <c r="AB12" s="16"/>
      <c r="AC12" s="16"/>
      <c r="AD12" s="16"/>
      <c r="AE12" s="112"/>
    </row>
    <row r="13" spans="1:31" ht="6" customHeight="1" x14ac:dyDescent="0.25">
      <c r="B13" s="120"/>
      <c r="C13" s="120"/>
      <c r="D13" s="207"/>
      <c r="E13" s="70"/>
      <c r="F13" s="34"/>
      <c r="G13" s="71"/>
      <c r="H13" s="72"/>
      <c r="I13" s="71"/>
      <c r="J13" s="71"/>
      <c r="K13" s="72"/>
      <c r="L13" s="71"/>
      <c r="M13" s="71"/>
      <c r="N13" s="71"/>
      <c r="O13" s="72"/>
      <c r="P13" s="72"/>
      <c r="Q13" s="72"/>
      <c r="R13" s="70"/>
      <c r="S13" s="75"/>
      <c r="T13" s="65">
        <v>0</v>
      </c>
      <c r="U13" s="34"/>
      <c r="V13" s="34"/>
      <c r="W13" s="34"/>
      <c r="Y13" s="113"/>
      <c r="Z13" s="114"/>
      <c r="AA13" s="114"/>
      <c r="AB13" s="114"/>
      <c r="AC13" s="114"/>
      <c r="AD13" s="114"/>
    </row>
    <row r="14" spans="1:31" ht="6" customHeight="1" x14ac:dyDescent="0.25">
      <c r="B14" s="119"/>
      <c r="C14" s="119"/>
      <c r="D14" s="10"/>
      <c r="E14" s="33"/>
      <c r="F14" s="35"/>
      <c r="G14" s="73"/>
      <c r="H14" s="74"/>
      <c r="I14" s="73"/>
      <c r="J14" s="73"/>
      <c r="K14" s="74"/>
      <c r="L14" s="73"/>
      <c r="M14" s="73"/>
      <c r="N14" s="73"/>
      <c r="O14" s="74"/>
      <c r="P14" s="74"/>
      <c r="Q14" s="74"/>
      <c r="R14" s="33"/>
      <c r="S14" s="76"/>
      <c r="T14" s="35"/>
      <c r="U14" s="35"/>
      <c r="V14" s="35"/>
      <c r="W14" s="35"/>
      <c r="Y14" s="113"/>
      <c r="Z14" s="114"/>
      <c r="AA14" s="114"/>
      <c r="AB14" s="114"/>
      <c r="AC14" s="114"/>
      <c r="AD14" s="114"/>
    </row>
    <row r="15" spans="1:31" x14ac:dyDescent="0.25">
      <c r="B15" s="9" t="s">
        <v>47</v>
      </c>
      <c r="C15" s="9"/>
      <c r="D15" s="209"/>
      <c r="E15" s="24"/>
      <c r="F15" s="200">
        <v>60243.573416528947</v>
      </c>
      <c r="G15" s="43"/>
      <c r="H15" s="43"/>
      <c r="I15" s="43"/>
      <c r="J15" s="43"/>
      <c r="K15" s="43"/>
      <c r="L15" s="43"/>
      <c r="M15" s="43"/>
      <c r="N15" s="43"/>
      <c r="O15" s="43"/>
      <c r="P15" s="43"/>
      <c r="Q15" s="43"/>
      <c r="R15" s="43"/>
      <c r="S15" s="200">
        <v>59050.064523833134</v>
      </c>
      <c r="T15" s="200">
        <v>1351.8702469337543</v>
      </c>
      <c r="U15" s="200">
        <v>1758</v>
      </c>
      <c r="V15" s="200">
        <v>960.29889578070981</v>
      </c>
      <c r="W15" s="200">
        <v>391.57135115304459</v>
      </c>
      <c r="Y15" s="115"/>
      <c r="Z15" s="115"/>
      <c r="AA15" s="115"/>
      <c r="AB15" s="115"/>
      <c r="AC15" s="115"/>
      <c r="AD15" s="115"/>
      <c r="AE15" s="115"/>
    </row>
    <row r="16" spans="1:31" ht="6" customHeight="1" thickBot="1" x14ac:dyDescent="0.3">
      <c r="A16" s="80"/>
      <c r="B16" s="1"/>
      <c r="C16" s="1"/>
      <c r="D16" s="11"/>
      <c r="E16" s="47"/>
      <c r="F16" s="22"/>
      <c r="G16" s="47"/>
      <c r="H16" s="47"/>
      <c r="I16" s="47"/>
      <c r="J16" s="47"/>
      <c r="K16" s="47"/>
      <c r="L16" s="47"/>
      <c r="M16" s="47"/>
      <c r="N16" s="47"/>
      <c r="O16" s="47"/>
      <c r="P16" s="47"/>
      <c r="Q16" s="47"/>
      <c r="R16" s="47"/>
      <c r="S16" s="57"/>
      <c r="T16" s="22"/>
      <c r="U16" s="22"/>
      <c r="V16" s="22"/>
      <c r="W16" s="22"/>
    </row>
    <row r="17" spans="1:31" ht="6" customHeight="1" thickTop="1" x14ac:dyDescent="0.25">
      <c r="B17" s="119"/>
      <c r="C17" s="119"/>
      <c r="D17" s="10"/>
      <c r="E17" s="42"/>
      <c r="F17" s="19"/>
      <c r="G17" s="42"/>
      <c r="H17" s="42"/>
      <c r="I17" s="42"/>
      <c r="J17" s="42"/>
      <c r="K17" s="42"/>
      <c r="L17" s="42"/>
      <c r="M17" s="42"/>
      <c r="N17" s="42"/>
      <c r="O17" s="42"/>
      <c r="P17" s="42"/>
      <c r="Q17" s="42"/>
      <c r="R17" s="42"/>
      <c r="S17" s="28"/>
      <c r="T17" s="19"/>
      <c r="U17" s="19"/>
      <c r="V17" s="19"/>
      <c r="W17" s="19"/>
    </row>
    <row r="18" spans="1:31" x14ac:dyDescent="0.25">
      <c r="B18" s="119" t="s">
        <v>23</v>
      </c>
      <c r="C18" s="119"/>
      <c r="D18" s="10"/>
      <c r="E18" s="42"/>
      <c r="F18" s="19"/>
      <c r="G18" s="42"/>
      <c r="H18" s="42"/>
      <c r="I18" s="42"/>
      <c r="J18" s="42"/>
      <c r="K18" s="42"/>
      <c r="L18" s="42"/>
      <c r="M18" s="42"/>
      <c r="N18" s="42"/>
      <c r="O18" s="42"/>
      <c r="P18" s="42"/>
      <c r="Q18" s="42"/>
      <c r="R18" s="42"/>
      <c r="S18" s="28"/>
      <c r="T18" s="19"/>
      <c r="U18" s="19"/>
      <c r="V18" s="19"/>
      <c r="W18" s="19"/>
    </row>
    <row r="19" spans="1:31" x14ac:dyDescent="0.25">
      <c r="B19" s="210" t="s">
        <v>133</v>
      </c>
      <c r="C19" s="119" t="s">
        <v>52</v>
      </c>
      <c r="D19" s="10"/>
      <c r="E19" s="48"/>
      <c r="F19" s="19"/>
      <c r="G19" s="42"/>
      <c r="H19" s="42"/>
      <c r="I19" s="42"/>
      <c r="J19" s="42"/>
      <c r="K19" s="42"/>
      <c r="L19" s="42"/>
      <c r="M19" s="42"/>
      <c r="N19" s="42"/>
      <c r="O19" s="42"/>
      <c r="P19" s="42"/>
      <c r="Q19" s="42"/>
      <c r="R19" s="42"/>
      <c r="S19" s="28"/>
      <c r="T19" s="42"/>
      <c r="U19" s="19"/>
      <c r="V19" s="19"/>
      <c r="W19" s="19"/>
    </row>
    <row r="20" spans="1:31" x14ac:dyDescent="0.25">
      <c r="B20" s="210" t="s">
        <v>134</v>
      </c>
      <c r="C20" s="119" t="s">
        <v>55</v>
      </c>
      <c r="D20" s="10"/>
      <c r="E20" s="42"/>
      <c r="F20" s="19"/>
      <c r="G20" s="42"/>
      <c r="H20" s="42"/>
      <c r="I20" s="42"/>
      <c r="J20" s="42"/>
      <c r="K20" s="42"/>
      <c r="L20" s="42"/>
      <c r="M20" s="42"/>
      <c r="N20" s="42"/>
      <c r="O20" s="42"/>
      <c r="P20" s="42"/>
      <c r="Q20" s="42"/>
      <c r="R20" s="54"/>
      <c r="S20" s="28"/>
      <c r="T20" s="19"/>
      <c r="U20" s="19"/>
      <c r="V20" s="19"/>
      <c r="W20" s="19"/>
    </row>
    <row r="21" spans="1:31" s="14" customFormat="1" x14ac:dyDescent="0.25">
      <c r="A21" s="6"/>
      <c r="B21" s="211" t="s">
        <v>135</v>
      </c>
      <c r="C21" s="10" t="s">
        <v>141</v>
      </c>
      <c r="D21" s="10"/>
      <c r="E21" s="67"/>
      <c r="F21" s="28"/>
      <c r="G21" s="67"/>
      <c r="H21" s="67"/>
      <c r="I21" s="67"/>
      <c r="J21" s="67"/>
      <c r="K21" s="67"/>
      <c r="L21" s="67"/>
      <c r="M21" s="67"/>
      <c r="N21" s="67"/>
      <c r="O21" s="67"/>
      <c r="P21" s="67"/>
      <c r="Q21" s="67"/>
      <c r="R21" s="67"/>
      <c r="S21" s="28"/>
      <c r="T21" s="28"/>
      <c r="U21" s="28"/>
      <c r="V21" s="28"/>
      <c r="W21" s="28"/>
      <c r="Y21" s="116"/>
      <c r="Z21" s="116"/>
      <c r="AA21" s="116"/>
      <c r="AB21" s="116"/>
      <c r="AC21" s="116"/>
      <c r="AD21" s="116"/>
      <c r="AE21" s="116"/>
    </row>
    <row r="22" spans="1:31" s="14" customFormat="1" x14ac:dyDescent="0.25">
      <c r="A22" s="6"/>
      <c r="B22" s="211" t="s">
        <v>136</v>
      </c>
      <c r="C22" s="10" t="s">
        <v>142</v>
      </c>
      <c r="D22" s="10"/>
      <c r="E22" s="67"/>
      <c r="F22" s="28"/>
      <c r="G22" s="67"/>
      <c r="H22" s="67"/>
      <c r="I22" s="67"/>
      <c r="J22" s="67"/>
      <c r="K22" s="67"/>
      <c r="L22" s="67"/>
      <c r="M22" s="67"/>
      <c r="N22" s="67"/>
      <c r="O22" s="67"/>
      <c r="P22" s="67"/>
      <c r="Q22" s="67"/>
      <c r="R22" s="67"/>
      <c r="S22" s="28"/>
      <c r="T22" s="28"/>
      <c r="U22" s="28"/>
      <c r="V22" s="28"/>
      <c r="W22" s="28"/>
      <c r="Y22" s="116"/>
      <c r="Z22" s="116"/>
      <c r="AA22" s="116"/>
      <c r="AB22" s="116"/>
      <c r="AC22" s="116"/>
      <c r="AD22" s="116"/>
      <c r="AE22" s="116"/>
    </row>
    <row r="23" spans="1:31" s="14" customFormat="1" x14ac:dyDescent="0.25">
      <c r="A23" s="6"/>
      <c r="B23" s="211" t="s">
        <v>137</v>
      </c>
      <c r="C23" s="10" t="s">
        <v>143</v>
      </c>
      <c r="D23" s="10"/>
      <c r="E23" s="67"/>
      <c r="F23" s="28"/>
      <c r="G23" s="67"/>
      <c r="H23" s="67"/>
      <c r="I23" s="67"/>
      <c r="J23" s="67"/>
      <c r="K23" s="67"/>
      <c r="L23" s="67"/>
      <c r="M23" s="67"/>
      <c r="N23" s="67"/>
      <c r="O23" s="67"/>
      <c r="P23" s="67"/>
      <c r="Q23" s="67"/>
      <c r="R23" s="67"/>
      <c r="S23" s="28"/>
      <c r="T23" s="28"/>
      <c r="U23" s="28"/>
      <c r="V23" s="28"/>
      <c r="W23" s="28"/>
      <c r="Y23" s="116"/>
      <c r="Z23" s="116"/>
      <c r="AA23" s="116"/>
      <c r="AB23" s="116"/>
      <c r="AC23" s="116"/>
      <c r="AD23" s="116"/>
      <c r="AE23" s="116"/>
    </row>
    <row r="24" spans="1:31" x14ac:dyDescent="0.25">
      <c r="B24" s="211" t="s">
        <v>138</v>
      </c>
      <c r="C24" s="119" t="s">
        <v>53</v>
      </c>
      <c r="D24" s="10"/>
      <c r="E24" s="42"/>
      <c r="F24" s="19"/>
      <c r="G24" s="42"/>
      <c r="H24" s="42"/>
      <c r="I24" s="42"/>
      <c r="J24" s="42"/>
      <c r="K24" s="42"/>
      <c r="L24" s="42"/>
      <c r="M24" s="42"/>
      <c r="N24" s="42"/>
      <c r="O24" s="42"/>
      <c r="P24" s="42"/>
      <c r="Q24" s="42"/>
      <c r="R24" s="42"/>
      <c r="S24" s="28"/>
      <c r="T24" s="19"/>
      <c r="U24" s="19"/>
      <c r="V24" s="19"/>
      <c r="W24" s="19"/>
    </row>
    <row r="25" spans="1:31" x14ac:dyDescent="0.25">
      <c r="B25" s="211" t="s">
        <v>139</v>
      </c>
      <c r="C25" s="119" t="s">
        <v>144</v>
      </c>
      <c r="D25" s="10"/>
      <c r="E25" s="42"/>
      <c r="F25" s="19"/>
      <c r="G25" s="42"/>
      <c r="H25" s="42"/>
      <c r="I25" s="42"/>
      <c r="J25" s="42"/>
      <c r="K25" s="42"/>
      <c r="L25" s="42"/>
      <c r="M25" s="42"/>
      <c r="N25" s="42"/>
      <c r="O25" s="42"/>
      <c r="P25" s="42"/>
      <c r="Q25" s="42"/>
      <c r="R25" s="42"/>
      <c r="S25" s="28"/>
      <c r="T25" s="19"/>
      <c r="U25" s="19"/>
      <c r="V25" s="19"/>
      <c r="W25" s="19"/>
    </row>
    <row r="26" spans="1:31" x14ac:dyDescent="0.25">
      <c r="B26" s="211" t="s">
        <v>140</v>
      </c>
      <c r="C26" s="10" t="s">
        <v>145</v>
      </c>
      <c r="D26" s="10"/>
      <c r="E26" s="42"/>
      <c r="F26" s="19"/>
      <c r="G26" s="42"/>
      <c r="H26" s="42"/>
      <c r="I26" s="42"/>
      <c r="J26" s="42"/>
      <c r="K26" s="42"/>
      <c r="L26" s="42"/>
      <c r="M26" s="42"/>
      <c r="N26" s="42"/>
      <c r="O26" s="42"/>
      <c r="P26" s="42"/>
      <c r="Q26" s="42"/>
      <c r="R26" s="42"/>
      <c r="S26" s="28"/>
      <c r="T26" s="19"/>
      <c r="U26" s="19"/>
      <c r="V26" s="19"/>
      <c r="W26" s="19"/>
    </row>
    <row r="27" spans="1:31" x14ac:dyDescent="0.25">
      <c r="B27" s="119"/>
      <c r="C27" s="10"/>
      <c r="D27" s="10"/>
      <c r="E27" s="42"/>
      <c r="F27" s="19"/>
      <c r="G27" s="42"/>
      <c r="H27" s="42"/>
      <c r="I27" s="42"/>
      <c r="J27" s="42"/>
      <c r="K27" s="42"/>
      <c r="L27" s="42"/>
      <c r="M27" s="42"/>
      <c r="N27" s="42"/>
      <c r="O27" s="42"/>
      <c r="P27" s="42"/>
      <c r="Q27" s="42"/>
      <c r="R27" s="42"/>
      <c r="S27" s="28"/>
      <c r="T27" s="19"/>
      <c r="U27" s="19"/>
      <c r="V27" s="19"/>
      <c r="W27" s="19"/>
    </row>
    <row r="28" spans="1:31" x14ac:dyDescent="0.25">
      <c r="B28" s="119"/>
      <c r="C28" s="119"/>
      <c r="D28" s="10"/>
      <c r="E28" s="42"/>
      <c r="F28" s="19"/>
      <c r="G28" s="42"/>
      <c r="H28" s="42"/>
      <c r="I28" s="42"/>
      <c r="J28" s="42"/>
      <c r="K28" s="42"/>
      <c r="L28" s="42"/>
      <c r="M28" s="42"/>
      <c r="N28" s="42"/>
      <c r="O28" s="42"/>
      <c r="P28" s="42"/>
      <c r="Q28" s="42"/>
      <c r="R28" s="42"/>
      <c r="S28" s="28"/>
      <c r="T28" s="19"/>
      <c r="U28" s="19"/>
      <c r="V28" s="19"/>
      <c r="W28" s="19"/>
    </row>
    <row r="29" spans="1:31" x14ac:dyDescent="0.25">
      <c r="B29" s="119"/>
      <c r="C29" s="119"/>
      <c r="D29" s="10"/>
      <c r="E29" s="42"/>
      <c r="F29" s="19"/>
      <c r="G29" s="42"/>
      <c r="H29" s="42"/>
      <c r="I29" s="42"/>
      <c r="J29" s="42"/>
      <c r="K29" s="42"/>
      <c r="L29" s="42"/>
      <c r="M29" s="42"/>
      <c r="N29" s="42"/>
      <c r="O29" s="42"/>
      <c r="P29" s="42"/>
      <c r="Q29" s="42"/>
      <c r="R29" s="42"/>
      <c r="S29" s="28"/>
      <c r="T29" s="19"/>
      <c r="U29" s="19"/>
      <c r="V29" s="19"/>
      <c r="W29" s="19"/>
    </row>
    <row r="30" spans="1:31" x14ac:dyDescent="0.25">
      <c r="B30" s="119"/>
      <c r="C30" s="119"/>
      <c r="D30" s="10"/>
      <c r="E30" s="42"/>
      <c r="F30" s="19"/>
      <c r="G30" s="42"/>
      <c r="H30" s="42"/>
      <c r="I30" s="42"/>
      <c r="J30" s="42"/>
      <c r="K30" s="42"/>
      <c r="L30" s="42"/>
      <c r="M30" s="42"/>
      <c r="N30" s="42"/>
      <c r="O30" s="42"/>
      <c r="P30" s="42"/>
      <c r="Q30" s="42"/>
      <c r="R30" s="42"/>
      <c r="S30" s="28"/>
      <c r="T30" s="19"/>
      <c r="U30" s="19"/>
      <c r="V30" s="19"/>
      <c r="W30" s="19"/>
    </row>
    <row r="31" spans="1:31" x14ac:dyDescent="0.25">
      <c r="B31" s="119"/>
      <c r="C31" s="119"/>
      <c r="D31" s="10"/>
      <c r="E31" s="42"/>
      <c r="F31" s="19"/>
      <c r="G31" s="42"/>
      <c r="H31" s="42"/>
      <c r="I31" s="42"/>
      <c r="J31" s="42"/>
      <c r="K31" s="42"/>
      <c r="L31" s="42"/>
      <c r="M31" s="42"/>
      <c r="N31" s="42"/>
      <c r="O31" s="42"/>
      <c r="P31" s="42"/>
      <c r="Q31" s="42"/>
      <c r="R31" s="42"/>
      <c r="S31" s="28"/>
      <c r="T31" s="19"/>
      <c r="U31" s="19"/>
      <c r="V31" s="19"/>
      <c r="W31" s="19"/>
    </row>
    <row r="32" spans="1:31" x14ac:dyDescent="0.25">
      <c r="B32" s="119"/>
      <c r="C32" s="119"/>
      <c r="D32" s="10"/>
      <c r="E32" s="42"/>
      <c r="F32" s="19"/>
      <c r="G32" s="42"/>
      <c r="H32" s="42"/>
      <c r="I32" s="42"/>
      <c r="J32" s="42"/>
      <c r="K32" s="42"/>
      <c r="L32" s="42"/>
      <c r="M32" s="42"/>
      <c r="N32" s="42"/>
      <c r="O32" s="42"/>
      <c r="P32" s="42"/>
      <c r="Q32" s="42"/>
      <c r="R32" s="42"/>
      <c r="S32" s="28"/>
      <c r="T32" s="19"/>
      <c r="U32" s="19"/>
      <c r="V32" s="19"/>
      <c r="W32" s="19"/>
    </row>
    <row r="33" spans="2:23" x14ac:dyDescent="0.25">
      <c r="B33" s="119"/>
      <c r="C33" s="119"/>
      <c r="D33" s="10"/>
      <c r="E33" s="42"/>
      <c r="F33" s="19"/>
      <c r="G33" s="42"/>
      <c r="H33" s="42"/>
      <c r="I33" s="42"/>
      <c r="J33" s="42"/>
      <c r="K33" s="42"/>
      <c r="L33" s="42"/>
      <c r="M33" s="42"/>
      <c r="N33" s="42"/>
      <c r="O33" s="42"/>
      <c r="P33" s="42"/>
      <c r="Q33" s="42"/>
      <c r="R33" s="42"/>
      <c r="S33" s="28"/>
      <c r="T33" s="19"/>
      <c r="U33" s="19"/>
      <c r="V33" s="19"/>
      <c r="W33" s="19"/>
    </row>
    <row r="34" spans="2:23" x14ac:dyDescent="0.25">
      <c r="B34" s="119"/>
      <c r="C34" s="119"/>
      <c r="D34" s="10"/>
      <c r="E34" s="42"/>
      <c r="F34" s="19"/>
      <c r="G34" s="42"/>
      <c r="H34" s="42"/>
      <c r="I34" s="42"/>
      <c r="J34" s="42"/>
      <c r="K34" s="42"/>
      <c r="L34" s="42"/>
      <c r="M34" s="42"/>
      <c r="N34" s="42"/>
      <c r="O34" s="42"/>
      <c r="P34" s="42"/>
      <c r="Q34" s="42"/>
      <c r="R34" s="42"/>
      <c r="S34" s="28"/>
      <c r="T34" s="19"/>
      <c r="U34" s="19"/>
      <c r="V34" s="19"/>
      <c r="W34" s="19"/>
    </row>
    <row r="35" spans="2:23" x14ac:dyDescent="0.25">
      <c r="B35" s="119"/>
      <c r="C35" s="119"/>
      <c r="D35" s="10"/>
      <c r="E35" s="42"/>
      <c r="F35" s="19"/>
      <c r="G35" s="42"/>
      <c r="H35" s="42"/>
      <c r="I35" s="42"/>
      <c r="J35" s="42"/>
      <c r="K35" s="42"/>
      <c r="L35" s="42"/>
      <c r="M35" s="42"/>
      <c r="N35" s="42"/>
      <c r="O35" s="42"/>
      <c r="P35" s="42"/>
      <c r="Q35" s="42"/>
      <c r="R35" s="42"/>
      <c r="S35" s="28"/>
      <c r="T35" s="19"/>
      <c r="U35" s="19"/>
      <c r="V35" s="19"/>
      <c r="W35" s="19"/>
    </row>
    <row r="36" spans="2:23" x14ac:dyDescent="0.25">
      <c r="B36" s="119"/>
      <c r="C36" s="119"/>
      <c r="D36" s="10"/>
      <c r="E36" s="42"/>
      <c r="F36" s="19"/>
      <c r="G36" s="42"/>
      <c r="H36" s="42"/>
      <c r="I36" s="42"/>
      <c r="J36" s="42"/>
      <c r="K36" s="42"/>
      <c r="L36" s="42"/>
      <c r="M36" s="42"/>
      <c r="N36" s="42"/>
      <c r="O36" s="42"/>
      <c r="P36" s="42"/>
      <c r="Q36" s="42"/>
      <c r="R36" s="42"/>
      <c r="S36" s="28"/>
      <c r="T36" s="19"/>
      <c r="U36" s="19"/>
      <c r="V36" s="19"/>
      <c r="W36" s="19"/>
    </row>
    <row r="37" spans="2:23" x14ac:dyDescent="0.25">
      <c r="B37" s="119"/>
      <c r="C37" s="119"/>
      <c r="D37" s="10"/>
      <c r="E37" s="42"/>
      <c r="F37" s="19"/>
      <c r="G37" s="42"/>
      <c r="H37" s="42"/>
      <c r="I37" s="42"/>
      <c r="J37" s="42"/>
      <c r="K37" s="42"/>
      <c r="L37" s="42"/>
      <c r="M37" s="42"/>
      <c r="N37" s="42"/>
      <c r="O37" s="42"/>
      <c r="P37" s="42"/>
      <c r="Q37" s="42"/>
      <c r="R37" s="42"/>
      <c r="S37" s="28"/>
      <c r="T37" s="19"/>
      <c r="U37" s="19"/>
      <c r="V37" s="19"/>
      <c r="W37" s="19"/>
    </row>
  </sheetData>
  <conditionalFormatting sqref="T14:W14 U13:W13">
    <cfRule type="cellIs" dxfId="8" priority="18" operator="equal">
      <formula>0</formula>
    </cfRule>
  </conditionalFormatting>
  <conditionalFormatting sqref="Z13:AD14">
    <cfRule type="cellIs" dxfId="7" priority="4" operator="equal">
      <formula>0</formula>
    </cfRule>
  </conditionalFormatting>
  <conditionalFormatting sqref="V6">
    <cfRule type="cellIs" dxfId="6" priority="3" operator="lessThan">
      <formula>0</formula>
    </cfRule>
  </conditionalFormatting>
  <conditionalFormatting sqref="W6">
    <cfRule type="cellIs" dxfId="5" priority="2" operator="lessThan">
      <formula>0</formula>
    </cfRule>
  </conditionalFormatting>
  <conditionalFormatting sqref="T6">
    <cfRule type="cellIs" dxfId="4" priority="1" operator="lessThan">
      <formula>0</formula>
    </cfRule>
  </conditionalFormatting>
  <printOptions horizontalCentered="1" verticalCentered="1"/>
  <pageMargins left="0.7" right="0.7" top="0.75" bottom="0.75" header="0.3" footer="0.3"/>
  <pageSetup scale="66" orientation="landscape" horizontalDpi="1200" verticalDpi="1200" r:id="rId1"/>
  <headerFooter scaleWithDoc="0">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81"/>
  <sheetViews>
    <sheetView topLeftCell="D2" zoomScale="80" zoomScaleNormal="80" workbookViewId="0">
      <selection activeCell="D2" sqref="D2"/>
    </sheetView>
  </sheetViews>
  <sheetFormatPr defaultColWidth="9.140625" defaultRowHeight="15.75" outlineLevelRow="1" outlineLevelCol="1" x14ac:dyDescent="0.25"/>
  <cols>
    <col min="1" max="1" width="38.42578125" style="118" hidden="1" customWidth="1" outlineLevel="1"/>
    <col min="2" max="2" width="14.42578125" style="118" hidden="1" customWidth="1" outlineLevel="1"/>
    <col min="3" max="3" width="14" style="118" hidden="1" customWidth="1" outlineLevel="1"/>
    <col min="4" max="4" width="7.5703125" style="18" customWidth="1" collapsed="1"/>
    <col min="5" max="5" width="40.5703125" style="18" customWidth="1"/>
    <col min="6" max="6" width="11.42578125" style="18" bestFit="1" customWidth="1"/>
    <col min="7" max="7" width="13.85546875" style="52" customWidth="1"/>
    <col min="8" max="8" width="15.140625" style="52" customWidth="1"/>
    <col min="9" max="9" width="12.5703125" style="20" customWidth="1"/>
    <col min="10" max="18" width="8.140625" style="38" hidden="1" customWidth="1" outlineLevel="1"/>
    <col min="19" max="19" width="11.42578125" style="38" hidden="1" customWidth="1" outlineLevel="1"/>
    <col min="20" max="20" width="11.5703125" style="38" hidden="1" customWidth="1" outlineLevel="1"/>
    <col min="21" max="21" width="13" style="38" bestFit="1" customWidth="1" collapsed="1"/>
    <col min="22" max="22" width="12.42578125" style="26" hidden="1" customWidth="1" outlineLevel="1"/>
    <col min="23" max="23" width="17.42578125" style="26" customWidth="1" collapsed="1"/>
    <col min="24" max="24" width="19.140625" style="26" hidden="1" customWidth="1" outlineLevel="1"/>
    <col min="25" max="25" width="17.42578125" style="26" customWidth="1" collapsed="1"/>
    <col min="26" max="26" width="17.28515625" style="26" customWidth="1"/>
    <col min="27" max="27" width="13.140625" style="20" customWidth="1"/>
    <col min="28" max="28" width="20.5703125" style="26" customWidth="1"/>
    <col min="29" max="29" width="22.5703125" style="20" customWidth="1"/>
    <col min="30" max="30" width="20.42578125" style="117" customWidth="1"/>
    <col min="31" max="33" width="9.140625" style="18" customWidth="1"/>
    <col min="34" max="16384" width="9.140625" style="18"/>
  </cols>
  <sheetData>
    <row r="1" spans="1:34" s="128" customFormat="1" hidden="1" outlineLevel="1" x14ac:dyDescent="0.25">
      <c r="G1" s="63">
        <v>1</v>
      </c>
      <c r="H1" s="61">
        <v>2</v>
      </c>
      <c r="I1" s="62">
        <v>3</v>
      </c>
      <c r="J1" s="60"/>
      <c r="K1" s="60"/>
      <c r="L1" s="60"/>
      <c r="M1" s="60"/>
      <c r="N1" s="60"/>
      <c r="O1" s="60"/>
      <c r="P1" s="60"/>
      <c r="Q1" s="60"/>
      <c r="R1" s="60"/>
      <c r="S1" s="60"/>
      <c r="T1" s="60"/>
      <c r="U1" s="61">
        <v>4</v>
      </c>
      <c r="V1" s="62">
        <v>5</v>
      </c>
      <c r="W1" s="62">
        <v>6</v>
      </c>
      <c r="X1" s="62">
        <v>7</v>
      </c>
      <c r="Y1" s="62">
        <v>8</v>
      </c>
      <c r="Z1" s="62">
        <v>9</v>
      </c>
      <c r="AA1" s="62">
        <v>10</v>
      </c>
      <c r="AB1" s="62">
        <v>11</v>
      </c>
      <c r="AC1" s="62">
        <v>12</v>
      </c>
      <c r="AD1" s="96"/>
    </row>
    <row r="2" spans="1:34" collapsed="1" x14ac:dyDescent="0.25"/>
    <row r="3" spans="1:34" ht="21" x14ac:dyDescent="0.35">
      <c r="D3" s="146" t="s">
        <v>165</v>
      </c>
      <c r="E3" s="146"/>
      <c r="F3" s="8"/>
      <c r="G3" s="50"/>
      <c r="H3" s="51"/>
      <c r="I3" s="21"/>
      <c r="J3" s="37"/>
      <c r="K3" s="37"/>
      <c r="L3" s="37"/>
      <c r="M3" s="37"/>
      <c r="N3" s="37"/>
      <c r="O3" s="37"/>
      <c r="P3" s="37"/>
      <c r="Q3" s="37"/>
      <c r="R3" s="37"/>
      <c r="S3" s="37"/>
      <c r="T3" s="37"/>
      <c r="U3" s="37"/>
      <c r="V3" s="39"/>
      <c r="W3" s="39"/>
      <c r="X3" s="39"/>
      <c r="Y3" s="39"/>
      <c r="Z3" s="39"/>
      <c r="AA3" s="21"/>
      <c r="AB3" s="39"/>
      <c r="AC3" s="21"/>
    </row>
    <row r="4" spans="1:34" ht="6" customHeight="1" thickBot="1" x14ac:dyDescent="0.3">
      <c r="D4" s="1"/>
      <c r="E4" s="1"/>
      <c r="F4" s="1"/>
      <c r="G4" s="53"/>
      <c r="H4" s="53"/>
      <c r="I4" s="22"/>
      <c r="J4" s="47"/>
      <c r="K4" s="47"/>
      <c r="L4" s="47"/>
      <c r="M4" s="47"/>
      <c r="N4" s="47"/>
      <c r="O4" s="47"/>
      <c r="P4" s="47"/>
      <c r="Q4" s="47"/>
      <c r="R4" s="47"/>
      <c r="S4" s="47"/>
      <c r="T4" s="47"/>
      <c r="U4" s="47"/>
      <c r="V4" s="57"/>
      <c r="W4" s="57"/>
      <c r="X4" s="57"/>
      <c r="Y4" s="40"/>
      <c r="Z4" s="40"/>
      <c r="AA4" s="22"/>
      <c r="AB4" s="57"/>
      <c r="AC4" s="22"/>
    </row>
    <row r="5" spans="1:34" ht="6" customHeight="1" thickTop="1" x14ac:dyDescent="0.25">
      <c r="D5" s="119"/>
      <c r="E5" s="119"/>
      <c r="F5" s="119"/>
      <c r="G5" s="54"/>
      <c r="H5" s="54"/>
      <c r="I5" s="19"/>
      <c r="J5" s="42"/>
      <c r="K5" s="42"/>
      <c r="L5" s="42"/>
      <c r="M5" s="42"/>
      <c r="N5" s="42"/>
      <c r="O5" s="42"/>
      <c r="P5" s="42"/>
      <c r="Q5" s="42"/>
      <c r="R5" s="42"/>
      <c r="S5" s="42"/>
      <c r="T5" s="42"/>
      <c r="U5" s="42"/>
      <c r="V5" s="28"/>
      <c r="W5" s="82"/>
      <c r="X5" s="82"/>
      <c r="Y5" s="41"/>
      <c r="Z5" s="41"/>
      <c r="AA5" s="19"/>
      <c r="AB5" s="28"/>
      <c r="AC5" s="19"/>
    </row>
    <row r="6" spans="1:34" s="32" customFormat="1" ht="64.5" customHeight="1" x14ac:dyDescent="0.25">
      <c r="A6" s="127"/>
      <c r="B6" s="127" t="s">
        <v>88</v>
      </c>
      <c r="C6" s="127" t="s">
        <v>88</v>
      </c>
      <c r="D6" s="83" t="s">
        <v>51</v>
      </c>
      <c r="E6" s="83"/>
      <c r="F6" s="84" t="s">
        <v>104</v>
      </c>
      <c r="G6" s="85" t="s">
        <v>100</v>
      </c>
      <c r="H6" s="85" t="s">
        <v>99</v>
      </c>
      <c r="I6" s="86" t="s">
        <v>48</v>
      </c>
      <c r="J6" s="87" t="s">
        <v>38</v>
      </c>
      <c r="K6" s="87" t="s">
        <v>39</v>
      </c>
      <c r="L6" s="87" t="s">
        <v>40</v>
      </c>
      <c r="M6" s="87" t="s">
        <v>41</v>
      </c>
      <c r="N6" s="87" t="s">
        <v>42</v>
      </c>
      <c r="O6" s="87" t="s">
        <v>35</v>
      </c>
      <c r="P6" s="87" t="s">
        <v>36</v>
      </c>
      <c r="Q6" s="87" t="s">
        <v>37</v>
      </c>
      <c r="R6" s="87" t="s">
        <v>43</v>
      </c>
      <c r="S6" s="87" t="s">
        <v>44</v>
      </c>
      <c r="T6" s="87" t="s">
        <v>45</v>
      </c>
      <c r="U6" s="87" t="s">
        <v>132</v>
      </c>
      <c r="V6" s="86" t="s">
        <v>24</v>
      </c>
      <c r="W6" s="197" t="s">
        <v>62</v>
      </c>
      <c r="X6" s="197" t="s">
        <v>63</v>
      </c>
      <c r="Y6" s="86" t="s">
        <v>67</v>
      </c>
      <c r="Z6" s="86" t="s">
        <v>68</v>
      </c>
      <c r="AA6" s="86" t="s">
        <v>50</v>
      </c>
      <c r="AB6" s="149" t="s">
        <v>64</v>
      </c>
      <c r="AC6" s="86" t="s">
        <v>65</v>
      </c>
      <c r="AD6" s="86"/>
    </row>
    <row r="7" spans="1:34" x14ac:dyDescent="0.25">
      <c r="D7" s="119"/>
      <c r="E7" s="119"/>
      <c r="F7" s="125"/>
      <c r="G7" s="88" t="s">
        <v>29</v>
      </c>
      <c r="H7" s="88" t="s">
        <v>29</v>
      </c>
      <c r="I7" s="46" t="s">
        <v>22</v>
      </c>
      <c r="J7" s="45" t="s">
        <v>29</v>
      </c>
      <c r="K7" s="45" t="s">
        <v>29</v>
      </c>
      <c r="L7" s="45" t="s">
        <v>29</v>
      </c>
      <c r="M7" s="45" t="s">
        <v>29</v>
      </c>
      <c r="N7" s="45" t="s">
        <v>29</v>
      </c>
      <c r="O7" s="45" t="s">
        <v>29</v>
      </c>
      <c r="P7" s="45" t="s">
        <v>29</v>
      </c>
      <c r="Q7" s="45" t="s">
        <v>29</v>
      </c>
      <c r="R7" s="45" t="s">
        <v>29</v>
      </c>
      <c r="S7" s="45" t="s">
        <v>29</v>
      </c>
      <c r="T7" s="45" t="s">
        <v>29</v>
      </c>
      <c r="U7" s="45" t="s">
        <v>29</v>
      </c>
      <c r="V7" s="46" t="s">
        <v>22</v>
      </c>
      <c r="W7" s="46" t="s">
        <v>22</v>
      </c>
      <c r="X7" s="46" t="s">
        <v>22</v>
      </c>
      <c r="Y7" s="46" t="s">
        <v>22</v>
      </c>
      <c r="Z7" s="46" t="s">
        <v>22</v>
      </c>
      <c r="AA7" s="46" t="s">
        <v>22</v>
      </c>
      <c r="AB7" s="150" t="s">
        <v>22</v>
      </c>
      <c r="AC7" s="46" t="s">
        <v>22</v>
      </c>
      <c r="AD7" s="125"/>
    </row>
    <row r="8" spans="1:34" x14ac:dyDescent="0.25">
      <c r="D8" s="119"/>
      <c r="E8" s="119"/>
      <c r="F8" s="125"/>
      <c r="G8" s="88" t="s">
        <v>133</v>
      </c>
      <c r="H8" s="88" t="s">
        <v>134</v>
      </c>
      <c r="I8" s="46" t="s">
        <v>135</v>
      </c>
      <c r="J8" s="45"/>
      <c r="K8" s="45"/>
      <c r="L8" s="45"/>
      <c r="M8" s="45"/>
      <c r="N8" s="45"/>
      <c r="O8" s="45"/>
      <c r="P8" s="45"/>
      <c r="Q8" s="45"/>
      <c r="R8" s="45"/>
      <c r="S8" s="45"/>
      <c r="T8" s="45"/>
      <c r="U8" s="45" t="s">
        <v>136</v>
      </c>
      <c r="V8" s="89" t="s">
        <v>137</v>
      </c>
      <c r="W8" s="89" t="s">
        <v>138</v>
      </c>
      <c r="X8" s="89" t="s">
        <v>139</v>
      </c>
      <c r="Y8" s="89" t="s">
        <v>140</v>
      </c>
      <c r="Z8" s="89" t="s">
        <v>146</v>
      </c>
      <c r="AA8" s="89" t="s">
        <v>147</v>
      </c>
      <c r="AB8" s="151" t="s">
        <v>148</v>
      </c>
      <c r="AC8" s="89" t="s">
        <v>149</v>
      </c>
      <c r="AD8" s="125"/>
    </row>
    <row r="9" spans="1:34" ht="6" customHeight="1" x14ac:dyDescent="0.25">
      <c r="D9" s="120"/>
      <c r="E9" s="120"/>
      <c r="F9" s="131"/>
      <c r="G9" s="64"/>
      <c r="H9" s="64"/>
      <c r="I9" s="65"/>
      <c r="J9" s="66"/>
      <c r="K9" s="66"/>
      <c r="L9" s="66"/>
      <c r="M9" s="66"/>
      <c r="N9" s="66"/>
      <c r="O9" s="66"/>
      <c r="P9" s="66"/>
      <c r="Q9" s="66"/>
      <c r="R9" s="66"/>
      <c r="S9" s="66"/>
      <c r="T9" s="66"/>
      <c r="U9" s="66"/>
      <c r="V9" s="65"/>
      <c r="W9" s="65"/>
      <c r="X9" s="65"/>
      <c r="Y9" s="65"/>
      <c r="Z9" s="65"/>
      <c r="AA9" s="65"/>
      <c r="AB9" s="141"/>
      <c r="AC9" s="65"/>
      <c r="AD9" s="125"/>
    </row>
    <row r="10" spans="1:34" ht="6" customHeight="1" x14ac:dyDescent="0.25">
      <c r="D10" s="119"/>
      <c r="E10" s="119"/>
      <c r="F10" s="125"/>
      <c r="G10" s="58"/>
      <c r="H10" s="58"/>
      <c r="I10" s="29"/>
      <c r="J10" s="24"/>
      <c r="K10" s="24"/>
      <c r="L10" s="24"/>
      <c r="M10" s="24"/>
      <c r="N10" s="24"/>
      <c r="O10" s="24"/>
      <c r="P10" s="24"/>
      <c r="Q10" s="24"/>
      <c r="R10" s="24"/>
      <c r="S10" s="24"/>
      <c r="T10" s="24"/>
      <c r="U10" s="24"/>
      <c r="V10" s="29"/>
      <c r="W10" s="29"/>
      <c r="X10" s="29"/>
      <c r="Y10" s="29"/>
      <c r="Z10" s="29"/>
      <c r="AA10" s="29"/>
      <c r="AB10" s="123"/>
      <c r="AC10" s="29"/>
      <c r="AD10" s="125"/>
    </row>
    <row r="11" spans="1:34" x14ac:dyDescent="0.25">
      <c r="A11" s="118" t="s">
        <v>25</v>
      </c>
      <c r="B11" s="118" t="s">
        <v>33</v>
      </c>
      <c r="C11" s="155"/>
      <c r="D11" s="198" t="s">
        <v>105</v>
      </c>
      <c r="E11" s="119" t="s">
        <v>18</v>
      </c>
      <c r="F11" s="125" t="s">
        <v>33</v>
      </c>
      <c r="G11" s="24">
        <v>1.1499999999999999</v>
      </c>
      <c r="H11" s="24">
        <v>1.1499999999999999</v>
      </c>
      <c r="I11" s="29">
        <v>47009.573416528947</v>
      </c>
      <c r="J11" s="24">
        <v>1</v>
      </c>
      <c r="K11" s="24">
        <v>0.99906024919213998</v>
      </c>
      <c r="L11" s="24">
        <v>1</v>
      </c>
      <c r="M11" s="24">
        <v>0.99936019098947904</v>
      </c>
      <c r="N11" s="24">
        <v>1</v>
      </c>
      <c r="O11" s="24">
        <v>1</v>
      </c>
      <c r="P11" s="24">
        <v>1</v>
      </c>
      <c r="Q11" s="24">
        <v>0.99853660716280523</v>
      </c>
      <c r="R11" s="24">
        <v>0.99954387012124046</v>
      </c>
      <c r="S11" s="24">
        <v>1</v>
      </c>
      <c r="T11" s="24">
        <v>0.99961121305174039</v>
      </c>
      <c r="U11" s="24">
        <v>1</v>
      </c>
      <c r="V11" s="29">
        <v>47009.573416528947</v>
      </c>
      <c r="W11" s="29">
        <v>0</v>
      </c>
      <c r="X11" s="29">
        <v>0</v>
      </c>
      <c r="Y11" s="29">
        <v>0</v>
      </c>
      <c r="Z11" s="29">
        <v>0</v>
      </c>
      <c r="AA11" s="29">
        <v>3638.6717439220956</v>
      </c>
      <c r="AB11" s="123">
        <v>0</v>
      </c>
      <c r="AC11" s="29">
        <v>0</v>
      </c>
      <c r="AD11" s="125"/>
      <c r="AE11" s="117"/>
      <c r="AF11" s="97"/>
      <c r="AG11" s="7"/>
      <c r="AH11" s="7"/>
    </row>
    <row r="12" spans="1:34" x14ac:dyDescent="0.25">
      <c r="A12" s="118" t="s">
        <v>25</v>
      </c>
      <c r="B12" s="118" t="s">
        <v>33</v>
      </c>
      <c r="C12" s="155"/>
      <c r="D12" s="198" t="s">
        <v>106</v>
      </c>
      <c r="E12" s="119" t="s">
        <v>4</v>
      </c>
      <c r="F12" s="125" t="s">
        <v>33</v>
      </c>
      <c r="G12" s="24">
        <v>1.1499999999999999</v>
      </c>
      <c r="H12" s="24">
        <v>1.1499999999999999</v>
      </c>
      <c r="I12" s="29">
        <v>6359.2093388417188</v>
      </c>
      <c r="J12" s="24">
        <v>0.99313510607501754</v>
      </c>
      <c r="K12" s="24">
        <v>0.98937219945199095</v>
      </c>
      <c r="L12" s="24">
        <v>0.99895134228187921</v>
      </c>
      <c r="M12" s="24">
        <v>0.99991182046646976</v>
      </c>
      <c r="N12" s="24">
        <v>0.9183622931198151</v>
      </c>
      <c r="O12" s="24">
        <v>0.95504230538790902</v>
      </c>
      <c r="P12" s="24">
        <v>0.95523214598322537</v>
      </c>
      <c r="Q12" s="24">
        <v>0.92691332063947962</v>
      </c>
      <c r="R12" s="24">
        <v>0.95898803580499936</v>
      </c>
      <c r="S12" s="24">
        <v>0.95898803580499936</v>
      </c>
      <c r="T12" s="24">
        <v>0.9662120632456429</v>
      </c>
      <c r="U12" s="24">
        <v>0.95898803580499936</v>
      </c>
      <c r="V12" s="29">
        <v>6098.4056731286282</v>
      </c>
      <c r="W12" s="29">
        <v>299.92421557005378</v>
      </c>
      <c r="X12" s="29">
        <v>0</v>
      </c>
      <c r="Y12" s="29">
        <v>0</v>
      </c>
      <c r="Z12" s="29">
        <v>299.92421557005378</v>
      </c>
      <c r="AA12" s="29">
        <v>3750</v>
      </c>
      <c r="AB12" s="123">
        <v>299.92421557005378</v>
      </c>
      <c r="AC12" s="29">
        <v>0</v>
      </c>
      <c r="AD12" s="125"/>
      <c r="AE12" s="117"/>
      <c r="AF12" s="97"/>
      <c r="AG12" s="7"/>
      <c r="AH12" s="7"/>
    </row>
    <row r="13" spans="1:34" x14ac:dyDescent="0.25">
      <c r="A13" s="118" t="s">
        <v>26</v>
      </c>
      <c r="B13" s="118" t="s">
        <v>46</v>
      </c>
      <c r="C13" s="155"/>
      <c r="D13" s="198" t="s">
        <v>107</v>
      </c>
      <c r="E13" s="119" t="s">
        <v>1</v>
      </c>
      <c r="F13" s="125" t="s">
        <v>32</v>
      </c>
      <c r="G13" s="24">
        <v>1.04</v>
      </c>
      <c r="H13" s="24">
        <v>1.1539999999999999</v>
      </c>
      <c r="I13" s="29">
        <v>2311</v>
      </c>
      <c r="J13" s="24">
        <v>0.96042563366810141</v>
      </c>
      <c r="K13" s="24">
        <v>0.88496503496503498</v>
      </c>
      <c r="L13" s="24">
        <v>0.80558239398819109</v>
      </c>
      <c r="M13" s="24">
        <v>0.80055555555555558</v>
      </c>
      <c r="N13" s="24">
        <v>0.82972350230414749</v>
      </c>
      <c r="O13" s="24">
        <v>0.85935121208572429</v>
      </c>
      <c r="P13" s="24">
        <v>0.97947069008162257</v>
      </c>
      <c r="Q13" s="24">
        <v>0.89138410227904397</v>
      </c>
      <c r="R13" s="24">
        <v>0.86803173241852483</v>
      </c>
      <c r="S13" s="24">
        <v>0.86803173241852483</v>
      </c>
      <c r="T13" s="24">
        <v>0.87549887303843865</v>
      </c>
      <c r="U13" s="24">
        <v>0.86803173241852483</v>
      </c>
      <c r="V13" s="29">
        <v>2006.021333619211</v>
      </c>
      <c r="W13" s="29">
        <v>351.94538100343061</v>
      </c>
      <c r="X13" s="29">
        <v>263.45399999999972</v>
      </c>
      <c r="Y13" s="29">
        <v>263.45399999999972</v>
      </c>
      <c r="Z13" s="29">
        <v>88.491381003430945</v>
      </c>
      <c r="AA13" s="29">
        <v>150.80820407071212</v>
      </c>
      <c r="AB13" s="123">
        <v>0</v>
      </c>
      <c r="AC13" s="29">
        <v>88.491381003430945</v>
      </c>
      <c r="AD13" s="125"/>
      <c r="AE13" s="117"/>
      <c r="AF13" s="97"/>
      <c r="AG13" s="7"/>
      <c r="AH13" s="7"/>
    </row>
    <row r="14" spans="1:34" x14ac:dyDescent="0.25">
      <c r="A14" s="118" t="s">
        <v>26</v>
      </c>
      <c r="B14" s="118" t="s">
        <v>33</v>
      </c>
      <c r="C14" s="155"/>
      <c r="D14" s="198" t="s">
        <v>108</v>
      </c>
      <c r="E14" s="119" t="s">
        <v>17</v>
      </c>
      <c r="F14" s="125" t="s">
        <v>32</v>
      </c>
      <c r="G14" s="24">
        <v>1.1539999999999999</v>
      </c>
      <c r="H14" s="24">
        <v>1.1539999999999999</v>
      </c>
      <c r="I14" s="29">
        <v>4594.534332358483</v>
      </c>
      <c r="J14" s="24">
        <v>0.97403993855606763</v>
      </c>
      <c r="K14" s="24">
        <v>0.9851380042462845</v>
      </c>
      <c r="L14" s="24">
        <v>0.98165062795628777</v>
      </c>
      <c r="M14" s="24">
        <v>0.93505807814149944</v>
      </c>
      <c r="N14" s="24">
        <v>0.87115204229555732</v>
      </c>
      <c r="O14" s="24">
        <v>0.83014824075727811</v>
      </c>
      <c r="P14" s="24">
        <v>0.97599380485286524</v>
      </c>
      <c r="Q14" s="24">
        <v>0.98583403185247276</v>
      </c>
      <c r="R14" s="24">
        <v>0.89970301230377603</v>
      </c>
      <c r="S14" s="24">
        <v>0.97403993855606763</v>
      </c>
      <c r="T14" s="24">
        <v>0.93763530899578784</v>
      </c>
      <c r="U14" s="24">
        <v>0.97403993855606763</v>
      </c>
      <c r="V14" s="29">
        <v>4475.2599387842001</v>
      </c>
      <c r="W14" s="29">
        <v>137.64265018472258</v>
      </c>
      <c r="X14" s="29">
        <v>0</v>
      </c>
      <c r="Y14" s="29">
        <v>0</v>
      </c>
      <c r="Z14" s="29">
        <v>137.64265018472258</v>
      </c>
      <c r="AA14" s="29">
        <v>0</v>
      </c>
      <c r="AB14" s="123">
        <v>0</v>
      </c>
      <c r="AC14" s="29">
        <v>137.64265018472258</v>
      </c>
      <c r="AD14" s="125"/>
      <c r="AE14" s="117"/>
      <c r="AF14" s="97"/>
      <c r="AG14" s="7"/>
      <c r="AH14" s="7"/>
    </row>
    <row r="15" spans="1:34" x14ac:dyDescent="0.25">
      <c r="A15" s="118" t="s">
        <v>26</v>
      </c>
      <c r="B15" s="118" t="s">
        <v>46</v>
      </c>
      <c r="C15" s="155"/>
      <c r="D15" s="198" t="s">
        <v>109</v>
      </c>
      <c r="E15" s="119" t="s">
        <v>2</v>
      </c>
      <c r="F15" s="125" t="s">
        <v>32</v>
      </c>
      <c r="G15" s="24">
        <v>1.1539999999999999</v>
      </c>
      <c r="H15" s="24">
        <v>1.1539999999999999</v>
      </c>
      <c r="I15" s="29">
        <v>4006</v>
      </c>
      <c r="J15" s="24">
        <v>0.99903071875932004</v>
      </c>
      <c r="K15" s="24">
        <v>0.98337411832445665</v>
      </c>
      <c r="L15" s="24">
        <v>0.93897285294749655</v>
      </c>
      <c r="M15" s="24">
        <v>0.91189991710000751</v>
      </c>
      <c r="N15" s="24">
        <v>0.93560635412630766</v>
      </c>
      <c r="O15" s="24">
        <v>0.95665047069541453</v>
      </c>
      <c r="P15" s="24">
        <v>0.92490340709518792</v>
      </c>
      <c r="Q15" s="24">
        <v>0.99648447864154943</v>
      </c>
      <c r="R15" s="24">
        <v>0.97787641795251179</v>
      </c>
      <c r="S15" s="24">
        <v>0.95665047069541453</v>
      </c>
      <c r="T15" s="24">
        <v>0.95831097062691706</v>
      </c>
      <c r="U15" s="24">
        <v>0.95665047069541453</v>
      </c>
      <c r="V15" s="29">
        <v>3832.3417856058304</v>
      </c>
      <c r="W15" s="29">
        <v>200.40157941087145</v>
      </c>
      <c r="X15" s="29">
        <v>0</v>
      </c>
      <c r="Y15" s="29">
        <v>0</v>
      </c>
      <c r="Z15" s="29">
        <v>200.40157941087145</v>
      </c>
      <c r="AA15" s="29">
        <v>1695.8049358675869</v>
      </c>
      <c r="AB15" s="123">
        <v>200.40157941087145</v>
      </c>
      <c r="AC15" s="29">
        <v>0</v>
      </c>
      <c r="AD15" s="125"/>
      <c r="AE15" s="117"/>
      <c r="AF15" s="97"/>
      <c r="AG15" s="7"/>
      <c r="AH15" s="7"/>
    </row>
    <row r="16" spans="1:34" x14ac:dyDescent="0.25">
      <c r="A16" s="118" t="s">
        <v>26</v>
      </c>
      <c r="B16" s="118" t="s">
        <v>46</v>
      </c>
      <c r="C16" s="155"/>
      <c r="D16" s="198" t="s">
        <v>110</v>
      </c>
      <c r="E16" s="119" t="s">
        <v>5</v>
      </c>
      <c r="F16" s="125" t="s">
        <v>32</v>
      </c>
      <c r="G16" s="24">
        <v>1.1200000000000001</v>
      </c>
      <c r="H16" s="24">
        <v>1.1539999999999999</v>
      </c>
      <c r="I16" s="29">
        <v>8402</v>
      </c>
      <c r="J16" s="24">
        <v>0.96922495591569402</v>
      </c>
      <c r="K16" s="24">
        <v>1</v>
      </c>
      <c r="L16" s="24">
        <v>0.98557794273594912</v>
      </c>
      <c r="M16" s="24">
        <v>0.9930797298997609</v>
      </c>
      <c r="N16" s="24">
        <v>0.93252042636141186</v>
      </c>
      <c r="O16" s="24">
        <v>1</v>
      </c>
      <c r="P16" s="24">
        <v>0.95540988913166625</v>
      </c>
      <c r="Q16" s="24">
        <v>0.99603911375170195</v>
      </c>
      <c r="R16" s="24">
        <v>0.84796231470677208</v>
      </c>
      <c r="S16" s="24">
        <v>0.98557794273594912</v>
      </c>
      <c r="T16" s="24">
        <v>0.96442381916699516</v>
      </c>
      <c r="U16" s="24">
        <v>0.98557794273594912</v>
      </c>
      <c r="V16" s="29">
        <v>8280.8258748674452</v>
      </c>
      <c r="W16" s="29">
        <v>139.83494040296904</v>
      </c>
      <c r="X16" s="29">
        <v>285.66799999999841</v>
      </c>
      <c r="Y16" s="29">
        <v>139.83494040296904</v>
      </c>
      <c r="Z16" s="29">
        <v>0</v>
      </c>
      <c r="AA16" s="29">
        <v>500</v>
      </c>
      <c r="AB16" s="123">
        <v>0</v>
      </c>
      <c r="AC16" s="29">
        <v>0</v>
      </c>
      <c r="AD16" s="125"/>
      <c r="AE16" s="117"/>
      <c r="AF16" s="97"/>
      <c r="AG16" s="7"/>
      <c r="AH16" s="7"/>
    </row>
    <row r="17" spans="1:34" x14ac:dyDescent="0.25">
      <c r="A17" s="118" t="s">
        <v>26</v>
      </c>
      <c r="B17" s="118" t="s">
        <v>46</v>
      </c>
      <c r="C17" s="155"/>
      <c r="D17" s="198" t="s">
        <v>111</v>
      </c>
      <c r="E17" s="119" t="s">
        <v>20</v>
      </c>
      <c r="F17" s="125" t="s">
        <v>32</v>
      </c>
      <c r="G17" s="24">
        <v>1.1000000000000001</v>
      </c>
      <c r="H17" s="24">
        <v>1.1539999999999999</v>
      </c>
      <c r="I17" s="29">
        <v>1880</v>
      </c>
      <c r="J17" s="24">
        <v>0.96878806333739342</v>
      </c>
      <c r="K17" s="24">
        <v>0.94591048257763521</v>
      </c>
      <c r="L17" s="24">
        <v>0.84578983994432844</v>
      </c>
      <c r="M17" s="24">
        <v>0.79632792485055504</v>
      </c>
      <c r="N17" s="24">
        <v>0.85895919574216439</v>
      </c>
      <c r="O17" s="24">
        <v>0.9254425442544254</v>
      </c>
      <c r="P17" s="24">
        <v>0.91767039818619811</v>
      </c>
      <c r="Q17" s="24">
        <v>0.97626674432149096</v>
      </c>
      <c r="R17" s="24">
        <v>0.89198506176386094</v>
      </c>
      <c r="S17" s="24">
        <v>0.91767039818619811</v>
      </c>
      <c r="T17" s="24">
        <v>0.9030155838864502</v>
      </c>
      <c r="U17" s="24">
        <v>0.91767039818619811</v>
      </c>
      <c r="V17" s="29">
        <v>1725.2203485900525</v>
      </c>
      <c r="W17" s="29">
        <v>178.61571772707947</v>
      </c>
      <c r="X17" s="29">
        <v>101.51999999999967</v>
      </c>
      <c r="Y17" s="29">
        <v>101.51999999999967</v>
      </c>
      <c r="Z17" s="29">
        <v>77.095717727079801</v>
      </c>
      <c r="AA17" s="29">
        <v>460.33300685602353</v>
      </c>
      <c r="AB17" s="123">
        <v>77.095717727079801</v>
      </c>
      <c r="AC17" s="29">
        <v>0</v>
      </c>
      <c r="AD17" s="125"/>
      <c r="AE17" s="117"/>
      <c r="AF17" s="97"/>
      <c r="AG17" s="7"/>
      <c r="AH17" s="7"/>
    </row>
    <row r="18" spans="1:34" x14ac:dyDescent="0.25">
      <c r="A18" s="118" t="s">
        <v>26</v>
      </c>
      <c r="B18" s="118" t="s">
        <v>46</v>
      </c>
      <c r="C18" s="155"/>
      <c r="D18" s="198" t="s">
        <v>112</v>
      </c>
      <c r="E18" s="119" t="s">
        <v>66</v>
      </c>
      <c r="F18" s="125" t="s">
        <v>32</v>
      </c>
      <c r="G18" s="24">
        <v>1.1299999999999999</v>
      </c>
      <c r="H18" s="24">
        <v>1.1539999999999999</v>
      </c>
      <c r="I18" s="29">
        <v>13234</v>
      </c>
      <c r="J18" s="24">
        <v>0.99893251167288122</v>
      </c>
      <c r="K18" s="24">
        <v>0.97170175032770456</v>
      </c>
      <c r="L18" s="24">
        <v>0.99926728788829</v>
      </c>
      <c r="M18" s="24">
        <v>0.99806515084390923</v>
      </c>
      <c r="N18" s="24">
        <v>0.98503087843177495</v>
      </c>
      <c r="O18" s="24">
        <v>0.99550278573297912</v>
      </c>
      <c r="P18" s="24">
        <v>0.97621594153429969</v>
      </c>
      <c r="Q18" s="24">
        <v>0.99886733194145505</v>
      </c>
      <c r="R18" s="24">
        <v>0.99000710170074746</v>
      </c>
      <c r="S18" s="24">
        <v>0.99550278573297912</v>
      </c>
      <c r="T18" s="24">
        <v>0.99039897111933783</v>
      </c>
      <c r="U18" s="24">
        <v>0.99550278573297912</v>
      </c>
      <c r="V18" s="29">
        <v>13174.483866390246</v>
      </c>
      <c r="W18" s="29">
        <v>68.681618185656433</v>
      </c>
      <c r="X18" s="29">
        <v>317.61600000000027</v>
      </c>
      <c r="Y18" s="29">
        <v>68.681618185656433</v>
      </c>
      <c r="Z18" s="29">
        <v>0</v>
      </c>
      <c r="AA18" s="29">
        <v>1046.5898442015255</v>
      </c>
      <c r="AB18" s="123">
        <v>0</v>
      </c>
      <c r="AC18" s="29">
        <v>0</v>
      </c>
      <c r="AD18" s="125"/>
      <c r="AE18" s="117"/>
      <c r="AF18" s="97"/>
      <c r="AG18" s="7"/>
      <c r="AH18" s="7"/>
    </row>
    <row r="19" spans="1:34" x14ac:dyDescent="0.25">
      <c r="A19" s="118" t="s">
        <v>26</v>
      </c>
      <c r="B19" s="118" t="s">
        <v>46</v>
      </c>
      <c r="C19" s="155"/>
      <c r="D19" s="198" t="s">
        <v>113</v>
      </c>
      <c r="E19" s="119" t="s">
        <v>21</v>
      </c>
      <c r="F19" s="125" t="s">
        <v>32</v>
      </c>
      <c r="G19" s="24">
        <v>1.08</v>
      </c>
      <c r="H19" s="24">
        <v>1.1539999999999999</v>
      </c>
      <c r="I19" s="29">
        <v>3753</v>
      </c>
      <c r="J19" s="24">
        <v>0.99446282665946384</v>
      </c>
      <c r="K19" s="24">
        <v>0.87875059804524636</v>
      </c>
      <c r="L19" s="24">
        <v>0.86492846968477122</v>
      </c>
      <c r="M19" s="24">
        <v>0.96253765060240959</v>
      </c>
      <c r="N19" s="24">
        <v>0.94544318733948773</v>
      </c>
      <c r="O19" s="24">
        <v>0.92064828457166914</v>
      </c>
      <c r="P19" s="24">
        <v>0.89608412896084133</v>
      </c>
      <c r="Q19" s="24">
        <v>0.90554480980012897</v>
      </c>
      <c r="R19" s="24">
        <v>0.87365046129686574</v>
      </c>
      <c r="S19" s="24">
        <v>0.90554480980012897</v>
      </c>
      <c r="T19" s="24">
        <v>0.91578337966232048</v>
      </c>
      <c r="U19" s="24">
        <v>0.90554480980012897</v>
      </c>
      <c r="V19" s="29">
        <v>3398.5096711798842</v>
      </c>
      <c r="W19" s="29">
        <v>409.08183945841381</v>
      </c>
      <c r="X19" s="29">
        <v>277.72199999999941</v>
      </c>
      <c r="Y19" s="29">
        <v>277.72199999999941</v>
      </c>
      <c r="Z19" s="29">
        <v>131.3598394584144</v>
      </c>
      <c r="AA19" s="29">
        <v>244.90834698285707</v>
      </c>
      <c r="AB19" s="123">
        <v>0</v>
      </c>
      <c r="AC19" s="29">
        <v>131.3598394584144</v>
      </c>
      <c r="AD19" s="125"/>
      <c r="AE19" s="117"/>
      <c r="AF19" s="97"/>
      <c r="AG19" s="7"/>
      <c r="AH19" s="7"/>
    </row>
    <row r="20" spans="1:34" x14ac:dyDescent="0.25">
      <c r="A20" s="118" t="s">
        <v>26</v>
      </c>
      <c r="B20" s="118" t="s">
        <v>46</v>
      </c>
      <c r="C20" s="155"/>
      <c r="D20" s="198" t="s">
        <v>114</v>
      </c>
      <c r="E20" s="119" t="s">
        <v>6</v>
      </c>
      <c r="F20" s="125" t="s">
        <v>32</v>
      </c>
      <c r="G20" s="24">
        <v>0.84</v>
      </c>
      <c r="H20" s="24">
        <v>1.1539999999999999</v>
      </c>
      <c r="I20" s="29">
        <v>733</v>
      </c>
      <c r="J20" s="24">
        <v>0.69538188277087032</v>
      </c>
      <c r="K20" s="24">
        <v>0.6937473415567843</v>
      </c>
      <c r="L20" s="24">
        <v>0.61443871479571599</v>
      </c>
      <c r="M20" s="24">
        <v>0.66557242511284365</v>
      </c>
      <c r="N20" s="24">
        <v>0.6645299145299145</v>
      </c>
      <c r="O20" s="24">
        <v>0.74730538922155687</v>
      </c>
      <c r="P20" s="24">
        <v>0.74962063732928674</v>
      </c>
      <c r="Q20" s="24">
        <v>0.70521707406056189</v>
      </c>
      <c r="R20" s="24">
        <v>0.69338959212376938</v>
      </c>
      <c r="S20" s="24">
        <v>0.6937473415567843</v>
      </c>
      <c r="T20" s="24">
        <v>0.69213366350014471</v>
      </c>
      <c r="U20" s="24">
        <v>0.6937473415567843</v>
      </c>
      <c r="V20" s="29">
        <v>508.51680136112287</v>
      </c>
      <c r="W20" s="29">
        <v>259.05361122926416</v>
      </c>
      <c r="X20" s="199">
        <v>230.16199999999995</v>
      </c>
      <c r="Y20" s="29">
        <v>230.16199999999995</v>
      </c>
      <c r="Z20" s="123">
        <v>28.891611229264214</v>
      </c>
      <c r="AA20" s="29">
        <v>47.833151702220682</v>
      </c>
      <c r="AB20" s="123">
        <v>0</v>
      </c>
      <c r="AC20" s="29">
        <v>28.891611229264214</v>
      </c>
      <c r="AD20" s="125"/>
      <c r="AE20" s="117"/>
      <c r="AF20" s="97"/>
      <c r="AG20" s="7"/>
      <c r="AH20" s="7"/>
    </row>
    <row r="21" spans="1:34" x14ac:dyDescent="0.25">
      <c r="A21" s="118" t="s">
        <v>26</v>
      </c>
      <c r="B21" s="118" t="s">
        <v>46</v>
      </c>
      <c r="C21" s="155"/>
      <c r="D21" s="198" t="s">
        <v>115</v>
      </c>
      <c r="E21" s="119" t="s">
        <v>7</v>
      </c>
      <c r="F21" s="125" t="s">
        <v>32</v>
      </c>
      <c r="G21" s="24">
        <v>0.77</v>
      </c>
      <c r="H21" s="24">
        <v>1.1539999999999999</v>
      </c>
      <c r="I21" s="29">
        <v>393</v>
      </c>
      <c r="J21" s="24">
        <v>0.64953987730061347</v>
      </c>
      <c r="K21" s="24">
        <v>0.64544781643227234</v>
      </c>
      <c r="L21" s="24">
        <v>0.55973154362416111</v>
      </c>
      <c r="M21" s="24">
        <v>0.63233190271816886</v>
      </c>
      <c r="N21" s="24">
        <v>0.58510638297872342</v>
      </c>
      <c r="O21" s="24">
        <v>0.60798816568047342</v>
      </c>
      <c r="P21" s="24">
        <v>0.66814814814814816</v>
      </c>
      <c r="Q21" s="24">
        <v>0.62215909090909094</v>
      </c>
      <c r="R21" s="24">
        <v>0.64569536423841056</v>
      </c>
      <c r="S21" s="24">
        <v>0.63233190271816886</v>
      </c>
      <c r="T21" s="24">
        <v>0.62401647689222917</v>
      </c>
      <c r="U21" s="24">
        <v>0.63233190271816886</v>
      </c>
      <c r="V21" s="29">
        <v>248.50643776824037</v>
      </c>
      <c r="W21" s="29">
        <v>166.74557081545061</v>
      </c>
      <c r="X21" s="29">
        <v>150.91199999999995</v>
      </c>
      <c r="Y21" s="29">
        <v>150.91199999999995</v>
      </c>
      <c r="Z21" s="29">
        <v>15.833570815450656</v>
      </c>
      <c r="AA21" s="29">
        <v>25.645878061354335</v>
      </c>
      <c r="AB21" s="123">
        <v>0</v>
      </c>
      <c r="AC21" s="29">
        <v>15.833570815450656</v>
      </c>
      <c r="AD21" s="125"/>
      <c r="AE21" s="117"/>
      <c r="AF21" s="97"/>
      <c r="AG21" s="7"/>
      <c r="AH21" s="7"/>
    </row>
    <row r="22" spans="1:34" x14ac:dyDescent="0.25">
      <c r="A22" s="118" t="s">
        <v>26</v>
      </c>
      <c r="B22" s="118" t="s">
        <v>46</v>
      </c>
      <c r="C22" s="155"/>
      <c r="D22" s="198" t="s">
        <v>116</v>
      </c>
      <c r="E22" s="119" t="s">
        <v>8</v>
      </c>
      <c r="F22" s="125" t="s">
        <v>32</v>
      </c>
      <c r="G22" s="24">
        <v>1.1539999999999999</v>
      </c>
      <c r="H22" s="24">
        <v>1.1539999999999999</v>
      </c>
      <c r="I22" s="29">
        <v>855</v>
      </c>
      <c r="J22" s="24">
        <v>0.97078063672045356</v>
      </c>
      <c r="K22" s="24">
        <v>0.94782989916703198</v>
      </c>
      <c r="L22" s="24">
        <v>0.94745351657235244</v>
      </c>
      <c r="M22" s="24">
        <v>0.94427363566487321</v>
      </c>
      <c r="N22" s="24">
        <v>0.96030245746691867</v>
      </c>
      <c r="O22" s="24">
        <v>0.99056603773584906</v>
      </c>
      <c r="P22" s="24">
        <v>0.98490566037735849</v>
      </c>
      <c r="Q22" s="24">
        <v>0.94062382562946256</v>
      </c>
      <c r="R22" s="24">
        <v>0.96925227113906354</v>
      </c>
      <c r="S22" s="24">
        <v>0.96030245746691867</v>
      </c>
      <c r="T22" s="24">
        <v>0.96177643783037381</v>
      </c>
      <c r="U22" s="24">
        <v>0.96030245746691867</v>
      </c>
      <c r="V22" s="29">
        <v>821.05860113421545</v>
      </c>
      <c r="W22" s="29">
        <v>39.168374291115356</v>
      </c>
      <c r="X22" s="29">
        <v>0</v>
      </c>
      <c r="Y22" s="29">
        <v>0</v>
      </c>
      <c r="Z22" s="29">
        <v>39.168374291115356</v>
      </c>
      <c r="AA22" s="29">
        <v>55.794467538060964</v>
      </c>
      <c r="AB22" s="123">
        <v>39.168374291115356</v>
      </c>
      <c r="AC22" s="29">
        <v>0</v>
      </c>
      <c r="AD22" s="125"/>
      <c r="AE22" s="117"/>
      <c r="AF22" s="97"/>
      <c r="AG22" s="7"/>
      <c r="AH22" s="7"/>
    </row>
    <row r="23" spans="1:34" x14ac:dyDescent="0.25">
      <c r="A23" s="118" t="s">
        <v>26</v>
      </c>
      <c r="B23" s="118" t="s">
        <v>46</v>
      </c>
      <c r="C23" s="155"/>
      <c r="D23" s="198" t="s">
        <v>117</v>
      </c>
      <c r="E23" s="119" t="s">
        <v>11</v>
      </c>
      <c r="F23" s="125" t="s">
        <v>32</v>
      </c>
      <c r="G23" s="24">
        <v>0.83</v>
      </c>
      <c r="H23" s="24">
        <v>1.1539999999999999</v>
      </c>
      <c r="I23" s="29">
        <v>5157</v>
      </c>
      <c r="J23" s="24">
        <v>0.71486360336064725</v>
      </c>
      <c r="K23" s="24">
        <v>0.65642487593707111</v>
      </c>
      <c r="L23" s="24">
        <v>0.62103676327562729</v>
      </c>
      <c r="M23" s="24">
        <v>0.70660732625813083</v>
      </c>
      <c r="N23" s="24">
        <v>0.68219249934434834</v>
      </c>
      <c r="O23" s="24">
        <v>0.68664327228862809</v>
      </c>
      <c r="P23" s="24">
        <v>0.69523178076136805</v>
      </c>
      <c r="Q23" s="24">
        <v>0.69878631849944828</v>
      </c>
      <c r="R23" s="24">
        <v>0.67504674838977774</v>
      </c>
      <c r="S23" s="24">
        <v>0.68664327228862809</v>
      </c>
      <c r="T23" s="24">
        <v>0.68187035423500519</v>
      </c>
      <c r="U23" s="24">
        <v>0.68664327228862809</v>
      </c>
      <c r="V23" s="29">
        <v>3541.0193551924549</v>
      </c>
      <c r="W23" s="29">
        <v>1864.8416641079068</v>
      </c>
      <c r="X23" s="29">
        <v>1670.8679999999997</v>
      </c>
      <c r="Y23" s="29">
        <v>1670.8679999999997</v>
      </c>
      <c r="Z23" s="29">
        <v>193.9736641079071</v>
      </c>
      <c r="AA23" s="29">
        <v>336.52873578219925</v>
      </c>
      <c r="AB23" s="123">
        <v>0</v>
      </c>
      <c r="AC23" s="29">
        <v>193.9736641079071</v>
      </c>
      <c r="AD23" s="125"/>
      <c r="AE23" s="117"/>
      <c r="AF23" s="97"/>
      <c r="AG23" s="7"/>
      <c r="AH23" s="7"/>
    </row>
    <row r="24" spans="1:34" x14ac:dyDescent="0.25">
      <c r="A24" s="118" t="s">
        <v>26</v>
      </c>
      <c r="B24" s="118" t="s">
        <v>46</v>
      </c>
      <c r="C24" s="155"/>
      <c r="D24" s="198" t="s">
        <v>118</v>
      </c>
      <c r="E24" s="119" t="s">
        <v>13</v>
      </c>
      <c r="F24" s="125" t="s">
        <v>32</v>
      </c>
      <c r="G24" s="24">
        <v>0.87</v>
      </c>
      <c r="H24" s="24">
        <v>1.1539999999999999</v>
      </c>
      <c r="I24" s="29">
        <v>1830</v>
      </c>
      <c r="J24" s="24">
        <v>0.77448525319977746</v>
      </c>
      <c r="K24" s="24">
        <v>0.68915662650602405</v>
      </c>
      <c r="L24" s="24">
        <v>0.6788408098451767</v>
      </c>
      <c r="M24" s="24">
        <v>0.76910591099688896</v>
      </c>
      <c r="N24" s="24">
        <v>0.70839064649243466</v>
      </c>
      <c r="O24" s="24">
        <v>0.72230215827338129</v>
      </c>
      <c r="P24" s="24">
        <v>0.72062956717256887</v>
      </c>
      <c r="Q24" s="24">
        <v>0.73613949053262495</v>
      </c>
      <c r="R24" s="24">
        <v>0.70876671619613674</v>
      </c>
      <c r="S24" s="24">
        <v>0.72062956717256887</v>
      </c>
      <c r="T24" s="24">
        <v>0.72309079769055717</v>
      </c>
      <c r="U24" s="24">
        <v>0.72062956717256887</v>
      </c>
      <c r="V24" s="29">
        <v>1318.7521079258011</v>
      </c>
      <c r="W24" s="29">
        <v>589.98006745362557</v>
      </c>
      <c r="X24" s="29">
        <v>519.7199999999998</v>
      </c>
      <c r="Y24" s="29">
        <v>519.7199999999998</v>
      </c>
      <c r="Z24" s="29">
        <v>70.260067453625766</v>
      </c>
      <c r="AA24" s="29">
        <v>119.41973753760416</v>
      </c>
      <c r="AB24" s="123">
        <v>0</v>
      </c>
      <c r="AC24" s="29">
        <v>70.260067453625766</v>
      </c>
      <c r="AD24" s="125"/>
      <c r="AE24" s="117"/>
      <c r="AF24" s="97"/>
      <c r="AG24" s="7"/>
      <c r="AH24" s="7"/>
    </row>
    <row r="25" spans="1:34" x14ac:dyDescent="0.25">
      <c r="A25" s="118" t="s">
        <v>26</v>
      </c>
      <c r="B25" s="118" t="s">
        <v>46</v>
      </c>
      <c r="C25" s="155"/>
      <c r="D25" s="198" t="s">
        <v>119</v>
      </c>
      <c r="E25" s="119" t="s">
        <v>14</v>
      </c>
      <c r="F25" s="125" t="s">
        <v>32</v>
      </c>
      <c r="G25" s="24">
        <v>0.75</v>
      </c>
      <c r="H25" s="24">
        <v>1.1539999999999999</v>
      </c>
      <c r="I25" s="29">
        <v>1031</v>
      </c>
      <c r="J25" s="24">
        <v>0.66282118510749866</v>
      </c>
      <c r="K25" s="24">
        <v>0.59547010797998423</v>
      </c>
      <c r="L25" s="24">
        <v>0.58435391152211946</v>
      </c>
      <c r="M25" s="24">
        <v>0.61791546589817481</v>
      </c>
      <c r="N25" s="24">
        <v>0.60862905284656621</v>
      </c>
      <c r="O25" s="24">
        <v>0.64009727100783576</v>
      </c>
      <c r="P25" s="24">
        <v>0.64830625172128886</v>
      </c>
      <c r="Q25" s="24">
        <v>0.63491655969191274</v>
      </c>
      <c r="R25" s="24">
        <v>0.60552763819095479</v>
      </c>
      <c r="S25" s="24">
        <v>0.61791546589817481</v>
      </c>
      <c r="T25" s="24">
        <v>0.62200416044070395</v>
      </c>
      <c r="U25" s="24">
        <v>0.61791546589817481</v>
      </c>
      <c r="V25" s="29">
        <v>637.07084534101818</v>
      </c>
      <c r="W25" s="29">
        <v>454.59424447646489</v>
      </c>
      <c r="X25" s="29">
        <v>416.52399999999989</v>
      </c>
      <c r="Y25" s="29">
        <v>416.52399999999989</v>
      </c>
      <c r="Z25" s="29">
        <v>38.070244476465007</v>
      </c>
      <c r="AA25" s="29">
        <v>67.279644481568241</v>
      </c>
      <c r="AB25" s="123">
        <v>0</v>
      </c>
      <c r="AC25" s="29">
        <v>38.070244476465007</v>
      </c>
      <c r="AD25" s="125"/>
      <c r="AE25" s="117"/>
      <c r="AF25" s="97"/>
      <c r="AG25" s="7"/>
      <c r="AH25" s="7"/>
    </row>
    <row r="26" spans="1:34" x14ac:dyDescent="0.25">
      <c r="A26" s="118" t="s">
        <v>26</v>
      </c>
      <c r="B26" s="118" t="s">
        <v>33</v>
      </c>
      <c r="C26" s="155"/>
      <c r="D26" s="198" t="s">
        <v>120</v>
      </c>
      <c r="E26" s="119" t="s">
        <v>16</v>
      </c>
      <c r="F26" s="125" t="s">
        <v>32</v>
      </c>
      <c r="G26" s="24">
        <v>1.1539999999999999</v>
      </c>
      <c r="H26" s="24">
        <v>1.1539999999999999</v>
      </c>
      <c r="I26" s="29">
        <v>676</v>
      </c>
      <c r="J26" s="24">
        <v>0.99467867376176833</v>
      </c>
      <c r="K26" s="24">
        <v>0.98501248959200671</v>
      </c>
      <c r="L26" s="24">
        <v>0.97791666666666666</v>
      </c>
      <c r="M26" s="24">
        <v>0.94670710571923744</v>
      </c>
      <c r="N26" s="24">
        <v>0.92051835853131747</v>
      </c>
      <c r="O26" s="24">
        <v>0.91518051326663763</v>
      </c>
      <c r="P26" s="24">
        <v>0.97187758478081054</v>
      </c>
      <c r="Q26" s="24">
        <v>0.98901098901098905</v>
      </c>
      <c r="R26" s="24">
        <v>0.92567849686847603</v>
      </c>
      <c r="S26" s="24">
        <v>0.97187758478081054</v>
      </c>
      <c r="T26" s="24">
        <v>0.95850898646643445</v>
      </c>
      <c r="U26" s="24">
        <v>0.97187758478081054</v>
      </c>
      <c r="V26" s="29">
        <v>656.98924731182797</v>
      </c>
      <c r="W26" s="29">
        <v>21.93840860215057</v>
      </c>
      <c r="X26" s="29">
        <v>0</v>
      </c>
      <c r="Y26" s="29">
        <v>0</v>
      </c>
      <c r="Z26" s="29">
        <v>21.93840860215057</v>
      </c>
      <c r="AA26" s="29">
        <v>111.32825607790429</v>
      </c>
      <c r="AB26" s="123">
        <v>21.93840860215057</v>
      </c>
      <c r="AC26" s="29">
        <v>0</v>
      </c>
      <c r="AD26" s="125"/>
      <c r="AE26" s="117"/>
      <c r="AF26" s="97"/>
      <c r="AG26" s="7"/>
      <c r="AH26" s="7"/>
    </row>
    <row r="27" spans="1:34" x14ac:dyDescent="0.25">
      <c r="A27" s="118" t="s">
        <v>27</v>
      </c>
      <c r="B27" s="118" t="s">
        <v>46</v>
      </c>
      <c r="C27" s="155"/>
      <c r="D27" s="198" t="s">
        <v>121</v>
      </c>
      <c r="E27" s="119" t="s">
        <v>9</v>
      </c>
      <c r="F27" s="125" t="s">
        <v>34</v>
      </c>
      <c r="G27" s="24">
        <v>1.139</v>
      </c>
      <c r="H27" s="24">
        <v>1.139</v>
      </c>
      <c r="I27" s="29">
        <v>8740</v>
      </c>
      <c r="J27" s="24">
        <v>1</v>
      </c>
      <c r="K27" s="24">
        <v>1</v>
      </c>
      <c r="L27" s="24">
        <v>1</v>
      </c>
      <c r="M27" s="24">
        <v>1</v>
      </c>
      <c r="N27" s="24">
        <v>1</v>
      </c>
      <c r="O27" s="24">
        <v>1</v>
      </c>
      <c r="P27" s="24">
        <v>1</v>
      </c>
      <c r="Q27" s="24">
        <v>1</v>
      </c>
      <c r="R27" s="24">
        <v>1</v>
      </c>
      <c r="S27" s="24">
        <v>1</v>
      </c>
      <c r="T27" s="24">
        <v>1</v>
      </c>
      <c r="U27" s="24">
        <v>1</v>
      </c>
      <c r="V27" s="29">
        <v>8740</v>
      </c>
      <c r="W27" s="29">
        <v>0</v>
      </c>
      <c r="X27" s="29">
        <v>0</v>
      </c>
      <c r="Y27" s="29">
        <v>0</v>
      </c>
      <c r="Z27" s="29">
        <v>0</v>
      </c>
      <c r="AA27" s="29">
        <v>1046.4550437405551</v>
      </c>
      <c r="AB27" s="123">
        <v>0</v>
      </c>
      <c r="AC27" s="29">
        <v>0</v>
      </c>
      <c r="AD27" s="125"/>
      <c r="AE27" s="117"/>
      <c r="AF27" s="97"/>
      <c r="AG27" s="7"/>
      <c r="AH27" s="7"/>
    </row>
    <row r="28" spans="1:34" x14ac:dyDescent="0.25">
      <c r="A28" s="118" t="s">
        <v>28</v>
      </c>
      <c r="B28" s="118" t="s">
        <v>46</v>
      </c>
      <c r="C28" s="155"/>
      <c r="D28" s="198" t="s">
        <v>122</v>
      </c>
      <c r="E28" s="119" t="s">
        <v>0</v>
      </c>
      <c r="F28" s="125" t="s">
        <v>31</v>
      </c>
      <c r="G28" s="24">
        <v>1.1499999999999999</v>
      </c>
      <c r="H28" s="24">
        <v>1.161</v>
      </c>
      <c r="I28" s="29">
        <v>7654</v>
      </c>
      <c r="J28" s="24">
        <v>0.99482360698977912</v>
      </c>
      <c r="K28" s="24">
        <v>0.99600883992479472</v>
      </c>
      <c r="L28" s="24">
        <v>0.99787218951698697</v>
      </c>
      <c r="M28" s="24">
        <v>0.99846039132295872</v>
      </c>
      <c r="N28" s="24">
        <v>0.99006575185820467</v>
      </c>
      <c r="O28" s="24">
        <v>1</v>
      </c>
      <c r="P28" s="24">
        <v>0.99832214765100669</v>
      </c>
      <c r="Q28" s="24">
        <v>0.99829043801445461</v>
      </c>
      <c r="R28" s="24">
        <v>0.9926444710354051</v>
      </c>
      <c r="S28" s="24">
        <v>0.99787218951698697</v>
      </c>
      <c r="T28" s="24">
        <v>0.99627642625706569</v>
      </c>
      <c r="U28" s="24">
        <v>0.99787218951698697</v>
      </c>
      <c r="V28" s="29">
        <v>7637.7137385630185</v>
      </c>
      <c r="W28" s="29">
        <v>18.908349528335755</v>
      </c>
      <c r="X28" s="29">
        <v>84.194000000000926</v>
      </c>
      <c r="Y28" s="29">
        <v>18.908349528335755</v>
      </c>
      <c r="Z28" s="29">
        <v>0</v>
      </c>
      <c r="AA28" s="29">
        <v>1199.1678149568938</v>
      </c>
      <c r="AB28" s="123">
        <v>0</v>
      </c>
      <c r="AC28" s="29">
        <v>0</v>
      </c>
      <c r="AD28" s="125"/>
      <c r="AE28" s="117"/>
      <c r="AF28" s="97"/>
      <c r="AG28" s="7"/>
      <c r="AH28" s="7"/>
    </row>
    <row r="29" spans="1:34" x14ac:dyDescent="0.25">
      <c r="A29" s="118" t="s">
        <v>28</v>
      </c>
      <c r="B29" s="118" t="s">
        <v>46</v>
      </c>
      <c r="C29" s="155"/>
      <c r="D29" s="198" t="s">
        <v>123</v>
      </c>
      <c r="E29" s="119" t="s">
        <v>19</v>
      </c>
      <c r="F29" s="125" t="s">
        <v>31</v>
      </c>
      <c r="G29" s="24">
        <v>1.1000000000000001</v>
      </c>
      <c r="H29" s="24">
        <v>1.161</v>
      </c>
      <c r="I29" s="29">
        <v>1944</v>
      </c>
      <c r="J29" s="24">
        <v>0.9327556325823223</v>
      </c>
      <c r="K29" s="24">
        <v>0.90452428476380575</v>
      </c>
      <c r="L29" s="24">
        <v>0.89489340604858703</v>
      </c>
      <c r="M29" s="24">
        <v>0.94668794892258579</v>
      </c>
      <c r="N29" s="24">
        <v>0.93547386381262598</v>
      </c>
      <c r="O29" s="24">
        <v>0.94380530973451326</v>
      </c>
      <c r="P29" s="24">
        <v>0.91401841401841399</v>
      </c>
      <c r="Q29" s="24">
        <v>0.9094459713583104</v>
      </c>
      <c r="R29" s="24">
        <v>0.91703555619020416</v>
      </c>
      <c r="S29" s="24">
        <v>0.91703555619020416</v>
      </c>
      <c r="T29" s="24">
        <v>0.92207115415904084</v>
      </c>
      <c r="U29" s="24">
        <v>0.91703555619020416</v>
      </c>
      <c r="V29" s="29">
        <v>1782.7171212337569</v>
      </c>
      <c r="W29" s="29">
        <v>187.24942224760824</v>
      </c>
      <c r="X29" s="29">
        <v>118.58399999999989</v>
      </c>
      <c r="Y29" s="29">
        <v>118.58399999999989</v>
      </c>
      <c r="Z29" s="29">
        <v>68.665422247608376</v>
      </c>
      <c r="AA29" s="29">
        <v>760.93551228104513</v>
      </c>
      <c r="AB29" s="123">
        <v>68.665422247608376</v>
      </c>
      <c r="AC29" s="29">
        <v>0</v>
      </c>
      <c r="AD29" s="125"/>
      <c r="AE29" s="117"/>
      <c r="AF29" s="97"/>
      <c r="AG29" s="7"/>
      <c r="AH29" s="7"/>
    </row>
    <row r="30" spans="1:34" x14ac:dyDescent="0.25">
      <c r="A30" s="118" t="s">
        <v>28</v>
      </c>
      <c r="B30" s="118" t="s">
        <v>33</v>
      </c>
      <c r="C30" s="155"/>
      <c r="D30" s="198" t="s">
        <v>124</v>
      </c>
      <c r="E30" s="119" t="s">
        <v>3</v>
      </c>
      <c r="F30" s="125" t="s">
        <v>31</v>
      </c>
      <c r="G30" s="24">
        <v>1.161</v>
      </c>
      <c r="H30" s="24">
        <v>1.161</v>
      </c>
      <c r="I30" s="29">
        <v>1049</v>
      </c>
      <c r="J30" s="24">
        <v>0.96471774193548387</v>
      </c>
      <c r="K30" s="24">
        <v>0.90222334512379987</v>
      </c>
      <c r="L30" s="24">
        <v>0.94140323824209715</v>
      </c>
      <c r="M30" s="24">
        <v>0.99744506898313745</v>
      </c>
      <c r="N30" s="24">
        <v>0.89858728557013123</v>
      </c>
      <c r="O30" s="24">
        <v>0.99645479868321096</v>
      </c>
      <c r="P30" s="24">
        <v>0.97529921059332825</v>
      </c>
      <c r="Q30" s="24">
        <v>0.98030186748529036</v>
      </c>
      <c r="R30" s="24">
        <v>0.97437868306430953</v>
      </c>
      <c r="S30" s="24">
        <v>0.97437868306430953</v>
      </c>
      <c r="T30" s="24">
        <v>0.95897902663119872</v>
      </c>
      <c r="U30" s="24">
        <v>0.97437868306430953</v>
      </c>
      <c r="V30" s="29">
        <v>1022.1232385344607</v>
      </c>
      <c r="W30" s="29">
        <v>31.203920061491139</v>
      </c>
      <c r="X30" s="29">
        <v>0</v>
      </c>
      <c r="Y30" s="29">
        <v>0</v>
      </c>
      <c r="Z30" s="29">
        <v>31.203920061491139</v>
      </c>
      <c r="AA30" s="29">
        <v>147.42890211640213</v>
      </c>
      <c r="AB30" s="123">
        <v>31.203920061491139</v>
      </c>
      <c r="AC30" s="29">
        <v>0</v>
      </c>
      <c r="AD30" s="125"/>
      <c r="AE30" s="117"/>
      <c r="AF30" s="97"/>
      <c r="AG30" s="7"/>
      <c r="AH30" s="7"/>
    </row>
    <row r="31" spans="1:34" x14ac:dyDescent="0.25">
      <c r="A31" s="118" t="s">
        <v>28</v>
      </c>
      <c r="B31" s="118" t="s">
        <v>46</v>
      </c>
      <c r="C31" s="155"/>
      <c r="D31" s="198" t="s">
        <v>125</v>
      </c>
      <c r="E31" s="119" t="s">
        <v>10</v>
      </c>
      <c r="F31" s="125" t="s">
        <v>31</v>
      </c>
      <c r="G31" s="24">
        <v>1.1200000000000001</v>
      </c>
      <c r="H31" s="24">
        <v>1.161</v>
      </c>
      <c r="I31" s="29">
        <v>2935</v>
      </c>
      <c r="J31" s="24">
        <v>0.96429056347589948</v>
      </c>
      <c r="K31" s="24">
        <v>0.96936351131674381</v>
      </c>
      <c r="L31" s="24">
        <v>0.98249935182784542</v>
      </c>
      <c r="M31" s="24">
        <v>0.93510091017016228</v>
      </c>
      <c r="N31" s="24">
        <v>0.97994450050454085</v>
      </c>
      <c r="O31" s="24">
        <v>0.89682139253279514</v>
      </c>
      <c r="P31" s="24">
        <v>0.92971762657046897</v>
      </c>
      <c r="Q31" s="24">
        <v>0.89850854856311391</v>
      </c>
      <c r="R31" s="24">
        <v>0.89762057877813506</v>
      </c>
      <c r="S31" s="24">
        <v>0.93510091017016228</v>
      </c>
      <c r="T31" s="24">
        <v>0.93931855374885609</v>
      </c>
      <c r="U31" s="24">
        <v>0.93510091017016228</v>
      </c>
      <c r="V31" s="29">
        <v>2744.5211713494264</v>
      </c>
      <c r="W31" s="29">
        <v>221.14592006331608</v>
      </c>
      <c r="X31" s="29">
        <v>120.33499999999978</v>
      </c>
      <c r="Y31" s="29">
        <v>120.33499999999978</v>
      </c>
      <c r="Z31" s="29">
        <v>100.8109200633163</v>
      </c>
      <c r="AA31" s="29">
        <v>1148.8403953420102</v>
      </c>
      <c r="AB31" s="123">
        <v>100.8109200633163</v>
      </c>
      <c r="AC31" s="29">
        <v>0</v>
      </c>
      <c r="AD31" s="125"/>
      <c r="AE31" s="117"/>
      <c r="AF31" s="97"/>
      <c r="AG31" s="7"/>
      <c r="AH31" s="7"/>
    </row>
    <row r="32" spans="1:34" x14ac:dyDescent="0.25">
      <c r="A32" s="118" t="s">
        <v>28</v>
      </c>
      <c r="B32" s="118" t="s">
        <v>46</v>
      </c>
      <c r="C32" s="155"/>
      <c r="D32" s="198" t="s">
        <v>126</v>
      </c>
      <c r="E32" s="119" t="s">
        <v>12</v>
      </c>
      <c r="F32" s="125" t="s">
        <v>31</v>
      </c>
      <c r="G32" s="24">
        <v>1.161</v>
      </c>
      <c r="H32" s="24">
        <v>1.161</v>
      </c>
      <c r="I32" s="29">
        <v>7431</v>
      </c>
      <c r="J32" s="24">
        <v>0.99539532794249774</v>
      </c>
      <c r="K32" s="24">
        <v>0.9935734568823793</v>
      </c>
      <c r="L32" s="24">
        <v>0.99923997719931601</v>
      </c>
      <c r="M32" s="24">
        <v>0.99358006042296076</v>
      </c>
      <c r="N32" s="24">
        <v>0.99189564680456932</v>
      </c>
      <c r="O32" s="24">
        <v>0.99752314903021755</v>
      </c>
      <c r="P32" s="24">
        <v>0.9986965103720532</v>
      </c>
      <c r="Q32" s="24">
        <v>1</v>
      </c>
      <c r="R32" s="24">
        <v>0.99930015838520758</v>
      </c>
      <c r="S32" s="24">
        <v>0.99752314903021755</v>
      </c>
      <c r="T32" s="24">
        <v>0.99657825411546674</v>
      </c>
      <c r="U32" s="24">
        <v>0.99752314903021755</v>
      </c>
      <c r="V32" s="29">
        <v>7412.5945204435466</v>
      </c>
      <c r="W32" s="29">
        <v>21.368761765042393</v>
      </c>
      <c r="X32" s="29">
        <v>0</v>
      </c>
      <c r="Y32" s="29">
        <v>0</v>
      </c>
      <c r="Z32" s="29">
        <v>21.368761765042393</v>
      </c>
      <c r="AA32" s="29">
        <v>961.1537466586185</v>
      </c>
      <c r="AB32" s="123">
        <v>21.368761765042393</v>
      </c>
      <c r="AC32" s="29">
        <v>0</v>
      </c>
      <c r="AD32" s="125"/>
      <c r="AE32" s="117"/>
      <c r="AF32" s="97"/>
      <c r="AG32" s="7"/>
      <c r="AH32" s="7"/>
    </row>
    <row r="33" spans="1:34" x14ac:dyDescent="0.25">
      <c r="A33" s="118" t="s">
        <v>28</v>
      </c>
      <c r="B33" s="118" t="s">
        <v>46</v>
      </c>
      <c r="C33" s="155"/>
      <c r="D33" s="198" t="s">
        <v>127</v>
      </c>
      <c r="E33" s="119" t="s">
        <v>15</v>
      </c>
      <c r="F33" s="125" t="s">
        <v>31</v>
      </c>
      <c r="G33" s="58">
        <v>1.1499999999999999</v>
      </c>
      <c r="H33" s="58">
        <v>1.161</v>
      </c>
      <c r="I33" s="29">
        <v>3540</v>
      </c>
      <c r="J33" s="24">
        <v>0.99099622422306133</v>
      </c>
      <c r="K33" s="24">
        <v>0.97869923317239416</v>
      </c>
      <c r="L33" s="24">
        <v>0.9956252579446967</v>
      </c>
      <c r="M33" s="24">
        <v>0.98443083205717208</v>
      </c>
      <c r="N33" s="24">
        <v>0.99544739673868055</v>
      </c>
      <c r="O33" s="24">
        <v>0.98626737260092656</v>
      </c>
      <c r="P33" s="24">
        <v>0.9777202937249666</v>
      </c>
      <c r="Q33" s="24">
        <v>0.98285578220493686</v>
      </c>
      <c r="R33" s="24">
        <v>0.90348563689500316</v>
      </c>
      <c r="S33" s="24">
        <v>0.98443083205717208</v>
      </c>
      <c r="T33" s="24">
        <v>0.97728089217353764</v>
      </c>
      <c r="U33" s="24">
        <v>0.98443083205717208</v>
      </c>
      <c r="V33" s="29">
        <v>3484.8851454823894</v>
      </c>
      <c r="W33" s="29">
        <v>63.988346094946195</v>
      </c>
      <c r="X33" s="29">
        <v>38.940000000000424</v>
      </c>
      <c r="Y33" s="29">
        <v>38.940000000000424</v>
      </c>
      <c r="Z33" s="29">
        <v>25.048346094945771</v>
      </c>
      <c r="AA33" s="29">
        <v>457.87703716478399</v>
      </c>
      <c r="AB33" s="123">
        <v>25.048346094945771</v>
      </c>
      <c r="AC33" s="29">
        <v>0</v>
      </c>
      <c r="AD33" s="125"/>
      <c r="AE33" s="117"/>
      <c r="AF33" s="97"/>
      <c r="AG33" s="7"/>
      <c r="AH33" s="7"/>
    </row>
    <row r="34" spans="1:34" ht="6" customHeight="1" x14ac:dyDescent="0.25">
      <c r="D34" s="120"/>
      <c r="E34" s="120"/>
      <c r="F34" s="131"/>
      <c r="G34" s="64"/>
      <c r="H34" s="64"/>
      <c r="I34" s="65"/>
      <c r="J34" s="66"/>
      <c r="K34" s="66"/>
      <c r="L34" s="66"/>
      <c r="M34" s="66"/>
      <c r="N34" s="66"/>
      <c r="O34" s="66"/>
      <c r="P34" s="66"/>
      <c r="Q34" s="66"/>
      <c r="R34" s="66"/>
      <c r="S34" s="66"/>
      <c r="T34" s="66"/>
      <c r="U34" s="66"/>
      <c r="V34" s="65"/>
      <c r="W34" s="65"/>
      <c r="X34" s="65"/>
      <c r="Y34" s="65"/>
      <c r="Z34" s="65"/>
      <c r="AA34" s="65"/>
      <c r="AB34" s="141"/>
      <c r="AC34" s="65"/>
      <c r="AD34" s="125"/>
    </row>
    <row r="35" spans="1:34" ht="6" customHeight="1" x14ac:dyDescent="0.25">
      <c r="D35" s="119"/>
      <c r="E35" s="119"/>
      <c r="F35" s="125"/>
      <c r="G35" s="58"/>
      <c r="H35" s="58"/>
      <c r="I35" s="29"/>
      <c r="J35" s="24"/>
      <c r="K35" s="24"/>
      <c r="L35" s="24"/>
      <c r="M35" s="24"/>
      <c r="N35" s="24"/>
      <c r="O35" s="24"/>
      <c r="P35" s="24"/>
      <c r="Q35" s="24"/>
      <c r="R35" s="24"/>
      <c r="S35" s="24"/>
      <c r="T35" s="24"/>
      <c r="U35" s="24"/>
      <c r="V35" s="29"/>
      <c r="W35" s="29"/>
      <c r="X35" s="29"/>
      <c r="Y35" s="29"/>
      <c r="Z35" s="29"/>
      <c r="AA35" s="29"/>
      <c r="AB35" s="123"/>
      <c r="AC35" s="29"/>
      <c r="AD35" s="125"/>
    </row>
    <row r="36" spans="1:34" x14ac:dyDescent="0.25">
      <c r="D36" s="119"/>
      <c r="E36" s="9" t="s">
        <v>60</v>
      </c>
      <c r="F36" s="125"/>
      <c r="G36" s="58"/>
      <c r="H36" s="58"/>
      <c r="I36" s="200">
        <v>135517.31708772914</v>
      </c>
      <c r="J36" s="43"/>
      <c r="K36" s="43"/>
      <c r="L36" s="43"/>
      <c r="M36" s="43"/>
      <c r="N36" s="43"/>
      <c r="O36" s="43"/>
      <c r="P36" s="43"/>
      <c r="Q36" s="43"/>
      <c r="R36" s="43"/>
      <c r="S36" s="43"/>
      <c r="T36" s="43"/>
      <c r="U36" s="43"/>
      <c r="V36" s="200">
        <v>130557.11024033571</v>
      </c>
      <c r="W36" s="200">
        <v>5726.3146026799141</v>
      </c>
      <c r="X36" s="200">
        <v>4596.2189999999982</v>
      </c>
      <c r="Y36" s="200">
        <v>4136.1659081169601</v>
      </c>
      <c r="Z36" s="200">
        <v>1590.1486945629556</v>
      </c>
      <c r="AA36" s="200">
        <v>17972.804405342024</v>
      </c>
      <c r="AB36" s="126">
        <v>885.62566583367493</v>
      </c>
      <c r="AC36" s="200">
        <v>704.52302872928067</v>
      </c>
      <c r="AD36" s="125"/>
    </row>
    <row r="37" spans="1:34" ht="6" customHeight="1" x14ac:dyDescent="0.25">
      <c r="D37" s="120"/>
      <c r="E37" s="120"/>
      <c r="F37" s="131"/>
      <c r="G37" s="64"/>
      <c r="H37" s="64"/>
      <c r="I37" s="65"/>
      <c r="J37" s="66"/>
      <c r="K37" s="66"/>
      <c r="L37" s="66"/>
      <c r="M37" s="66"/>
      <c r="N37" s="66"/>
      <c r="O37" s="66"/>
      <c r="P37" s="66"/>
      <c r="Q37" s="66"/>
      <c r="R37" s="66"/>
      <c r="S37" s="66"/>
      <c r="T37" s="66"/>
      <c r="U37" s="66"/>
      <c r="V37" s="65"/>
      <c r="W37" s="65"/>
      <c r="X37" s="65"/>
      <c r="Y37" s="65"/>
      <c r="Z37" s="65"/>
      <c r="AA37" s="65"/>
      <c r="AB37" s="141"/>
      <c r="AC37" s="65"/>
      <c r="AD37" s="125"/>
    </row>
    <row r="38" spans="1:34" ht="6" customHeight="1" x14ac:dyDescent="0.25">
      <c r="D38" s="119"/>
      <c r="E38" s="119"/>
      <c r="F38" s="125"/>
      <c r="G38" s="58"/>
      <c r="H38" s="58"/>
      <c r="I38" s="29"/>
      <c r="J38" s="24"/>
      <c r="K38" s="24"/>
      <c r="L38" s="24"/>
      <c r="M38" s="24"/>
      <c r="N38" s="24"/>
      <c r="O38" s="24"/>
      <c r="P38" s="24"/>
      <c r="Q38" s="24"/>
      <c r="R38" s="24"/>
      <c r="S38" s="24"/>
      <c r="T38" s="24"/>
      <c r="U38" s="24"/>
      <c r="V38" s="29"/>
      <c r="W38" s="29"/>
      <c r="X38" s="29"/>
      <c r="Y38" s="29"/>
      <c r="Z38" s="29"/>
      <c r="AA38" s="29"/>
      <c r="AB38" s="123"/>
      <c r="AC38" s="29"/>
      <c r="AD38" s="125"/>
    </row>
    <row r="39" spans="1:34" x14ac:dyDescent="0.25">
      <c r="A39" s="118" t="s">
        <v>25</v>
      </c>
      <c r="C39" s="118" t="s">
        <v>33</v>
      </c>
      <c r="D39" s="201"/>
      <c r="E39" s="119" t="s">
        <v>33</v>
      </c>
      <c r="F39" s="125" t="s">
        <v>46</v>
      </c>
      <c r="G39" s="58">
        <v>1.1499999999999999</v>
      </c>
      <c r="H39" s="58">
        <v>1.1499999999999999</v>
      </c>
      <c r="I39" s="29">
        <v>53107.979089657572</v>
      </c>
      <c r="J39" s="24">
        <v>0.99769891022175361</v>
      </c>
      <c r="K39" s="24">
        <v>0.99017186159882786</v>
      </c>
      <c r="L39" s="24">
        <v>0.97865618333053672</v>
      </c>
      <c r="M39" s="24">
        <v>0.93352348278256347</v>
      </c>
      <c r="N39" s="24">
        <v>0.97805342146300989</v>
      </c>
      <c r="O39" s="24">
        <v>0.93659679709197663</v>
      </c>
      <c r="P39" s="24">
        <v>0.99803372530113876</v>
      </c>
      <c r="Q39" s="24">
        <v>0.99526920755160864</v>
      </c>
      <c r="R39" s="24">
        <v>0.96858401335435773</v>
      </c>
      <c r="S39" s="24">
        <v>0.97865618333053672</v>
      </c>
      <c r="T39" s="24">
        <v>0.97517640029953034</v>
      </c>
      <c r="U39" s="24">
        <v>0.97865618333053672</v>
      </c>
      <c r="V39" s="29">
        <v>51974.452120282229</v>
      </c>
      <c r="W39" s="29">
        <v>1303.5560147816416</v>
      </c>
      <c r="X39" s="29"/>
      <c r="Y39" s="29"/>
      <c r="Z39" s="29">
        <v>1303.5560147816434</v>
      </c>
      <c r="AA39" s="29">
        <v>10104.531190578016</v>
      </c>
      <c r="AB39" s="123">
        <v>1303.5560147816434</v>
      </c>
      <c r="AC39" s="29">
        <v>0</v>
      </c>
      <c r="AD39" s="125"/>
    </row>
    <row r="40" spans="1:34" x14ac:dyDescent="0.25">
      <c r="A40" s="118" t="s">
        <v>26</v>
      </c>
      <c r="C40" s="118" t="s">
        <v>46</v>
      </c>
      <c r="D40" s="201"/>
      <c r="E40" s="119" t="s">
        <v>32</v>
      </c>
      <c r="F40" s="125" t="s">
        <v>46</v>
      </c>
      <c r="G40" s="58">
        <v>1.1539999999999999</v>
      </c>
      <c r="H40" s="58">
        <v>1.1539999999999999</v>
      </c>
      <c r="I40" s="29">
        <v>44624.57621507156</v>
      </c>
      <c r="J40" s="24">
        <v>0.99845827565660039</v>
      </c>
      <c r="K40" s="24">
        <v>0.93704610707650737</v>
      </c>
      <c r="L40" s="24">
        <v>0.9390681976483608</v>
      </c>
      <c r="M40" s="24">
        <v>0.99244053319543524</v>
      </c>
      <c r="N40" s="24">
        <v>0.99105883452842636</v>
      </c>
      <c r="O40" s="24">
        <v>0.99386432183962115</v>
      </c>
      <c r="P40" s="24">
        <v>0.98871397064523014</v>
      </c>
      <c r="Q40" s="24">
        <v>0.96863596454373635</v>
      </c>
      <c r="R40" s="24">
        <v>0.98549116258678782</v>
      </c>
      <c r="S40" s="24">
        <v>0.98871397064523014</v>
      </c>
      <c r="T40" s="24">
        <v>0.97719748530230055</v>
      </c>
      <c r="U40" s="24">
        <v>0.98871397064523014</v>
      </c>
      <c r="V40" s="29">
        <v>44120.941937964097</v>
      </c>
      <c r="W40" s="29">
        <v>581.19395578201147</v>
      </c>
      <c r="X40" s="29"/>
      <c r="Y40" s="29"/>
      <c r="Z40" s="29">
        <v>581.19395578201511</v>
      </c>
      <c r="AA40" s="29">
        <v>12609.468809421989</v>
      </c>
      <c r="AB40" s="123">
        <v>581.19395578201511</v>
      </c>
      <c r="AC40" s="29">
        <v>0</v>
      </c>
      <c r="AD40" s="125"/>
    </row>
    <row r="41" spans="1:34" x14ac:dyDescent="0.25">
      <c r="A41" s="118" t="s">
        <v>27</v>
      </c>
      <c r="C41" s="118" t="s">
        <v>46</v>
      </c>
      <c r="D41" s="201"/>
      <c r="E41" s="119" t="s">
        <v>34</v>
      </c>
      <c r="F41" s="125" t="s">
        <v>46</v>
      </c>
      <c r="G41" s="58">
        <v>1.139</v>
      </c>
      <c r="H41" s="58">
        <v>1.139</v>
      </c>
      <c r="I41" s="29">
        <v>8740</v>
      </c>
      <c r="J41" s="24">
        <v>0.9511203616377768</v>
      </c>
      <c r="K41" s="24">
        <v>0.79611020067406701</v>
      </c>
      <c r="L41" s="24">
        <v>0.77944055060933259</v>
      </c>
      <c r="M41" s="24">
        <v>0.85900141863603341</v>
      </c>
      <c r="N41" s="24">
        <v>0.93007062568387544</v>
      </c>
      <c r="O41" s="24">
        <v>0.90666151518078497</v>
      </c>
      <c r="P41" s="24">
        <v>0.71535330407683018</v>
      </c>
      <c r="Q41" s="24">
        <v>0.83614693877551016</v>
      </c>
      <c r="R41" s="24">
        <v>0.67624780197484102</v>
      </c>
      <c r="S41" s="24">
        <v>0.83614693877551016</v>
      </c>
      <c r="T41" s="24">
        <v>0.8277947463610057</v>
      </c>
      <c r="U41" s="24">
        <v>0.83614693877551016</v>
      </c>
      <c r="V41" s="29">
        <v>7307.9242448979585</v>
      </c>
      <c r="W41" s="29">
        <v>1631.134285061225</v>
      </c>
      <c r="X41" s="29"/>
      <c r="Y41" s="29"/>
      <c r="Z41" s="29">
        <v>1631.1342850612245</v>
      </c>
      <c r="AA41" s="29">
        <v>496.31867788837758</v>
      </c>
      <c r="AB41" s="123">
        <v>496.31867788837758</v>
      </c>
      <c r="AC41" s="29">
        <v>1134.815607172847</v>
      </c>
      <c r="AD41" s="125"/>
    </row>
    <row r="42" spans="1:34" x14ac:dyDescent="0.25">
      <c r="A42" s="118" t="s">
        <v>28</v>
      </c>
      <c r="C42" s="118" t="s">
        <v>46</v>
      </c>
      <c r="D42" s="201"/>
      <c r="E42" s="119" t="s">
        <v>31</v>
      </c>
      <c r="F42" s="125" t="s">
        <v>46</v>
      </c>
      <c r="G42" s="58">
        <v>1.161</v>
      </c>
      <c r="H42" s="58">
        <v>1.161</v>
      </c>
      <c r="I42" s="29">
        <v>24084.554935606597</v>
      </c>
      <c r="J42" s="24">
        <v>0.98313527787780575</v>
      </c>
      <c r="K42" s="24">
        <v>0.97651602751320232</v>
      </c>
      <c r="L42" s="24">
        <v>0.94697662112757364</v>
      </c>
      <c r="M42" s="24">
        <v>0.99564665921403384</v>
      </c>
      <c r="N42" s="24">
        <v>0.9405647615826852</v>
      </c>
      <c r="O42" s="24">
        <v>0.99219770562667742</v>
      </c>
      <c r="P42" s="24">
        <v>0.97216578387964347</v>
      </c>
      <c r="Q42" s="24">
        <v>0.96371469750628558</v>
      </c>
      <c r="R42" s="24">
        <v>0.94344825967564017</v>
      </c>
      <c r="S42" s="24">
        <v>0.97216578387964347</v>
      </c>
      <c r="T42" s="24">
        <v>0.96826286600039424</v>
      </c>
      <c r="U42" s="24">
        <v>0.97216578387964347</v>
      </c>
      <c r="V42" s="29">
        <v>23414.180228366324</v>
      </c>
      <c r="W42" s="29">
        <v>778.30503510595747</v>
      </c>
      <c r="X42" s="29"/>
      <c r="Y42" s="29"/>
      <c r="Z42" s="29">
        <v>778.30503510595588</v>
      </c>
      <c r="AA42" s="29">
        <v>5573.4701917795765</v>
      </c>
      <c r="AB42" s="123">
        <v>778.30503510595588</v>
      </c>
      <c r="AC42" s="29">
        <v>0</v>
      </c>
      <c r="AD42" s="125"/>
    </row>
    <row r="43" spans="1:34" ht="6" customHeight="1" x14ac:dyDescent="0.25">
      <c r="D43" s="120"/>
      <c r="E43" s="120"/>
      <c r="F43" s="131"/>
      <c r="G43" s="64"/>
      <c r="H43" s="64"/>
      <c r="I43" s="65"/>
      <c r="J43" s="66"/>
      <c r="K43" s="66"/>
      <c r="L43" s="66"/>
      <c r="M43" s="66"/>
      <c r="N43" s="66"/>
      <c r="O43" s="66"/>
      <c r="P43" s="66"/>
      <c r="Q43" s="66"/>
      <c r="R43" s="66"/>
      <c r="S43" s="66"/>
      <c r="T43" s="66"/>
      <c r="U43" s="66"/>
      <c r="V43" s="65"/>
      <c r="W43" s="65"/>
      <c r="X43" s="65"/>
      <c r="Y43" s="65"/>
      <c r="Z43" s="65"/>
      <c r="AA43" s="65"/>
      <c r="AB43" s="141"/>
      <c r="AC43" s="65"/>
      <c r="AD43" s="125"/>
    </row>
    <row r="44" spans="1:34" ht="6" customHeight="1" x14ac:dyDescent="0.25">
      <c r="D44" s="119"/>
      <c r="E44" s="119"/>
      <c r="F44" s="125"/>
      <c r="G44" s="58"/>
      <c r="H44" s="58"/>
      <c r="I44" s="29"/>
      <c r="J44" s="24"/>
      <c r="K44" s="24"/>
      <c r="L44" s="24"/>
      <c r="M44" s="24"/>
      <c r="N44" s="24"/>
      <c r="O44" s="24"/>
      <c r="P44" s="24"/>
      <c r="Q44" s="24"/>
      <c r="R44" s="24"/>
      <c r="S44" s="24"/>
      <c r="T44" s="24"/>
      <c r="U44" s="24"/>
      <c r="V44" s="29"/>
      <c r="W44" s="29"/>
      <c r="X44" s="29"/>
      <c r="Y44" s="29"/>
      <c r="Z44" s="29"/>
      <c r="AA44" s="29"/>
      <c r="AB44" s="123"/>
      <c r="AC44" s="29"/>
      <c r="AD44" s="125"/>
    </row>
    <row r="45" spans="1:34" x14ac:dyDescent="0.25">
      <c r="D45" s="119"/>
      <c r="E45" s="9" t="s">
        <v>61</v>
      </c>
      <c r="F45" s="125"/>
      <c r="G45" s="58"/>
      <c r="H45" s="58"/>
      <c r="I45" s="200">
        <v>130557.11024033572</v>
      </c>
      <c r="J45" s="43"/>
      <c r="K45" s="43"/>
      <c r="L45" s="43"/>
      <c r="M45" s="43"/>
      <c r="N45" s="43"/>
      <c r="O45" s="43"/>
      <c r="P45" s="43"/>
      <c r="Q45" s="43"/>
      <c r="R45" s="43"/>
      <c r="S45" s="43"/>
      <c r="T45" s="43"/>
      <c r="U45" s="43"/>
      <c r="V45" s="200">
        <v>126817.49853151062</v>
      </c>
      <c r="W45" s="200">
        <v>4294.1892907308356</v>
      </c>
      <c r="X45" s="200"/>
      <c r="Y45" s="200"/>
      <c r="Z45" s="200">
        <v>4294.1892907308384</v>
      </c>
      <c r="AA45" s="200">
        <v>28783.788869667962</v>
      </c>
      <c r="AB45" s="126">
        <v>3159.3736835579921</v>
      </c>
      <c r="AC45" s="200">
        <v>1134.815607172847</v>
      </c>
      <c r="AD45" s="125"/>
    </row>
    <row r="46" spans="1:34" ht="6" customHeight="1" thickBot="1" x14ac:dyDescent="0.3">
      <c r="A46" s="121"/>
      <c r="B46" s="121"/>
      <c r="C46" s="121"/>
      <c r="D46" s="1"/>
      <c r="E46" s="1"/>
      <c r="F46" s="1"/>
      <c r="G46" s="53"/>
      <c r="H46" s="53"/>
      <c r="I46" s="22"/>
      <c r="J46" s="47"/>
      <c r="K46" s="47"/>
      <c r="L46" s="47"/>
      <c r="M46" s="47"/>
      <c r="N46" s="47"/>
      <c r="O46" s="47"/>
      <c r="P46" s="47"/>
      <c r="Q46" s="47"/>
      <c r="R46" s="47"/>
      <c r="S46" s="47"/>
      <c r="T46" s="47"/>
      <c r="U46" s="47"/>
      <c r="V46" s="57"/>
      <c r="W46" s="57"/>
      <c r="X46" s="57"/>
      <c r="Y46" s="57"/>
      <c r="Z46" s="57"/>
      <c r="AA46" s="22"/>
      <c r="AB46" s="57"/>
      <c r="AC46" s="22"/>
      <c r="AD46" s="125"/>
    </row>
    <row r="47" spans="1:34" ht="6" customHeight="1" thickTop="1" x14ac:dyDescent="0.25">
      <c r="D47" s="119"/>
      <c r="E47" s="119"/>
      <c r="F47" s="119"/>
      <c r="G47" s="54"/>
      <c r="H47" s="54"/>
      <c r="I47" s="19"/>
      <c r="J47" s="42"/>
      <c r="K47" s="42"/>
      <c r="L47" s="42"/>
      <c r="M47" s="42"/>
      <c r="N47" s="42"/>
      <c r="O47" s="42"/>
      <c r="P47" s="42"/>
      <c r="Q47" s="42"/>
      <c r="R47" s="42"/>
      <c r="S47" s="42"/>
      <c r="T47" s="42"/>
      <c r="U47" s="42"/>
      <c r="V47" s="28"/>
      <c r="W47" s="90"/>
      <c r="X47" s="90"/>
      <c r="Y47" s="90"/>
      <c r="Z47" s="90"/>
      <c r="AA47" s="19"/>
      <c r="AB47" s="28"/>
      <c r="AC47" s="19"/>
      <c r="AD47" s="125"/>
    </row>
    <row r="48" spans="1:34" x14ac:dyDescent="0.25">
      <c r="D48" s="119" t="s">
        <v>23</v>
      </c>
      <c r="E48" s="119"/>
      <c r="F48" s="119"/>
      <c r="G48" s="54"/>
      <c r="H48" s="54"/>
      <c r="I48" s="19"/>
      <c r="J48" s="42"/>
      <c r="K48" s="42"/>
      <c r="L48" s="42"/>
      <c r="M48" s="42"/>
      <c r="N48" s="42"/>
      <c r="O48" s="42"/>
      <c r="P48" s="42"/>
      <c r="Q48" s="42"/>
      <c r="R48" s="42"/>
      <c r="S48" s="42"/>
      <c r="T48" s="42"/>
      <c r="U48" s="42"/>
      <c r="V48" s="28"/>
      <c r="W48" s="28"/>
      <c r="X48" s="28"/>
      <c r="Y48" s="28"/>
      <c r="Z48" s="28"/>
      <c r="AA48" s="19"/>
      <c r="AB48" s="28"/>
      <c r="AC48" s="19"/>
      <c r="AD48" s="125"/>
    </row>
    <row r="49" spans="1:30" x14ac:dyDescent="0.25">
      <c r="D49" s="202" t="s">
        <v>133</v>
      </c>
      <c r="E49" s="10" t="s">
        <v>102</v>
      </c>
      <c r="F49" s="119"/>
      <c r="G49" s="55"/>
      <c r="H49" s="54"/>
      <c r="I49" s="19"/>
      <c r="J49" s="42"/>
      <c r="K49" s="42"/>
      <c r="L49" s="42"/>
      <c r="M49" s="42"/>
      <c r="N49" s="42"/>
      <c r="O49" s="42"/>
      <c r="P49" s="42"/>
      <c r="Q49" s="42"/>
      <c r="R49" s="42"/>
      <c r="S49" s="42"/>
      <c r="T49" s="42"/>
      <c r="U49" s="42"/>
      <c r="V49" s="28"/>
      <c r="W49" s="28"/>
      <c r="X49" s="28"/>
      <c r="Y49" s="28"/>
      <c r="Z49" s="28"/>
      <c r="AA49" s="19"/>
      <c r="AB49" s="28"/>
      <c r="AC49" s="19"/>
      <c r="AD49" s="125"/>
    </row>
    <row r="50" spans="1:30" x14ac:dyDescent="0.25">
      <c r="D50" s="202" t="s">
        <v>134</v>
      </c>
      <c r="E50" s="10" t="s">
        <v>49</v>
      </c>
      <c r="F50" s="119"/>
      <c r="G50" s="54"/>
      <c r="H50" s="54"/>
      <c r="I50" s="19"/>
      <c r="J50" s="42"/>
      <c r="K50" s="42"/>
      <c r="L50" s="42"/>
      <c r="M50" s="42"/>
      <c r="N50" s="42"/>
      <c r="O50" s="42"/>
      <c r="P50" s="42"/>
      <c r="Q50" s="42"/>
      <c r="R50" s="42"/>
      <c r="S50" s="42"/>
      <c r="T50" s="42"/>
      <c r="U50" s="42"/>
      <c r="V50" s="28"/>
      <c r="W50" s="90"/>
      <c r="X50" s="90"/>
      <c r="Y50" s="90"/>
      <c r="Z50" s="90"/>
      <c r="AA50" s="19"/>
      <c r="AB50" s="28"/>
      <c r="AC50" s="19"/>
      <c r="AD50" s="125"/>
    </row>
    <row r="51" spans="1:30" x14ac:dyDescent="0.25">
      <c r="D51" s="202" t="s">
        <v>135</v>
      </c>
      <c r="E51" s="10" t="s">
        <v>103</v>
      </c>
      <c r="F51" s="119"/>
      <c r="G51" s="54"/>
      <c r="H51" s="54"/>
      <c r="I51" s="19"/>
      <c r="J51" s="42"/>
      <c r="K51" s="42"/>
      <c r="L51" s="42"/>
      <c r="M51" s="42"/>
      <c r="N51" s="42"/>
      <c r="O51" s="42"/>
      <c r="P51" s="42"/>
      <c r="Q51" s="42"/>
      <c r="R51" s="42"/>
      <c r="S51" s="42"/>
      <c r="T51" s="42"/>
      <c r="U51" s="42"/>
      <c r="V51" s="28"/>
      <c r="W51" s="90"/>
      <c r="X51" s="90"/>
      <c r="Y51" s="90"/>
      <c r="Z51" s="90"/>
      <c r="AA51" s="19"/>
      <c r="AB51" s="28"/>
      <c r="AC51" s="19"/>
      <c r="AD51" s="125"/>
    </row>
    <row r="52" spans="1:30" s="14" customFormat="1" x14ac:dyDescent="0.25">
      <c r="A52" s="118"/>
      <c r="B52" s="118"/>
      <c r="C52" s="118"/>
      <c r="D52" s="202" t="s">
        <v>136</v>
      </c>
      <c r="E52" s="10" t="s">
        <v>141</v>
      </c>
      <c r="F52" s="10"/>
      <c r="G52" s="203"/>
      <c r="H52" s="203"/>
      <c r="I52" s="28"/>
      <c r="J52" s="67"/>
      <c r="K52" s="67"/>
      <c r="L52" s="67"/>
      <c r="M52" s="67"/>
      <c r="N52" s="67"/>
      <c r="O52" s="67"/>
      <c r="P52" s="67"/>
      <c r="Q52" s="67"/>
      <c r="R52" s="67"/>
      <c r="S52" s="67"/>
      <c r="T52" s="67"/>
      <c r="U52" s="67"/>
      <c r="V52" s="28"/>
      <c r="W52" s="28"/>
      <c r="X52" s="28"/>
      <c r="Y52" s="28"/>
      <c r="Z52" s="28"/>
      <c r="AA52" s="28"/>
      <c r="AB52" s="28"/>
      <c r="AC52" s="28"/>
      <c r="AD52" s="125"/>
    </row>
    <row r="53" spans="1:30" s="14" customFormat="1" x14ac:dyDescent="0.25">
      <c r="A53" s="118"/>
      <c r="B53" s="118"/>
      <c r="C53" s="118"/>
      <c r="D53" s="202" t="s">
        <v>137</v>
      </c>
      <c r="E53" s="10" t="s">
        <v>150</v>
      </c>
      <c r="F53" s="10"/>
      <c r="G53" s="203"/>
      <c r="H53" s="203"/>
      <c r="I53" s="28"/>
      <c r="J53" s="67"/>
      <c r="K53" s="67"/>
      <c r="L53" s="67"/>
      <c r="M53" s="67"/>
      <c r="N53" s="67"/>
      <c r="O53" s="67"/>
      <c r="P53" s="67"/>
      <c r="Q53" s="67"/>
      <c r="R53" s="67"/>
      <c r="S53" s="67"/>
      <c r="T53" s="67"/>
      <c r="U53" s="67"/>
      <c r="V53" s="28"/>
      <c r="W53" s="28"/>
      <c r="X53" s="28"/>
      <c r="Y53" s="28"/>
      <c r="Z53" s="28"/>
      <c r="AA53" s="28"/>
      <c r="AB53" s="28"/>
      <c r="AC53" s="28"/>
      <c r="AD53" s="125"/>
    </row>
    <row r="54" spans="1:30" s="14" customFormat="1" x14ac:dyDescent="0.25">
      <c r="A54" s="118"/>
      <c r="B54" s="118"/>
      <c r="C54" s="118"/>
      <c r="D54" s="202" t="s">
        <v>138</v>
      </c>
      <c r="E54" s="10" t="s">
        <v>151</v>
      </c>
      <c r="F54" s="10"/>
      <c r="G54" s="203"/>
      <c r="H54" s="203"/>
      <c r="I54" s="28"/>
      <c r="J54" s="67"/>
      <c r="K54" s="67"/>
      <c r="L54" s="67"/>
      <c r="M54" s="67"/>
      <c r="N54" s="67"/>
      <c r="O54" s="67"/>
      <c r="P54" s="67"/>
      <c r="Q54" s="67"/>
      <c r="R54" s="67"/>
      <c r="S54" s="67"/>
      <c r="T54" s="67"/>
      <c r="U54" s="67"/>
      <c r="V54" s="28"/>
      <c r="W54" s="28"/>
      <c r="X54" s="28"/>
      <c r="Y54" s="28"/>
      <c r="Z54" s="28"/>
      <c r="AA54" s="28"/>
      <c r="AB54" s="28"/>
      <c r="AC54" s="28"/>
      <c r="AD54" s="125"/>
    </row>
    <row r="55" spans="1:30" x14ac:dyDescent="0.25">
      <c r="D55" s="202" t="s">
        <v>139</v>
      </c>
      <c r="E55" s="10" t="s">
        <v>152</v>
      </c>
      <c r="F55" s="119"/>
      <c r="G55" s="54"/>
      <c r="H55" s="54"/>
      <c r="I55" s="19"/>
      <c r="J55" s="42"/>
      <c r="K55" s="42"/>
      <c r="L55" s="42"/>
      <c r="M55" s="42"/>
      <c r="N55" s="42"/>
      <c r="O55" s="42"/>
      <c r="P55" s="42"/>
      <c r="Q55" s="42"/>
      <c r="R55" s="42"/>
      <c r="S55" s="42"/>
      <c r="T55" s="42"/>
      <c r="U55" s="42"/>
      <c r="V55" s="28"/>
      <c r="W55" s="28"/>
      <c r="X55" s="28"/>
      <c r="Y55" s="28"/>
      <c r="Z55" s="28"/>
      <c r="AA55" s="19"/>
      <c r="AB55" s="28"/>
      <c r="AC55" s="19"/>
      <c r="AD55" s="125"/>
    </row>
    <row r="56" spans="1:30" x14ac:dyDescent="0.25">
      <c r="D56" s="202" t="s">
        <v>140</v>
      </c>
      <c r="E56" s="10" t="s">
        <v>153</v>
      </c>
      <c r="F56" s="119"/>
      <c r="G56" s="54"/>
      <c r="H56" s="10"/>
      <c r="I56" s="19"/>
      <c r="J56" s="42"/>
      <c r="K56" s="42"/>
      <c r="L56" s="42"/>
      <c r="M56" s="42"/>
      <c r="N56" s="42"/>
      <c r="O56" s="42"/>
      <c r="P56" s="42"/>
      <c r="Q56" s="42"/>
      <c r="R56" s="42"/>
      <c r="S56" s="42"/>
      <c r="T56" s="42"/>
      <c r="U56" s="42"/>
      <c r="V56" s="28"/>
      <c r="W56" s="28"/>
      <c r="X56" s="28"/>
      <c r="Y56" s="28"/>
      <c r="Z56" s="28"/>
      <c r="AA56" s="19"/>
      <c r="AB56" s="28"/>
      <c r="AC56" s="19"/>
      <c r="AD56" s="125"/>
    </row>
    <row r="57" spans="1:30" x14ac:dyDescent="0.25">
      <c r="D57" s="202" t="s">
        <v>146</v>
      </c>
      <c r="E57" s="119" t="s">
        <v>154</v>
      </c>
      <c r="F57" s="119"/>
      <c r="G57" s="54"/>
      <c r="H57" s="54"/>
      <c r="I57" s="19"/>
      <c r="J57" s="42"/>
      <c r="K57" s="42"/>
      <c r="L57" s="42"/>
      <c r="M57" s="42"/>
      <c r="N57" s="42"/>
      <c r="O57" s="42"/>
      <c r="P57" s="42"/>
      <c r="Q57" s="42"/>
      <c r="R57" s="42"/>
      <c r="S57" s="42"/>
      <c r="T57" s="42"/>
      <c r="U57" s="42"/>
      <c r="V57" s="28"/>
      <c r="W57" s="28"/>
      <c r="X57" s="28"/>
      <c r="Y57" s="28"/>
      <c r="Z57" s="28"/>
      <c r="AA57" s="19"/>
      <c r="AB57" s="28"/>
      <c r="AC57" s="19"/>
      <c r="AD57" s="125"/>
    </row>
    <row r="58" spans="1:30" x14ac:dyDescent="0.25">
      <c r="D58" s="204" t="s">
        <v>147</v>
      </c>
      <c r="E58" s="10" t="s">
        <v>54</v>
      </c>
      <c r="F58" s="10"/>
      <c r="G58" s="203"/>
      <c r="H58" s="203"/>
      <c r="I58" s="28"/>
      <c r="J58" s="67"/>
      <c r="K58" s="67"/>
      <c r="L58" s="67"/>
      <c r="M58" s="67"/>
      <c r="N58" s="67"/>
      <c r="O58" s="67"/>
      <c r="P58" s="67"/>
      <c r="Q58" s="67"/>
      <c r="R58" s="67"/>
      <c r="S58" s="67"/>
      <c r="T58" s="67"/>
      <c r="U58" s="67"/>
      <c r="V58" s="28"/>
      <c r="W58" s="28"/>
      <c r="X58" s="28"/>
      <c r="Y58" s="28"/>
      <c r="Z58" s="28"/>
      <c r="AA58" s="19"/>
      <c r="AB58" s="28"/>
      <c r="AC58" s="19"/>
      <c r="AD58" s="125"/>
    </row>
    <row r="59" spans="1:30" x14ac:dyDescent="0.25">
      <c r="D59" s="205" t="s">
        <v>148</v>
      </c>
      <c r="E59" s="10" t="s">
        <v>155</v>
      </c>
      <c r="F59" s="10"/>
      <c r="G59" s="203"/>
      <c r="H59" s="203"/>
      <c r="I59" s="28"/>
      <c r="J59" s="67"/>
      <c r="K59" s="67"/>
      <c r="L59" s="67"/>
      <c r="M59" s="67"/>
      <c r="N59" s="67"/>
      <c r="O59" s="67"/>
      <c r="P59" s="67"/>
      <c r="Q59" s="67"/>
      <c r="R59" s="67"/>
      <c r="S59" s="67"/>
      <c r="T59" s="67"/>
      <c r="U59" s="67"/>
      <c r="V59" s="28"/>
      <c r="W59" s="28"/>
      <c r="X59" s="28"/>
      <c r="Y59" s="28"/>
      <c r="Z59" s="28"/>
      <c r="AA59" s="19"/>
      <c r="AB59" s="28"/>
      <c r="AC59" s="19"/>
      <c r="AD59" s="125"/>
    </row>
    <row r="60" spans="1:30" x14ac:dyDescent="0.25">
      <c r="D60" s="205" t="s">
        <v>149</v>
      </c>
      <c r="E60" s="10" t="s">
        <v>156</v>
      </c>
      <c r="F60" s="10"/>
      <c r="G60" s="203"/>
      <c r="H60" s="203"/>
      <c r="I60" s="28"/>
      <c r="J60" s="67"/>
      <c r="K60" s="67"/>
      <c r="L60" s="67"/>
      <c r="M60" s="67"/>
      <c r="N60" s="67"/>
      <c r="O60" s="67"/>
      <c r="P60" s="67"/>
      <c r="Q60" s="67"/>
      <c r="R60" s="67"/>
      <c r="S60" s="67"/>
      <c r="T60" s="67"/>
      <c r="U60" s="67"/>
      <c r="V60" s="28"/>
      <c r="W60" s="28"/>
      <c r="X60" s="28"/>
      <c r="Y60" s="28"/>
      <c r="Z60" s="28"/>
      <c r="AA60" s="19"/>
      <c r="AB60" s="28"/>
      <c r="AC60" s="19"/>
      <c r="AD60" s="125"/>
    </row>
    <row r="61" spans="1:30" x14ac:dyDescent="0.25">
      <c r="D61" s="10"/>
      <c r="E61" s="10"/>
      <c r="F61" s="10"/>
      <c r="G61" s="203"/>
      <c r="H61" s="203"/>
      <c r="I61" s="28"/>
      <c r="J61" s="67"/>
      <c r="K61" s="67"/>
      <c r="L61" s="67"/>
      <c r="M61" s="67"/>
      <c r="N61" s="67"/>
      <c r="O61" s="67"/>
      <c r="P61" s="67"/>
      <c r="Q61" s="67"/>
      <c r="R61" s="67"/>
      <c r="S61" s="67"/>
      <c r="T61" s="67"/>
      <c r="U61" s="67"/>
      <c r="V61" s="28"/>
      <c r="W61" s="28"/>
      <c r="X61" s="28"/>
      <c r="Y61" s="28"/>
      <c r="Z61" s="28"/>
      <c r="AA61" s="19"/>
      <c r="AB61" s="28"/>
      <c r="AC61" s="19"/>
      <c r="AD61" s="125"/>
    </row>
    <row r="62" spans="1:30" x14ac:dyDescent="0.25">
      <c r="D62" s="14"/>
      <c r="E62" s="14"/>
      <c r="F62" s="10"/>
      <c r="G62" s="56"/>
      <c r="H62" s="56"/>
      <c r="I62" s="26"/>
      <c r="J62" s="49"/>
      <c r="K62" s="49"/>
      <c r="L62" s="49"/>
      <c r="M62" s="49"/>
      <c r="N62" s="49"/>
      <c r="O62" s="49"/>
      <c r="P62" s="49"/>
      <c r="Q62" s="49"/>
      <c r="R62" s="49"/>
      <c r="S62" s="49"/>
      <c r="T62" s="49"/>
      <c r="U62" s="49"/>
    </row>
    <row r="63" spans="1:30" x14ac:dyDescent="0.25">
      <c r="D63" s="14"/>
      <c r="E63" s="14"/>
      <c r="F63" s="14"/>
      <c r="G63" s="56"/>
      <c r="H63" s="56"/>
      <c r="I63" s="26"/>
      <c r="J63" s="49"/>
      <c r="K63" s="49"/>
      <c r="L63" s="49"/>
      <c r="M63" s="49"/>
      <c r="N63" s="49"/>
      <c r="O63" s="49"/>
      <c r="P63" s="49"/>
      <c r="Q63" s="49"/>
      <c r="R63" s="49"/>
      <c r="S63" s="49"/>
      <c r="T63" s="49"/>
      <c r="U63" s="49"/>
    </row>
    <row r="64" spans="1:30" x14ac:dyDescent="0.25">
      <c r="D64" s="14"/>
      <c r="E64" s="14"/>
      <c r="F64" s="14"/>
      <c r="G64" s="56"/>
      <c r="H64" s="56"/>
      <c r="I64" s="26"/>
      <c r="J64" s="49"/>
      <c r="K64" s="49"/>
      <c r="L64" s="49"/>
      <c r="M64" s="49"/>
      <c r="N64" s="49"/>
      <c r="O64" s="49"/>
      <c r="P64" s="49"/>
      <c r="Q64" s="49"/>
      <c r="R64" s="49"/>
      <c r="S64" s="49"/>
      <c r="T64" s="49"/>
      <c r="U64" s="49"/>
    </row>
    <row r="65" spans="4:21" x14ac:dyDescent="0.25">
      <c r="D65" s="14"/>
      <c r="E65" s="14"/>
      <c r="F65" s="14"/>
      <c r="G65" s="56"/>
      <c r="H65" s="56"/>
      <c r="I65" s="26"/>
      <c r="J65" s="49"/>
      <c r="K65" s="49"/>
      <c r="L65" s="49"/>
      <c r="M65" s="49"/>
      <c r="N65" s="49"/>
      <c r="O65" s="49"/>
      <c r="P65" s="49"/>
      <c r="Q65" s="49"/>
      <c r="R65" s="49"/>
      <c r="S65" s="49"/>
      <c r="T65" s="49"/>
      <c r="U65" s="49"/>
    </row>
    <row r="66" spans="4:21" x14ac:dyDescent="0.25">
      <c r="D66" s="14"/>
      <c r="E66" s="14"/>
      <c r="F66" s="14"/>
      <c r="G66" s="56"/>
      <c r="H66" s="56"/>
      <c r="I66" s="26"/>
      <c r="J66" s="49"/>
      <c r="K66" s="49"/>
      <c r="L66" s="49"/>
      <c r="M66" s="49"/>
      <c r="N66" s="49"/>
      <c r="O66" s="49"/>
      <c r="P66" s="49"/>
      <c r="Q66" s="49"/>
      <c r="R66" s="49"/>
      <c r="S66" s="49"/>
      <c r="T66" s="49"/>
      <c r="U66" s="49"/>
    </row>
    <row r="67" spans="4:21" x14ac:dyDescent="0.25">
      <c r="D67" s="14"/>
      <c r="E67" s="14"/>
      <c r="F67" s="14"/>
      <c r="G67" s="56"/>
      <c r="H67" s="56"/>
      <c r="I67" s="26"/>
      <c r="J67" s="49"/>
      <c r="K67" s="49"/>
      <c r="L67" s="49"/>
      <c r="M67" s="49"/>
      <c r="N67" s="49"/>
      <c r="O67" s="49"/>
      <c r="P67" s="49"/>
      <c r="Q67" s="49"/>
      <c r="R67" s="49"/>
      <c r="S67" s="49"/>
      <c r="T67" s="49"/>
      <c r="U67" s="49"/>
    </row>
    <row r="68" spans="4:21" x14ac:dyDescent="0.25">
      <c r="D68" s="14"/>
      <c r="E68" s="14"/>
      <c r="F68" s="14"/>
      <c r="G68" s="56"/>
      <c r="H68" s="56"/>
      <c r="I68" s="26"/>
      <c r="J68" s="49"/>
      <c r="K68" s="49"/>
      <c r="L68" s="49"/>
      <c r="M68" s="49"/>
      <c r="N68" s="49"/>
      <c r="O68" s="49"/>
      <c r="P68" s="49"/>
      <c r="Q68" s="49"/>
      <c r="R68" s="49"/>
      <c r="S68" s="49"/>
      <c r="T68" s="49"/>
      <c r="U68" s="49"/>
    </row>
    <row r="69" spans="4:21" x14ac:dyDescent="0.25">
      <c r="D69" s="14"/>
      <c r="E69" s="14"/>
      <c r="F69" s="14"/>
      <c r="G69" s="56"/>
      <c r="H69" s="56"/>
      <c r="I69" s="26"/>
      <c r="J69" s="49"/>
      <c r="K69" s="49"/>
      <c r="L69" s="49"/>
      <c r="M69" s="49"/>
      <c r="N69" s="49"/>
      <c r="O69" s="49"/>
      <c r="P69" s="49"/>
      <c r="Q69" s="49"/>
      <c r="R69" s="49"/>
      <c r="S69" s="49"/>
      <c r="T69" s="49"/>
      <c r="U69" s="49"/>
    </row>
    <row r="70" spans="4:21" x14ac:dyDescent="0.25">
      <c r="D70" s="14"/>
      <c r="E70" s="14"/>
      <c r="F70" s="14"/>
      <c r="G70" s="56"/>
      <c r="H70" s="56"/>
      <c r="I70" s="26"/>
      <c r="J70" s="49"/>
      <c r="K70" s="49"/>
      <c r="L70" s="49"/>
      <c r="M70" s="49"/>
      <c r="N70" s="49"/>
      <c r="O70" s="49"/>
      <c r="P70" s="49"/>
      <c r="Q70" s="49"/>
      <c r="R70" s="49"/>
      <c r="S70" s="49"/>
      <c r="T70" s="49"/>
      <c r="U70" s="49"/>
    </row>
    <row r="71" spans="4:21" x14ac:dyDescent="0.25">
      <c r="D71" s="14"/>
      <c r="E71" s="14"/>
      <c r="F71" s="14"/>
      <c r="G71" s="56"/>
      <c r="H71" s="56"/>
      <c r="I71" s="26"/>
      <c r="J71" s="49"/>
      <c r="K71" s="49"/>
      <c r="L71" s="49"/>
      <c r="M71" s="49"/>
      <c r="N71" s="49"/>
      <c r="O71" s="49"/>
      <c r="P71" s="49"/>
      <c r="Q71" s="49"/>
      <c r="R71" s="49"/>
      <c r="S71" s="49"/>
      <c r="T71" s="49"/>
      <c r="U71" s="49"/>
    </row>
    <row r="72" spans="4:21" x14ac:dyDescent="0.25">
      <c r="F72" s="14"/>
      <c r="G72" s="56"/>
      <c r="H72" s="56"/>
      <c r="I72" s="26"/>
      <c r="J72" s="49"/>
      <c r="K72" s="49"/>
      <c r="L72" s="49"/>
      <c r="M72" s="49"/>
      <c r="N72" s="49"/>
      <c r="O72" s="49"/>
      <c r="P72" s="49"/>
      <c r="Q72" s="49"/>
      <c r="R72" s="49"/>
      <c r="S72" s="49"/>
      <c r="T72" s="49"/>
      <c r="U72" s="49"/>
    </row>
    <row r="73" spans="4:21" x14ac:dyDescent="0.25">
      <c r="F73" s="14"/>
      <c r="G73" s="56"/>
      <c r="H73" s="56"/>
      <c r="I73" s="26"/>
      <c r="J73" s="49"/>
      <c r="K73" s="49"/>
      <c r="L73" s="49"/>
      <c r="M73" s="49"/>
      <c r="N73" s="49"/>
      <c r="O73" s="49"/>
      <c r="P73" s="49"/>
      <c r="Q73" s="49"/>
      <c r="R73" s="49"/>
      <c r="S73" s="49"/>
      <c r="T73" s="49"/>
      <c r="U73" s="49"/>
    </row>
    <row r="74" spans="4:21" x14ac:dyDescent="0.25">
      <c r="F74" s="14"/>
      <c r="G74" s="56"/>
      <c r="H74" s="56"/>
      <c r="I74" s="26"/>
      <c r="J74" s="49"/>
      <c r="K74" s="49"/>
      <c r="L74" s="49"/>
      <c r="M74" s="49"/>
      <c r="N74" s="49"/>
      <c r="O74" s="49"/>
      <c r="P74" s="49"/>
      <c r="Q74" s="49"/>
      <c r="R74" s="49"/>
      <c r="S74" s="49"/>
      <c r="T74" s="49"/>
      <c r="U74" s="49"/>
    </row>
    <row r="75" spans="4:21" x14ac:dyDescent="0.25">
      <c r="F75" s="14"/>
      <c r="G75" s="56"/>
      <c r="H75" s="56"/>
      <c r="I75" s="26"/>
      <c r="J75" s="49"/>
      <c r="K75" s="49"/>
      <c r="L75" s="49"/>
      <c r="M75" s="49"/>
      <c r="N75" s="49"/>
      <c r="O75" s="49"/>
      <c r="P75" s="49"/>
      <c r="Q75" s="49"/>
      <c r="R75" s="49"/>
      <c r="S75" s="49"/>
      <c r="T75" s="49"/>
      <c r="U75" s="49"/>
    </row>
    <row r="76" spans="4:21" x14ac:dyDescent="0.25">
      <c r="F76" s="14"/>
      <c r="G76" s="56"/>
      <c r="H76" s="56"/>
      <c r="I76" s="26"/>
      <c r="J76" s="49"/>
      <c r="K76" s="49"/>
      <c r="L76" s="49"/>
      <c r="M76" s="49"/>
      <c r="N76" s="49"/>
      <c r="O76" s="49"/>
      <c r="P76" s="49"/>
      <c r="Q76" s="49"/>
      <c r="R76" s="49"/>
      <c r="S76" s="49"/>
      <c r="T76" s="49"/>
      <c r="U76" s="49"/>
    </row>
    <row r="77" spans="4:21" x14ac:dyDescent="0.25">
      <c r="F77" s="14"/>
      <c r="G77" s="56"/>
      <c r="H77" s="56"/>
      <c r="I77" s="26"/>
      <c r="J77" s="49"/>
      <c r="K77" s="49"/>
      <c r="L77" s="49"/>
      <c r="M77" s="49"/>
      <c r="N77" s="49"/>
      <c r="O77" s="49"/>
      <c r="P77" s="49"/>
      <c r="Q77" s="49"/>
      <c r="R77" s="49"/>
      <c r="S77" s="49"/>
      <c r="T77" s="49"/>
      <c r="U77" s="49"/>
    </row>
    <row r="78" spans="4:21" x14ac:dyDescent="0.25">
      <c r="F78" s="14"/>
      <c r="G78" s="56"/>
      <c r="H78" s="56"/>
      <c r="I78" s="26"/>
      <c r="J78" s="49"/>
      <c r="K78" s="49"/>
      <c r="L78" s="49"/>
      <c r="M78" s="49"/>
      <c r="N78" s="49"/>
      <c r="O78" s="49"/>
      <c r="P78" s="49"/>
      <c r="Q78" s="49"/>
      <c r="R78" s="49"/>
      <c r="S78" s="49"/>
      <c r="T78" s="49"/>
      <c r="U78" s="49"/>
    </row>
    <row r="79" spans="4:21" x14ac:dyDescent="0.25">
      <c r="F79" s="14"/>
      <c r="G79" s="56"/>
      <c r="H79" s="56"/>
      <c r="I79" s="26"/>
      <c r="J79" s="49"/>
      <c r="K79" s="49"/>
      <c r="L79" s="49"/>
      <c r="M79" s="49"/>
      <c r="N79" s="49"/>
      <c r="O79" s="49"/>
      <c r="P79" s="49"/>
      <c r="Q79" s="49"/>
      <c r="R79" s="49"/>
      <c r="S79" s="49"/>
      <c r="T79" s="49"/>
      <c r="U79" s="49"/>
    </row>
    <row r="80" spans="4:21" x14ac:dyDescent="0.25">
      <c r="F80" s="14"/>
      <c r="G80" s="56"/>
      <c r="H80" s="56"/>
      <c r="I80" s="26"/>
      <c r="J80" s="49"/>
      <c r="K80" s="49"/>
      <c r="L80" s="49"/>
      <c r="M80" s="49"/>
      <c r="N80" s="49"/>
      <c r="O80" s="49"/>
      <c r="P80" s="49"/>
      <c r="Q80" s="49"/>
      <c r="R80" s="49"/>
      <c r="S80" s="49"/>
      <c r="T80" s="49"/>
      <c r="U80" s="49"/>
    </row>
    <row r="81" spans="6:21" x14ac:dyDescent="0.25">
      <c r="F81" s="14"/>
      <c r="G81" s="56"/>
      <c r="H81" s="56"/>
      <c r="I81" s="26"/>
      <c r="J81" s="49"/>
      <c r="K81" s="49"/>
      <c r="L81" s="49"/>
      <c r="M81" s="49"/>
      <c r="N81" s="49"/>
      <c r="O81" s="49"/>
      <c r="P81" s="49"/>
      <c r="Q81" s="49"/>
      <c r="R81" s="49"/>
      <c r="S81" s="49"/>
      <c r="T81" s="49"/>
      <c r="U81" s="49"/>
    </row>
  </sheetData>
  <conditionalFormatting sqref="D4:AC10 D34:AC35 E11:X33 D46:AC47 E36:AC45 Z11:AC33">
    <cfRule type="cellIs" dxfId="3" priority="2" operator="lessThan">
      <formula>0</formula>
    </cfRule>
  </conditionalFormatting>
  <conditionalFormatting sqref="Y34:Y36">
    <cfRule type="expression" dxfId="2" priority="1">
      <formula>NOT(Y34&lt;=AA34)</formula>
    </cfRule>
  </conditionalFormatting>
  <printOptions horizontalCentered="1" verticalCentered="1"/>
  <pageMargins left="0.7" right="0.7" top="0.75" bottom="0.75" header="0.3" footer="0.3"/>
  <pageSetup scale="49" orientation="landscape" horizontalDpi="1200" verticalDpi="1200" r:id="rId1"/>
  <headerFooter scaleWithDoc="0">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81"/>
  <sheetViews>
    <sheetView topLeftCell="D2" zoomScale="80" zoomScaleNormal="80" workbookViewId="0">
      <selection activeCell="D2" sqref="D2"/>
    </sheetView>
  </sheetViews>
  <sheetFormatPr defaultColWidth="9.140625" defaultRowHeight="15.75" outlineLevelRow="1" outlineLevelCol="1" x14ac:dyDescent="0.25"/>
  <cols>
    <col min="1" max="1" width="38.42578125" style="6" hidden="1" customWidth="1" outlineLevel="1"/>
    <col min="2" max="2" width="14.42578125" style="118" hidden="1" customWidth="1" outlineLevel="1"/>
    <col min="3" max="3" width="14" style="118" hidden="1" customWidth="1" outlineLevel="1"/>
    <col min="4" max="4" width="7.5703125" style="4" customWidth="1" collapsed="1"/>
    <col min="5" max="5" width="40.5703125" style="18" customWidth="1"/>
    <col min="6" max="6" width="11.42578125" style="4" bestFit="1" customWidth="1"/>
    <col min="7" max="7" width="13.85546875" style="52" customWidth="1"/>
    <col min="8" max="8" width="15.140625" style="52" customWidth="1"/>
    <col min="9" max="9" width="12.5703125" style="20" customWidth="1"/>
    <col min="10" max="18" width="8.140625" style="38" hidden="1" customWidth="1" outlineLevel="1"/>
    <col min="19" max="19" width="11.42578125" style="38" hidden="1" customWidth="1" outlineLevel="1"/>
    <col min="20" max="20" width="11.5703125" style="38" hidden="1" customWidth="1" outlineLevel="1"/>
    <col min="21" max="21" width="13" style="38" bestFit="1" customWidth="1" collapsed="1"/>
    <col min="22" max="22" width="12.42578125" style="26" hidden="1" customWidth="1" outlineLevel="1"/>
    <col min="23" max="23" width="17.42578125" style="26" customWidth="1" collapsed="1"/>
    <col min="24" max="24" width="19.140625" style="26" hidden="1" customWidth="1" outlineLevel="1"/>
    <col min="25" max="25" width="17.42578125" style="26" customWidth="1" collapsed="1"/>
    <col min="26" max="26" width="17.28515625" style="26" customWidth="1"/>
    <col min="27" max="27" width="13.140625" style="20" customWidth="1"/>
    <col min="28" max="28" width="20.5703125" style="26" customWidth="1"/>
    <col min="29" max="29" width="22.5703125" style="20" customWidth="1"/>
    <col min="30" max="30" width="20.42578125" customWidth="1"/>
    <col min="31" max="33" width="9.140625" style="18" customWidth="1"/>
    <col min="34" max="16384" width="9.140625" style="4"/>
  </cols>
  <sheetData>
    <row r="1" spans="1:36" s="59" customFormat="1" hidden="1" outlineLevel="1" x14ac:dyDescent="0.25">
      <c r="B1" s="128"/>
      <c r="C1" s="128"/>
      <c r="G1" s="63">
        <v>1</v>
      </c>
      <c r="H1" s="61">
        <v>2</v>
      </c>
      <c r="I1" s="62">
        <v>3</v>
      </c>
      <c r="J1" s="60"/>
      <c r="K1" s="60"/>
      <c r="L1" s="60"/>
      <c r="M1" s="60"/>
      <c r="N1" s="60"/>
      <c r="O1" s="60"/>
      <c r="P1" s="60"/>
      <c r="Q1" s="60"/>
      <c r="R1" s="60"/>
      <c r="S1" s="60"/>
      <c r="T1" s="60"/>
      <c r="U1" s="61">
        <v>4</v>
      </c>
      <c r="V1" s="62">
        <v>5</v>
      </c>
      <c r="W1" s="62">
        <v>6</v>
      </c>
      <c r="X1" s="62">
        <v>7</v>
      </c>
      <c r="Y1" s="62">
        <v>8</v>
      </c>
      <c r="Z1" s="62">
        <v>9</v>
      </c>
      <c r="AA1" s="62">
        <v>10</v>
      </c>
      <c r="AB1" s="62">
        <v>11</v>
      </c>
      <c r="AC1" s="62">
        <v>12</v>
      </c>
      <c r="AD1" s="96"/>
    </row>
    <row r="2" spans="1:36" collapsed="1" x14ac:dyDescent="0.25">
      <c r="D2" s="119"/>
      <c r="E2" s="119"/>
      <c r="F2" s="119"/>
      <c r="G2" s="54"/>
      <c r="H2" s="54"/>
      <c r="I2" s="19"/>
      <c r="J2" s="42"/>
      <c r="K2" s="42"/>
      <c r="L2" s="42"/>
      <c r="M2" s="42"/>
      <c r="N2" s="42"/>
      <c r="O2" s="42"/>
      <c r="P2" s="42"/>
      <c r="Q2" s="42"/>
      <c r="R2" s="42"/>
      <c r="S2" s="42"/>
      <c r="T2" s="42"/>
      <c r="U2" s="42"/>
      <c r="V2" s="28"/>
      <c r="W2" s="28"/>
      <c r="X2" s="28"/>
      <c r="Y2" s="28"/>
      <c r="Z2" s="28"/>
      <c r="AA2" s="19"/>
      <c r="AB2" s="28"/>
      <c r="AC2" s="19"/>
    </row>
    <row r="3" spans="1:36" ht="21" x14ac:dyDescent="0.35">
      <c r="D3" s="146" t="s">
        <v>164</v>
      </c>
      <c r="E3" s="190"/>
      <c r="F3" s="191"/>
      <c r="G3" s="192"/>
      <c r="H3" s="193"/>
      <c r="I3" s="194"/>
      <c r="J3" s="195"/>
      <c r="K3" s="195"/>
      <c r="L3" s="195"/>
      <c r="M3" s="195"/>
      <c r="N3" s="195"/>
      <c r="O3" s="195"/>
      <c r="P3" s="195"/>
      <c r="Q3" s="195"/>
      <c r="R3" s="195"/>
      <c r="S3" s="195"/>
      <c r="T3" s="195"/>
      <c r="U3" s="195"/>
      <c r="V3" s="196"/>
      <c r="W3" s="196"/>
      <c r="X3" s="196"/>
      <c r="Y3" s="196"/>
      <c r="Z3" s="196"/>
      <c r="AA3" s="194"/>
      <c r="AB3" s="196"/>
      <c r="AC3" s="194"/>
    </row>
    <row r="4" spans="1:36" ht="6" customHeight="1" thickBot="1" x14ac:dyDescent="0.3">
      <c r="D4" s="1"/>
      <c r="E4" s="1"/>
      <c r="F4" s="1"/>
      <c r="G4" s="53"/>
      <c r="H4" s="53"/>
      <c r="I4" s="22"/>
      <c r="J4" s="47"/>
      <c r="K4" s="47"/>
      <c r="L4" s="47"/>
      <c r="M4" s="47"/>
      <c r="N4" s="47"/>
      <c r="O4" s="47"/>
      <c r="P4" s="47"/>
      <c r="Q4" s="47"/>
      <c r="R4" s="47"/>
      <c r="S4" s="47"/>
      <c r="T4" s="47"/>
      <c r="U4" s="47"/>
      <c r="V4" s="57"/>
      <c r="W4" s="57"/>
      <c r="X4" s="57"/>
      <c r="Y4" s="57"/>
      <c r="Z4" s="57"/>
      <c r="AA4" s="22"/>
      <c r="AB4" s="57"/>
      <c r="AC4" s="22"/>
    </row>
    <row r="5" spans="1:36" ht="6" customHeight="1" thickTop="1" x14ac:dyDescent="0.25">
      <c r="D5" s="119"/>
      <c r="E5" s="119"/>
      <c r="F5" s="119"/>
      <c r="G5" s="54"/>
      <c r="H5" s="54"/>
      <c r="I5" s="19"/>
      <c r="J5" s="42"/>
      <c r="K5" s="42"/>
      <c r="L5" s="42"/>
      <c r="M5" s="42"/>
      <c r="N5" s="42"/>
      <c r="O5" s="42"/>
      <c r="P5" s="42"/>
      <c r="Q5" s="42"/>
      <c r="R5" s="42"/>
      <c r="S5" s="42"/>
      <c r="T5" s="42"/>
      <c r="U5" s="42"/>
      <c r="V5" s="28"/>
      <c r="W5" s="82"/>
      <c r="X5" s="82"/>
      <c r="Y5" s="82"/>
      <c r="Z5" s="82"/>
      <c r="AA5" s="19"/>
      <c r="AB5" s="28"/>
      <c r="AC5" s="19"/>
    </row>
    <row r="6" spans="1:36" s="32" customFormat="1" ht="64.5" customHeight="1" x14ac:dyDescent="0.25">
      <c r="A6" s="36"/>
      <c r="B6" s="127" t="s">
        <v>88</v>
      </c>
      <c r="C6" s="127" t="s">
        <v>88</v>
      </c>
      <c r="D6" s="83" t="s">
        <v>51</v>
      </c>
      <c r="E6" s="83"/>
      <c r="F6" s="84" t="s">
        <v>104</v>
      </c>
      <c r="G6" s="85" t="s">
        <v>100</v>
      </c>
      <c r="H6" s="85" t="s">
        <v>99</v>
      </c>
      <c r="I6" s="86" t="s">
        <v>48</v>
      </c>
      <c r="J6" s="87" t="s">
        <v>38</v>
      </c>
      <c r="K6" s="87" t="s">
        <v>39</v>
      </c>
      <c r="L6" s="87" t="s">
        <v>40</v>
      </c>
      <c r="M6" s="87" t="s">
        <v>41</v>
      </c>
      <c r="N6" s="87" t="s">
        <v>42</v>
      </c>
      <c r="O6" s="87" t="s">
        <v>35</v>
      </c>
      <c r="P6" s="87" t="s">
        <v>36</v>
      </c>
      <c r="Q6" s="87" t="s">
        <v>37</v>
      </c>
      <c r="R6" s="87" t="s">
        <v>43</v>
      </c>
      <c r="S6" s="87" t="s">
        <v>44</v>
      </c>
      <c r="T6" s="87" t="s">
        <v>45</v>
      </c>
      <c r="U6" s="87" t="s">
        <v>132</v>
      </c>
      <c r="V6" s="86" t="s">
        <v>24</v>
      </c>
      <c r="W6" s="197" t="s">
        <v>62</v>
      </c>
      <c r="X6" s="197" t="s">
        <v>63</v>
      </c>
      <c r="Y6" s="86" t="s">
        <v>67</v>
      </c>
      <c r="Z6" s="86" t="s">
        <v>68</v>
      </c>
      <c r="AA6" s="86" t="s">
        <v>50</v>
      </c>
      <c r="AB6" s="149" t="s">
        <v>64</v>
      </c>
      <c r="AC6" s="86" t="s">
        <v>65</v>
      </c>
      <c r="AD6" s="44"/>
    </row>
    <row r="7" spans="1:36" x14ac:dyDescent="0.25">
      <c r="D7" s="119"/>
      <c r="E7" s="119"/>
      <c r="F7" s="125"/>
      <c r="G7" s="88" t="s">
        <v>29</v>
      </c>
      <c r="H7" s="88" t="s">
        <v>29</v>
      </c>
      <c r="I7" s="46" t="s">
        <v>22</v>
      </c>
      <c r="J7" s="45" t="s">
        <v>29</v>
      </c>
      <c r="K7" s="45" t="s">
        <v>29</v>
      </c>
      <c r="L7" s="45" t="s">
        <v>29</v>
      </c>
      <c r="M7" s="45" t="s">
        <v>29</v>
      </c>
      <c r="N7" s="45" t="s">
        <v>29</v>
      </c>
      <c r="O7" s="45" t="s">
        <v>29</v>
      </c>
      <c r="P7" s="45" t="s">
        <v>29</v>
      </c>
      <c r="Q7" s="45" t="s">
        <v>29</v>
      </c>
      <c r="R7" s="45" t="s">
        <v>29</v>
      </c>
      <c r="S7" s="45" t="s">
        <v>29</v>
      </c>
      <c r="T7" s="45" t="s">
        <v>29</v>
      </c>
      <c r="U7" s="45" t="s">
        <v>29</v>
      </c>
      <c r="V7" s="46" t="s">
        <v>22</v>
      </c>
      <c r="W7" s="46" t="s">
        <v>22</v>
      </c>
      <c r="X7" s="46" t="s">
        <v>22</v>
      </c>
      <c r="Y7" s="46" t="s">
        <v>22</v>
      </c>
      <c r="Z7" s="46" t="s">
        <v>22</v>
      </c>
      <c r="AA7" s="46" t="s">
        <v>22</v>
      </c>
      <c r="AB7" s="150" t="s">
        <v>22</v>
      </c>
      <c r="AC7" s="46" t="s">
        <v>22</v>
      </c>
    </row>
    <row r="8" spans="1:36" x14ac:dyDescent="0.25">
      <c r="D8" s="119"/>
      <c r="E8" s="119"/>
      <c r="F8" s="125"/>
      <c r="G8" s="88" t="s">
        <v>133</v>
      </c>
      <c r="H8" s="88" t="s">
        <v>134</v>
      </c>
      <c r="I8" s="46" t="s">
        <v>135</v>
      </c>
      <c r="J8" s="45"/>
      <c r="K8" s="45"/>
      <c r="L8" s="45"/>
      <c r="M8" s="45"/>
      <c r="N8" s="45"/>
      <c r="O8" s="45"/>
      <c r="P8" s="45"/>
      <c r="Q8" s="45"/>
      <c r="R8" s="45"/>
      <c r="S8" s="45"/>
      <c r="T8" s="45"/>
      <c r="U8" s="45" t="s">
        <v>136</v>
      </c>
      <c r="V8" s="89" t="s">
        <v>137</v>
      </c>
      <c r="W8" s="89" t="s">
        <v>138</v>
      </c>
      <c r="X8" s="89" t="s">
        <v>139</v>
      </c>
      <c r="Y8" s="89" t="s">
        <v>140</v>
      </c>
      <c r="Z8" s="89" t="s">
        <v>146</v>
      </c>
      <c r="AA8" s="89" t="s">
        <v>147</v>
      </c>
      <c r="AB8" s="151" t="s">
        <v>148</v>
      </c>
      <c r="AC8" s="89" t="s">
        <v>149</v>
      </c>
    </row>
    <row r="9" spans="1:36" ht="6" customHeight="1" x14ac:dyDescent="0.25">
      <c r="D9" s="120"/>
      <c r="E9" s="120"/>
      <c r="F9" s="131"/>
      <c r="G9" s="64"/>
      <c r="H9" s="64"/>
      <c r="I9" s="65"/>
      <c r="J9" s="66"/>
      <c r="K9" s="66"/>
      <c r="L9" s="66"/>
      <c r="M9" s="66"/>
      <c r="N9" s="66"/>
      <c r="O9" s="66"/>
      <c r="P9" s="66"/>
      <c r="Q9" s="66"/>
      <c r="R9" s="66"/>
      <c r="S9" s="66"/>
      <c r="T9" s="66"/>
      <c r="U9" s="66"/>
      <c r="V9" s="65"/>
      <c r="W9" s="65"/>
      <c r="X9" s="65"/>
      <c r="Y9" s="65"/>
      <c r="Z9" s="65"/>
      <c r="AA9" s="65"/>
      <c r="AB9" s="141"/>
      <c r="AC9" s="65"/>
    </row>
    <row r="10" spans="1:36" ht="6" customHeight="1" x14ac:dyDescent="0.25">
      <c r="D10" s="119"/>
      <c r="E10" s="119"/>
      <c r="F10" s="125"/>
      <c r="G10" s="58"/>
      <c r="H10" s="58"/>
      <c r="I10" s="29"/>
      <c r="J10" s="24"/>
      <c r="K10" s="24"/>
      <c r="L10" s="24"/>
      <c r="M10" s="24"/>
      <c r="N10" s="24"/>
      <c r="O10" s="24"/>
      <c r="P10" s="24"/>
      <c r="Q10" s="24"/>
      <c r="R10" s="24"/>
      <c r="S10" s="24"/>
      <c r="T10" s="24"/>
      <c r="U10" s="24"/>
      <c r="V10" s="29"/>
      <c r="W10" s="29"/>
      <c r="X10" s="29"/>
      <c r="Y10" s="29"/>
      <c r="Z10" s="29"/>
      <c r="AA10" s="29"/>
      <c r="AB10" s="123"/>
      <c r="AC10" s="29"/>
    </row>
    <row r="11" spans="1:36" x14ac:dyDescent="0.25">
      <c r="A11" s="6" t="s">
        <v>25</v>
      </c>
      <c r="B11" s="118" t="s">
        <v>33</v>
      </c>
      <c r="C11" s="155"/>
      <c r="D11" s="198" t="s">
        <v>105</v>
      </c>
      <c r="E11" s="119" t="s">
        <v>18</v>
      </c>
      <c r="F11" s="125" t="s">
        <v>33</v>
      </c>
      <c r="G11" s="24">
        <v>1.1499999999999999</v>
      </c>
      <c r="H11" s="24">
        <v>1.1499999999999999</v>
      </c>
      <c r="I11" s="29">
        <v>43982.219759852145</v>
      </c>
      <c r="J11" s="24">
        <v>1</v>
      </c>
      <c r="K11" s="24">
        <v>0.99906024919213998</v>
      </c>
      <c r="L11" s="24">
        <v>1</v>
      </c>
      <c r="M11" s="24">
        <v>0.99936019098947904</v>
      </c>
      <c r="N11" s="24">
        <v>1</v>
      </c>
      <c r="O11" s="24">
        <v>1</v>
      </c>
      <c r="P11" s="24">
        <v>1</v>
      </c>
      <c r="Q11" s="24">
        <v>0.99853660716280523</v>
      </c>
      <c r="R11" s="24">
        <v>0.99954387012124046</v>
      </c>
      <c r="S11" s="24">
        <v>1</v>
      </c>
      <c r="T11" s="24">
        <v>0.99961121305174039</v>
      </c>
      <c r="U11" s="24">
        <v>1</v>
      </c>
      <c r="V11" s="29">
        <v>43982.219759852145</v>
      </c>
      <c r="W11" s="29">
        <v>0</v>
      </c>
      <c r="X11" s="29">
        <v>0</v>
      </c>
      <c r="Y11" s="29">
        <v>0</v>
      </c>
      <c r="Z11" s="29">
        <v>0</v>
      </c>
      <c r="AA11" s="29">
        <v>3638.6717439220956</v>
      </c>
      <c r="AB11" s="123">
        <v>0</v>
      </c>
      <c r="AC11" s="29">
        <v>0</v>
      </c>
      <c r="AE11"/>
      <c r="AF11" s="97"/>
      <c r="AG11" s="7"/>
      <c r="AH11" s="7"/>
      <c r="AJ11" s="18"/>
    </row>
    <row r="12" spans="1:36" x14ac:dyDescent="0.25">
      <c r="A12" s="6" t="s">
        <v>25</v>
      </c>
      <c r="B12" s="118" t="s">
        <v>33</v>
      </c>
      <c r="C12" s="155"/>
      <c r="D12" s="198" t="s">
        <v>106</v>
      </c>
      <c r="E12" s="119" t="s">
        <v>4</v>
      </c>
      <c r="F12" s="125" t="s">
        <v>33</v>
      </c>
      <c r="G12" s="24">
        <v>1.1499999999999999</v>
      </c>
      <c r="H12" s="24">
        <v>1.1499999999999999</v>
      </c>
      <c r="I12" s="29">
        <v>6435.854868225576</v>
      </c>
      <c r="J12" s="24">
        <v>0.99313510607501754</v>
      </c>
      <c r="K12" s="24">
        <v>0.98937219945199095</v>
      </c>
      <c r="L12" s="24">
        <v>0.99895134228187921</v>
      </c>
      <c r="M12" s="24">
        <v>0.99991182046646976</v>
      </c>
      <c r="N12" s="24">
        <v>0.9183622931198151</v>
      </c>
      <c r="O12" s="24">
        <v>0.95504230538790902</v>
      </c>
      <c r="P12" s="24">
        <v>0.95523214598322537</v>
      </c>
      <c r="Q12" s="24">
        <v>0.92691332063947962</v>
      </c>
      <c r="R12" s="24">
        <v>0.95898803580499936</v>
      </c>
      <c r="S12" s="24">
        <v>0.95898803580499936</v>
      </c>
      <c r="T12" s="24">
        <v>0.9662120632456429</v>
      </c>
      <c r="U12" s="24">
        <v>0.95898803580499936</v>
      </c>
      <c r="V12" s="29">
        <v>6171.9078188056883</v>
      </c>
      <c r="W12" s="29">
        <v>303.53910683287103</v>
      </c>
      <c r="X12" s="29">
        <v>0</v>
      </c>
      <c r="Y12" s="29">
        <v>0</v>
      </c>
      <c r="Z12" s="29">
        <v>303.53910683287103</v>
      </c>
      <c r="AA12" s="29">
        <v>3750</v>
      </c>
      <c r="AB12" s="123">
        <v>303.53910683287103</v>
      </c>
      <c r="AC12" s="29">
        <v>0</v>
      </c>
      <c r="AE12" s="117"/>
      <c r="AF12" s="97"/>
      <c r="AG12" s="7"/>
      <c r="AH12" s="7"/>
      <c r="AI12" s="18"/>
      <c r="AJ12" s="18"/>
    </row>
    <row r="13" spans="1:36" x14ac:dyDescent="0.25">
      <c r="A13" s="6" t="s">
        <v>26</v>
      </c>
      <c r="B13" s="118" t="s">
        <v>46</v>
      </c>
      <c r="C13" s="155"/>
      <c r="D13" s="198" t="s">
        <v>107</v>
      </c>
      <c r="E13" s="119" t="s">
        <v>1</v>
      </c>
      <c r="F13" s="125" t="s">
        <v>32</v>
      </c>
      <c r="G13" s="24">
        <v>1.04</v>
      </c>
      <c r="H13" s="24">
        <v>1.1539999999999999</v>
      </c>
      <c r="I13" s="29">
        <v>2490.3509303331875</v>
      </c>
      <c r="J13" s="24">
        <v>0.96042563366810141</v>
      </c>
      <c r="K13" s="24">
        <v>0.88496503496503498</v>
      </c>
      <c r="L13" s="24">
        <v>0.80558239398819109</v>
      </c>
      <c r="M13" s="24">
        <v>0.80055555555555558</v>
      </c>
      <c r="N13" s="24">
        <v>0.82972350230414749</v>
      </c>
      <c r="O13" s="24">
        <v>0.85935121208572429</v>
      </c>
      <c r="P13" s="24">
        <v>0.97947069008162257</v>
      </c>
      <c r="Q13" s="24">
        <v>0.89138410227904397</v>
      </c>
      <c r="R13" s="24">
        <v>0.86803173241852483</v>
      </c>
      <c r="S13" s="24">
        <v>0.86803173241852483</v>
      </c>
      <c r="T13" s="24">
        <v>0.87549887303843865</v>
      </c>
      <c r="U13" s="24">
        <v>0.86803173241852483</v>
      </c>
      <c r="V13" s="29">
        <v>2161.7036323872017</v>
      </c>
      <c r="W13" s="29">
        <v>379.2589818296675</v>
      </c>
      <c r="X13" s="29">
        <v>283.90000605798309</v>
      </c>
      <c r="Y13" s="29">
        <v>283.90000605798309</v>
      </c>
      <c r="Z13" s="29">
        <v>95.35897577168447</v>
      </c>
      <c r="AA13" s="29">
        <v>150.80820407071212</v>
      </c>
      <c r="AB13" s="123">
        <v>0</v>
      </c>
      <c r="AC13" s="29">
        <v>95.35897577168447</v>
      </c>
      <c r="AE13" s="117"/>
      <c r="AF13" s="97"/>
      <c r="AG13" s="7"/>
      <c r="AH13" s="7"/>
      <c r="AI13" s="18"/>
      <c r="AJ13" s="18"/>
    </row>
    <row r="14" spans="1:36" x14ac:dyDescent="0.25">
      <c r="A14" s="6" t="s">
        <v>26</v>
      </c>
      <c r="B14" s="118" t="s">
        <v>33</v>
      </c>
      <c r="C14" s="155"/>
      <c r="D14" s="198" t="s">
        <v>108</v>
      </c>
      <c r="E14" s="119" t="s">
        <v>17</v>
      </c>
      <c r="F14" s="125" t="s">
        <v>32</v>
      </c>
      <c r="G14" s="24">
        <v>1.1539999999999999</v>
      </c>
      <c r="H14" s="24">
        <v>1.1539999999999999</v>
      </c>
      <c r="I14" s="29">
        <v>4843.6707580770335</v>
      </c>
      <c r="J14" s="24">
        <v>0.97403993855606763</v>
      </c>
      <c r="K14" s="24">
        <v>0.9851380042462845</v>
      </c>
      <c r="L14" s="24">
        <v>0.98165062795628777</v>
      </c>
      <c r="M14" s="24">
        <v>0.93505807814149944</v>
      </c>
      <c r="N14" s="24">
        <v>0.87115204229555732</v>
      </c>
      <c r="O14" s="24">
        <v>0.83014824075727811</v>
      </c>
      <c r="P14" s="24">
        <v>0.97599380485286524</v>
      </c>
      <c r="Q14" s="24">
        <v>0.98583403185247276</v>
      </c>
      <c r="R14" s="24">
        <v>0.89970301230377603</v>
      </c>
      <c r="S14" s="24">
        <v>0.97403993855606763</v>
      </c>
      <c r="T14" s="24">
        <v>0.93763530899578784</v>
      </c>
      <c r="U14" s="24">
        <v>0.97403993855606763</v>
      </c>
      <c r="V14" s="29">
        <v>4717.9287675831756</v>
      </c>
      <c r="W14" s="29">
        <v>145.10625702991243</v>
      </c>
      <c r="X14" s="29">
        <v>0</v>
      </c>
      <c r="Y14" s="29">
        <v>0</v>
      </c>
      <c r="Z14" s="29">
        <v>145.10625702991243</v>
      </c>
      <c r="AA14" s="29">
        <v>0</v>
      </c>
      <c r="AB14" s="123">
        <v>0</v>
      </c>
      <c r="AC14" s="29">
        <v>145.10625702991243</v>
      </c>
      <c r="AE14" s="117"/>
      <c r="AF14" s="97"/>
      <c r="AG14" s="7"/>
      <c r="AH14" s="7"/>
      <c r="AI14" s="18"/>
      <c r="AJ14" s="18"/>
    </row>
    <row r="15" spans="1:36" x14ac:dyDescent="0.25">
      <c r="A15" s="6" t="s">
        <v>26</v>
      </c>
      <c r="B15" s="118" t="s">
        <v>46</v>
      </c>
      <c r="C15" s="155"/>
      <c r="D15" s="198" t="s">
        <v>109</v>
      </c>
      <c r="E15" s="119" t="s">
        <v>2</v>
      </c>
      <c r="F15" s="125" t="s">
        <v>32</v>
      </c>
      <c r="G15" s="24">
        <v>1.1539999999999999</v>
      </c>
      <c r="H15" s="24">
        <v>1.1539999999999999</v>
      </c>
      <c r="I15" s="29">
        <v>4615.5766350474314</v>
      </c>
      <c r="J15" s="24">
        <v>0.99903071875932004</v>
      </c>
      <c r="K15" s="24">
        <v>0.98337411832445665</v>
      </c>
      <c r="L15" s="24">
        <v>0.93897285294749655</v>
      </c>
      <c r="M15" s="24">
        <v>0.91189991710000751</v>
      </c>
      <c r="N15" s="24">
        <v>0.93560635412630766</v>
      </c>
      <c r="O15" s="24">
        <v>0.95665047069541453</v>
      </c>
      <c r="P15" s="24">
        <v>0.92490340709518792</v>
      </c>
      <c r="Q15" s="24">
        <v>0.99648447864154943</v>
      </c>
      <c r="R15" s="24">
        <v>0.97787641795251179</v>
      </c>
      <c r="S15" s="24">
        <v>0.95665047069541453</v>
      </c>
      <c r="T15" s="24">
        <v>0.95831097062691706</v>
      </c>
      <c r="U15" s="24">
        <v>0.95665047069541453</v>
      </c>
      <c r="V15" s="29">
        <v>4415.4935604488828</v>
      </c>
      <c r="W15" s="29">
        <v>230.89586808672507</v>
      </c>
      <c r="X15" s="29">
        <v>0</v>
      </c>
      <c r="Y15" s="29">
        <v>0</v>
      </c>
      <c r="Z15" s="29">
        <v>230.89586808672507</v>
      </c>
      <c r="AA15" s="29">
        <v>1695.8049358675869</v>
      </c>
      <c r="AB15" s="123">
        <v>230.89586808672507</v>
      </c>
      <c r="AC15" s="29">
        <v>0</v>
      </c>
      <c r="AE15" s="117"/>
      <c r="AF15" s="97"/>
      <c r="AG15" s="7"/>
      <c r="AH15" s="7"/>
      <c r="AI15" s="18"/>
      <c r="AJ15" s="18"/>
    </row>
    <row r="16" spans="1:36" x14ac:dyDescent="0.25">
      <c r="A16" s="6" t="s">
        <v>26</v>
      </c>
      <c r="B16" s="118" t="s">
        <v>46</v>
      </c>
      <c r="C16" s="155"/>
      <c r="D16" s="198" t="s">
        <v>110</v>
      </c>
      <c r="E16" s="119" t="s">
        <v>5</v>
      </c>
      <c r="F16" s="125" t="s">
        <v>32</v>
      </c>
      <c r="G16" s="24">
        <v>1.1200000000000001</v>
      </c>
      <c r="H16" s="24">
        <v>1.1539999999999999</v>
      </c>
      <c r="I16" s="29">
        <v>9116.5798619376365</v>
      </c>
      <c r="J16" s="24">
        <v>0.96922495591569402</v>
      </c>
      <c r="K16" s="24">
        <v>1</v>
      </c>
      <c r="L16" s="24">
        <v>0.98557794273594912</v>
      </c>
      <c r="M16" s="24">
        <v>0.9930797298997609</v>
      </c>
      <c r="N16" s="24">
        <v>0.93252042636141186</v>
      </c>
      <c r="O16" s="24">
        <v>1</v>
      </c>
      <c r="P16" s="24">
        <v>0.95540988913166625</v>
      </c>
      <c r="Q16" s="24">
        <v>0.99603911375170195</v>
      </c>
      <c r="R16" s="24">
        <v>0.84796231470677208</v>
      </c>
      <c r="S16" s="24">
        <v>0.98557794273594912</v>
      </c>
      <c r="T16" s="24">
        <v>0.96442381916699516</v>
      </c>
      <c r="U16" s="24">
        <v>0.98557794273594912</v>
      </c>
      <c r="V16" s="29">
        <v>8985.1000251164787</v>
      </c>
      <c r="W16" s="29">
        <v>151.72773169161593</v>
      </c>
      <c r="X16" s="29">
        <v>309.96371530587788</v>
      </c>
      <c r="Y16" s="29">
        <v>151.72773169161593</v>
      </c>
      <c r="Z16" s="29">
        <v>0</v>
      </c>
      <c r="AA16" s="29">
        <v>500</v>
      </c>
      <c r="AB16" s="123">
        <v>0</v>
      </c>
      <c r="AC16" s="29">
        <v>0</v>
      </c>
      <c r="AE16" s="117"/>
      <c r="AF16" s="97"/>
      <c r="AG16" s="7"/>
      <c r="AH16" s="7"/>
      <c r="AI16" s="18"/>
      <c r="AJ16" s="18"/>
    </row>
    <row r="17" spans="1:36" x14ac:dyDescent="0.25">
      <c r="A17" s="6" t="s">
        <v>26</v>
      </c>
      <c r="B17" s="118" t="s">
        <v>46</v>
      </c>
      <c r="C17" s="155"/>
      <c r="D17" s="198" t="s">
        <v>111</v>
      </c>
      <c r="E17" s="119" t="s">
        <v>20</v>
      </c>
      <c r="F17" s="125" t="s">
        <v>32</v>
      </c>
      <c r="G17" s="24">
        <v>1.1000000000000001</v>
      </c>
      <c r="H17" s="24">
        <v>1.1539999999999999</v>
      </c>
      <c r="I17" s="29">
        <v>2072.7000000000003</v>
      </c>
      <c r="J17" s="24">
        <v>0.96878806333739342</v>
      </c>
      <c r="K17" s="24">
        <v>0.94591048257763521</v>
      </c>
      <c r="L17" s="24">
        <v>0.84578983994432844</v>
      </c>
      <c r="M17" s="24">
        <v>0.79632792485055504</v>
      </c>
      <c r="N17" s="24">
        <v>0.85895919574216439</v>
      </c>
      <c r="O17" s="24">
        <v>0.9254425442544254</v>
      </c>
      <c r="P17" s="24">
        <v>0.91767039818619811</v>
      </c>
      <c r="Q17" s="24">
        <v>0.97626674432149096</v>
      </c>
      <c r="R17" s="24">
        <v>0.89198506176386094</v>
      </c>
      <c r="S17" s="24">
        <v>0.91767039818619811</v>
      </c>
      <c r="T17" s="24">
        <v>0.9030155838864502</v>
      </c>
      <c r="U17" s="24">
        <v>0.91767039818619811</v>
      </c>
      <c r="V17" s="29">
        <v>1902.0554343205331</v>
      </c>
      <c r="W17" s="29">
        <v>196.92382879410513</v>
      </c>
      <c r="X17" s="29">
        <v>111.92579999999965</v>
      </c>
      <c r="Y17" s="29">
        <v>111.92579999999965</v>
      </c>
      <c r="Z17" s="29">
        <v>84.99802879410548</v>
      </c>
      <c r="AA17" s="29">
        <v>460.33300685602353</v>
      </c>
      <c r="AB17" s="123">
        <v>84.99802879410548</v>
      </c>
      <c r="AC17" s="29">
        <v>0</v>
      </c>
      <c r="AE17" s="117"/>
      <c r="AF17" s="97"/>
      <c r="AG17" s="7"/>
      <c r="AH17" s="7"/>
      <c r="AI17" s="18"/>
      <c r="AJ17" s="18"/>
    </row>
    <row r="18" spans="1:36" x14ac:dyDescent="0.25">
      <c r="A18" s="6" t="s">
        <v>26</v>
      </c>
      <c r="B18" s="118" t="s">
        <v>46</v>
      </c>
      <c r="C18" s="155"/>
      <c r="D18" s="198" t="s">
        <v>112</v>
      </c>
      <c r="E18" s="119" t="s">
        <v>66</v>
      </c>
      <c r="F18" s="125" t="s">
        <v>32</v>
      </c>
      <c r="G18" s="24">
        <v>1.1299999999999999</v>
      </c>
      <c r="H18" s="24">
        <v>1.1539999999999999</v>
      </c>
      <c r="I18" s="29">
        <v>13861.261598911889</v>
      </c>
      <c r="J18" s="24">
        <v>0.99893251167288122</v>
      </c>
      <c r="K18" s="24">
        <v>0.97170175032770456</v>
      </c>
      <c r="L18" s="24">
        <v>0.99926728788829</v>
      </c>
      <c r="M18" s="24">
        <v>0.99806515084390923</v>
      </c>
      <c r="N18" s="24">
        <v>0.98503087843177495</v>
      </c>
      <c r="O18" s="24">
        <v>0.99550278573297912</v>
      </c>
      <c r="P18" s="24">
        <v>0.97621594153429969</v>
      </c>
      <c r="Q18" s="24">
        <v>0.99886733194145505</v>
      </c>
      <c r="R18" s="24">
        <v>0.99000710170074746</v>
      </c>
      <c r="S18" s="24">
        <v>0.99550278573297912</v>
      </c>
      <c r="T18" s="24">
        <v>0.99039897111933783</v>
      </c>
      <c r="U18" s="24">
        <v>0.99550278573297912</v>
      </c>
      <c r="V18" s="29">
        <v>13798.924535490354</v>
      </c>
      <c r="W18" s="29">
        <v>71.936971188451565</v>
      </c>
      <c r="X18" s="29">
        <v>332.67027837388565</v>
      </c>
      <c r="Y18" s="29">
        <v>71.936971188451565</v>
      </c>
      <c r="Z18" s="29">
        <v>0</v>
      </c>
      <c r="AA18" s="29">
        <v>1046.5898442015255</v>
      </c>
      <c r="AB18" s="123">
        <v>0</v>
      </c>
      <c r="AC18" s="29">
        <v>0</v>
      </c>
      <c r="AE18" s="117"/>
      <c r="AF18" s="97"/>
      <c r="AG18" s="7"/>
      <c r="AH18" s="7"/>
      <c r="AI18" s="18"/>
      <c r="AJ18" s="18"/>
    </row>
    <row r="19" spans="1:36" x14ac:dyDescent="0.25">
      <c r="A19" s="6" t="s">
        <v>26</v>
      </c>
      <c r="B19" s="118" t="s">
        <v>46</v>
      </c>
      <c r="C19" s="155"/>
      <c r="D19" s="198" t="s">
        <v>113</v>
      </c>
      <c r="E19" s="119" t="s">
        <v>21</v>
      </c>
      <c r="F19" s="125" t="s">
        <v>32</v>
      </c>
      <c r="G19" s="24">
        <v>1.08</v>
      </c>
      <c r="H19" s="24">
        <v>1.1539999999999999</v>
      </c>
      <c r="I19" s="29">
        <v>4273.9208633093522</v>
      </c>
      <c r="J19" s="24">
        <v>0.99446282665946384</v>
      </c>
      <c r="K19" s="24">
        <v>0.87875059804524636</v>
      </c>
      <c r="L19" s="24">
        <v>0.86492846968477122</v>
      </c>
      <c r="M19" s="24">
        <v>0.96253765060240959</v>
      </c>
      <c r="N19" s="24">
        <v>0.94544318733948773</v>
      </c>
      <c r="O19" s="24">
        <v>0.92064828457166914</v>
      </c>
      <c r="P19" s="24">
        <v>0.89608412896084133</v>
      </c>
      <c r="Q19" s="24">
        <v>0.90554480980012897</v>
      </c>
      <c r="R19" s="24">
        <v>0.87365046129686574</v>
      </c>
      <c r="S19" s="24">
        <v>0.90554480980012897</v>
      </c>
      <c r="T19" s="24">
        <v>0.91578337966232048</v>
      </c>
      <c r="U19" s="24">
        <v>0.90554480980012897</v>
      </c>
      <c r="V19" s="29">
        <v>3870.2268552662704</v>
      </c>
      <c r="W19" s="29">
        <v>465.86288528171644</v>
      </c>
      <c r="X19" s="29">
        <v>316.27014388489141</v>
      </c>
      <c r="Y19" s="29">
        <v>316.27014388489141</v>
      </c>
      <c r="Z19" s="29">
        <v>149.59274139682503</v>
      </c>
      <c r="AA19" s="29">
        <v>244.90834698285707</v>
      </c>
      <c r="AB19" s="123">
        <v>0</v>
      </c>
      <c r="AC19" s="29">
        <v>149.59274139682503</v>
      </c>
      <c r="AE19" s="117"/>
      <c r="AF19" s="97"/>
      <c r="AG19" s="7"/>
      <c r="AH19" s="7"/>
      <c r="AI19" s="18"/>
      <c r="AJ19" s="18"/>
    </row>
    <row r="20" spans="1:36" x14ac:dyDescent="0.25">
      <c r="A20" s="6" t="s">
        <v>26</v>
      </c>
      <c r="B20" s="118" t="s">
        <v>46</v>
      </c>
      <c r="C20" s="155"/>
      <c r="D20" s="198" t="s">
        <v>114</v>
      </c>
      <c r="E20" s="119" t="s">
        <v>6</v>
      </c>
      <c r="F20" s="125" t="s">
        <v>32</v>
      </c>
      <c r="G20" s="24">
        <v>0.84</v>
      </c>
      <c r="H20" s="24">
        <v>1.1539999999999999</v>
      </c>
      <c r="I20" s="29">
        <v>813.07503410641209</v>
      </c>
      <c r="J20" s="24">
        <v>0.69538188277087032</v>
      </c>
      <c r="K20" s="24">
        <v>0.6937473415567843</v>
      </c>
      <c r="L20" s="24">
        <v>0.61443871479571599</v>
      </c>
      <c r="M20" s="24">
        <v>0.66557242511284365</v>
      </c>
      <c r="N20" s="24">
        <v>0.6645299145299145</v>
      </c>
      <c r="O20" s="24">
        <v>0.74730538922155687</v>
      </c>
      <c r="P20" s="24">
        <v>0.74962063732928674</v>
      </c>
      <c r="Q20" s="24">
        <v>0.70521707406056189</v>
      </c>
      <c r="R20" s="24">
        <v>0.69338959212376938</v>
      </c>
      <c r="S20" s="24">
        <v>0.6937473415567843</v>
      </c>
      <c r="T20" s="24">
        <v>0.69213366350014471</v>
      </c>
      <c r="U20" s="24">
        <v>0.6937473415567843</v>
      </c>
      <c r="V20" s="29">
        <v>564.06864339751507</v>
      </c>
      <c r="W20" s="29">
        <v>287.35337487806709</v>
      </c>
      <c r="X20" s="199">
        <v>255.30556070941336</v>
      </c>
      <c r="Y20" s="29">
        <v>255.30556070941336</v>
      </c>
      <c r="Z20" s="123">
        <v>32.04781416865373</v>
      </c>
      <c r="AA20" s="29">
        <v>47.833151702220682</v>
      </c>
      <c r="AB20" s="123">
        <v>0</v>
      </c>
      <c r="AC20" s="29">
        <v>32.04781416865373</v>
      </c>
      <c r="AE20" s="117"/>
      <c r="AF20" s="97"/>
      <c r="AG20" s="7"/>
      <c r="AH20" s="7"/>
      <c r="AI20" s="18"/>
      <c r="AJ20" s="18"/>
    </row>
    <row r="21" spans="1:36" x14ac:dyDescent="0.25">
      <c r="A21" s="6" t="s">
        <v>26</v>
      </c>
      <c r="B21" s="118" t="s">
        <v>46</v>
      </c>
      <c r="C21" s="155"/>
      <c r="D21" s="198" t="s">
        <v>115</v>
      </c>
      <c r="E21" s="119" t="s">
        <v>7</v>
      </c>
      <c r="F21" s="125" t="s">
        <v>32</v>
      </c>
      <c r="G21" s="24">
        <v>0.77</v>
      </c>
      <c r="H21" s="24">
        <v>1.1539999999999999</v>
      </c>
      <c r="I21" s="29">
        <v>499.36132315521604</v>
      </c>
      <c r="J21" s="24">
        <v>0.64953987730061347</v>
      </c>
      <c r="K21" s="24">
        <v>0.64544781643227234</v>
      </c>
      <c r="L21" s="24">
        <v>0.55973154362416111</v>
      </c>
      <c r="M21" s="24">
        <v>0.63233190271816886</v>
      </c>
      <c r="N21" s="24">
        <v>0.58510638297872342</v>
      </c>
      <c r="O21" s="24">
        <v>0.60798816568047342</v>
      </c>
      <c r="P21" s="24">
        <v>0.66814814814814816</v>
      </c>
      <c r="Q21" s="24">
        <v>0.62215909090909094</v>
      </c>
      <c r="R21" s="24">
        <v>0.64569536423841056</v>
      </c>
      <c r="S21" s="24">
        <v>0.63233190271816886</v>
      </c>
      <c r="T21" s="24">
        <v>0.62401647689222917</v>
      </c>
      <c r="U21" s="24">
        <v>0.63233190271816886</v>
      </c>
      <c r="V21" s="29">
        <v>315.76209561460013</v>
      </c>
      <c r="W21" s="29">
        <v>211.87350858187074</v>
      </c>
      <c r="X21" s="29">
        <v>191.75474809160292</v>
      </c>
      <c r="Y21" s="29">
        <v>191.75474809160292</v>
      </c>
      <c r="Z21" s="29">
        <v>20.118760490267789</v>
      </c>
      <c r="AA21" s="29">
        <v>25.645878061354335</v>
      </c>
      <c r="AB21" s="123">
        <v>0</v>
      </c>
      <c r="AC21" s="29">
        <v>20.118760490267789</v>
      </c>
      <c r="AE21" s="117"/>
      <c r="AF21" s="97"/>
      <c r="AG21" s="7"/>
      <c r="AH21" s="7"/>
      <c r="AI21" s="18"/>
      <c r="AJ21" s="18"/>
    </row>
    <row r="22" spans="1:36" x14ac:dyDescent="0.25">
      <c r="A22" s="6" t="s">
        <v>26</v>
      </c>
      <c r="B22" s="118" t="s">
        <v>46</v>
      </c>
      <c r="C22" s="155"/>
      <c r="D22" s="198" t="s">
        <v>116</v>
      </c>
      <c r="E22" s="119" t="s">
        <v>8</v>
      </c>
      <c r="F22" s="125" t="s">
        <v>32</v>
      </c>
      <c r="G22" s="24">
        <v>1.1539999999999999</v>
      </c>
      <c r="H22" s="24">
        <v>1.1539999999999999</v>
      </c>
      <c r="I22" s="29">
        <v>992.09473684210468</v>
      </c>
      <c r="J22" s="24">
        <v>0.97078063672045356</v>
      </c>
      <c r="K22" s="24">
        <v>0.94782989916703198</v>
      </c>
      <c r="L22" s="24">
        <v>0.94745351657235244</v>
      </c>
      <c r="M22" s="24">
        <v>0.94427363566487321</v>
      </c>
      <c r="N22" s="24">
        <v>0.96030245746691867</v>
      </c>
      <c r="O22" s="24">
        <v>0.99056603773584906</v>
      </c>
      <c r="P22" s="24">
        <v>0.98490566037735849</v>
      </c>
      <c r="Q22" s="24">
        <v>0.94062382562946256</v>
      </c>
      <c r="R22" s="24">
        <v>0.96925227113906354</v>
      </c>
      <c r="S22" s="24">
        <v>0.96030245746691867</v>
      </c>
      <c r="T22" s="24">
        <v>0.96177643783037381</v>
      </c>
      <c r="U22" s="24">
        <v>0.96030245746691867</v>
      </c>
      <c r="V22" s="29">
        <v>952.71101382946915</v>
      </c>
      <c r="W22" s="29">
        <v>45.448816356581453</v>
      </c>
      <c r="X22" s="29">
        <v>0</v>
      </c>
      <c r="Y22" s="29">
        <v>0</v>
      </c>
      <c r="Z22" s="29">
        <v>45.448816356581453</v>
      </c>
      <c r="AA22" s="29">
        <v>55.794467538060964</v>
      </c>
      <c r="AB22" s="123">
        <v>45.448816356581453</v>
      </c>
      <c r="AC22" s="29">
        <v>0</v>
      </c>
      <c r="AE22" s="117"/>
      <c r="AF22" s="97"/>
      <c r="AG22" s="7"/>
      <c r="AH22" s="7"/>
      <c r="AI22" s="18"/>
      <c r="AJ22" s="18"/>
    </row>
    <row r="23" spans="1:36" x14ac:dyDescent="0.25">
      <c r="A23" s="6" t="s">
        <v>26</v>
      </c>
      <c r="B23" s="118" t="s">
        <v>46</v>
      </c>
      <c r="C23" s="155"/>
      <c r="D23" s="198" t="s">
        <v>117</v>
      </c>
      <c r="E23" s="119" t="s">
        <v>11</v>
      </c>
      <c r="F23" s="125" t="s">
        <v>32</v>
      </c>
      <c r="G23" s="24">
        <v>0.83</v>
      </c>
      <c r="H23" s="24">
        <v>1.1539999999999999</v>
      </c>
      <c r="I23" s="29">
        <v>5500.5382974597624</v>
      </c>
      <c r="J23" s="24">
        <v>0.71486360336064725</v>
      </c>
      <c r="K23" s="24">
        <v>0.65642487593707111</v>
      </c>
      <c r="L23" s="24">
        <v>0.62103676327562729</v>
      </c>
      <c r="M23" s="24">
        <v>0.70660732625813083</v>
      </c>
      <c r="N23" s="24">
        <v>0.68219249934434834</v>
      </c>
      <c r="O23" s="24">
        <v>0.68664327228862809</v>
      </c>
      <c r="P23" s="24">
        <v>0.69523178076136805</v>
      </c>
      <c r="Q23" s="24">
        <v>0.69878631849944828</v>
      </c>
      <c r="R23" s="24">
        <v>0.67504674838977774</v>
      </c>
      <c r="S23" s="24">
        <v>0.68664327228862809</v>
      </c>
      <c r="T23" s="24">
        <v>0.68187035423500519</v>
      </c>
      <c r="U23" s="24">
        <v>0.68664327228862809</v>
      </c>
      <c r="V23" s="29">
        <v>3776.9076159166902</v>
      </c>
      <c r="W23" s="29">
        <v>1989.069806500705</v>
      </c>
      <c r="X23" s="29">
        <v>1782.1744083769627</v>
      </c>
      <c r="Y23" s="29">
        <v>1782.1744083769627</v>
      </c>
      <c r="Z23" s="29">
        <v>206.89539812374232</v>
      </c>
      <c r="AA23" s="29">
        <v>336.52873578219925</v>
      </c>
      <c r="AB23" s="123">
        <v>0</v>
      </c>
      <c r="AC23" s="29">
        <v>206.89539812374232</v>
      </c>
      <c r="AE23" s="117"/>
      <c r="AF23" s="97"/>
      <c r="AG23" s="7"/>
      <c r="AH23" s="7"/>
      <c r="AI23" s="18"/>
      <c r="AJ23" s="18"/>
    </row>
    <row r="24" spans="1:36" x14ac:dyDescent="0.25">
      <c r="A24" s="6" t="s">
        <v>26</v>
      </c>
      <c r="B24" s="118" t="s">
        <v>46</v>
      </c>
      <c r="C24" s="155"/>
      <c r="D24" s="198" t="s">
        <v>118</v>
      </c>
      <c r="E24" s="119" t="s">
        <v>13</v>
      </c>
      <c r="F24" s="125" t="s">
        <v>32</v>
      </c>
      <c r="G24" s="24">
        <v>0.87</v>
      </c>
      <c r="H24" s="24">
        <v>1.1539999999999999</v>
      </c>
      <c r="I24" s="29">
        <v>1937.5349726775944</v>
      </c>
      <c r="J24" s="24">
        <v>0.77448525319977746</v>
      </c>
      <c r="K24" s="24">
        <v>0.68915662650602405</v>
      </c>
      <c r="L24" s="24">
        <v>0.6788408098451767</v>
      </c>
      <c r="M24" s="24">
        <v>0.76910591099688896</v>
      </c>
      <c r="N24" s="24">
        <v>0.70839064649243466</v>
      </c>
      <c r="O24" s="24">
        <v>0.72230215827338129</v>
      </c>
      <c r="P24" s="24">
        <v>0.72062956717256887</v>
      </c>
      <c r="Q24" s="24">
        <v>0.73613949053262495</v>
      </c>
      <c r="R24" s="24">
        <v>0.70876671619613674</v>
      </c>
      <c r="S24" s="24">
        <v>0.72062956717256887</v>
      </c>
      <c r="T24" s="24">
        <v>0.72309079769055717</v>
      </c>
      <c r="U24" s="24">
        <v>0.72062956717256887</v>
      </c>
      <c r="V24" s="29">
        <v>1396.24498874237</v>
      </c>
      <c r="W24" s="29">
        <v>624.64864146124899</v>
      </c>
      <c r="X24" s="29">
        <v>550.25993224043668</v>
      </c>
      <c r="Y24" s="29">
        <v>550.25993224043668</v>
      </c>
      <c r="Z24" s="29">
        <v>74.388709220812416</v>
      </c>
      <c r="AA24" s="29">
        <v>119.41973753760416</v>
      </c>
      <c r="AB24" s="123">
        <v>0</v>
      </c>
      <c r="AC24" s="29">
        <v>74.388709220812416</v>
      </c>
      <c r="AE24" s="117"/>
      <c r="AF24" s="97"/>
      <c r="AG24" s="7"/>
      <c r="AH24" s="7"/>
      <c r="AI24" s="18"/>
      <c r="AJ24" s="18"/>
    </row>
    <row r="25" spans="1:36" x14ac:dyDescent="0.25">
      <c r="A25" s="6" t="s">
        <v>26</v>
      </c>
      <c r="B25" s="118" t="s">
        <v>46</v>
      </c>
      <c r="C25" s="155"/>
      <c r="D25" s="198" t="s">
        <v>119</v>
      </c>
      <c r="E25" s="119" t="s">
        <v>14</v>
      </c>
      <c r="F25" s="125" t="s">
        <v>32</v>
      </c>
      <c r="G25" s="24">
        <v>0.75</v>
      </c>
      <c r="H25" s="24">
        <v>1.1539999999999999</v>
      </c>
      <c r="I25" s="29">
        <v>1067.3142580019396</v>
      </c>
      <c r="J25" s="24">
        <v>0.66282118510749866</v>
      </c>
      <c r="K25" s="24">
        <v>0.59547010797998423</v>
      </c>
      <c r="L25" s="24">
        <v>0.58435391152211946</v>
      </c>
      <c r="M25" s="24">
        <v>0.61791546589817481</v>
      </c>
      <c r="N25" s="24">
        <v>0.60862905284656621</v>
      </c>
      <c r="O25" s="24">
        <v>0.64009727100783576</v>
      </c>
      <c r="P25" s="24">
        <v>0.64830625172128886</v>
      </c>
      <c r="Q25" s="24">
        <v>0.63491655969191274</v>
      </c>
      <c r="R25" s="24">
        <v>0.60552763819095479</v>
      </c>
      <c r="S25" s="24">
        <v>0.61791546589817481</v>
      </c>
      <c r="T25" s="24">
        <v>0.62200416044070395</v>
      </c>
      <c r="U25" s="24">
        <v>0.61791546589817481</v>
      </c>
      <c r="V25" s="29">
        <v>659.50998699303329</v>
      </c>
      <c r="W25" s="29">
        <v>470.60612874427784</v>
      </c>
      <c r="X25" s="29">
        <v>431.1949602327835</v>
      </c>
      <c r="Y25" s="29">
        <v>431.1949602327835</v>
      </c>
      <c r="Z25" s="29">
        <v>39.411168511494395</v>
      </c>
      <c r="AA25" s="29">
        <v>67.279644481568241</v>
      </c>
      <c r="AB25" s="123">
        <v>0</v>
      </c>
      <c r="AC25" s="29">
        <v>39.411168511494395</v>
      </c>
      <c r="AE25" s="117"/>
      <c r="AF25" s="97"/>
      <c r="AG25" s="7"/>
      <c r="AH25" s="7"/>
      <c r="AI25" s="18"/>
      <c r="AJ25" s="18"/>
    </row>
    <row r="26" spans="1:36" x14ac:dyDescent="0.25">
      <c r="A26" s="6" t="s">
        <v>26</v>
      </c>
      <c r="B26" s="118" t="s">
        <v>33</v>
      </c>
      <c r="C26" s="155"/>
      <c r="D26" s="198" t="s">
        <v>120</v>
      </c>
      <c r="E26" s="119" t="s">
        <v>16</v>
      </c>
      <c r="F26" s="125" t="s">
        <v>32</v>
      </c>
      <c r="G26" s="24">
        <v>1.1539999999999999</v>
      </c>
      <c r="H26" s="24">
        <v>1.1539999999999999</v>
      </c>
      <c r="I26" s="29">
        <v>750.41023056698134</v>
      </c>
      <c r="J26" s="24">
        <v>0.99467867376176833</v>
      </c>
      <c r="K26" s="24">
        <v>0.98501248959200671</v>
      </c>
      <c r="L26" s="24">
        <v>0.97791666666666666</v>
      </c>
      <c r="M26" s="24">
        <v>0.94670710571923744</v>
      </c>
      <c r="N26" s="24">
        <v>0.92051835853131747</v>
      </c>
      <c r="O26" s="24">
        <v>0.91518051326663763</v>
      </c>
      <c r="P26" s="24">
        <v>0.97187758478081054</v>
      </c>
      <c r="Q26" s="24">
        <v>0.98901098901098905</v>
      </c>
      <c r="R26" s="24">
        <v>0.92567849686847603</v>
      </c>
      <c r="S26" s="24">
        <v>0.97187758478081054</v>
      </c>
      <c r="T26" s="24">
        <v>0.95850898646643445</v>
      </c>
      <c r="U26" s="24">
        <v>0.97187758478081054</v>
      </c>
      <c r="V26" s="29">
        <v>729.30688247824901</v>
      </c>
      <c r="W26" s="29">
        <v>24.353263694397121</v>
      </c>
      <c r="X26" s="29">
        <v>0</v>
      </c>
      <c r="Y26" s="29">
        <v>0</v>
      </c>
      <c r="Z26" s="29">
        <v>24.353263694397125</v>
      </c>
      <c r="AA26" s="29">
        <v>111.32825607790429</v>
      </c>
      <c r="AB26" s="123">
        <v>24.353263694397125</v>
      </c>
      <c r="AC26" s="29">
        <v>0</v>
      </c>
      <c r="AE26" s="117"/>
      <c r="AF26" s="97"/>
      <c r="AG26" s="7"/>
      <c r="AH26" s="7"/>
      <c r="AI26" s="18"/>
      <c r="AJ26" s="18"/>
    </row>
    <row r="27" spans="1:36" x14ac:dyDescent="0.25">
      <c r="A27" s="6" t="s">
        <v>27</v>
      </c>
      <c r="B27" s="118" t="s">
        <v>46</v>
      </c>
      <c r="C27" s="155"/>
      <c r="D27" s="198" t="s">
        <v>121</v>
      </c>
      <c r="E27" s="119" t="s">
        <v>9</v>
      </c>
      <c r="F27" s="125" t="s">
        <v>34</v>
      </c>
      <c r="G27" s="24">
        <v>1.139</v>
      </c>
      <c r="H27" s="24">
        <v>1.139</v>
      </c>
      <c r="I27" s="29">
        <v>9755.9217391304301</v>
      </c>
      <c r="J27" s="24">
        <v>1</v>
      </c>
      <c r="K27" s="24">
        <v>1</v>
      </c>
      <c r="L27" s="24">
        <v>1</v>
      </c>
      <c r="M27" s="24">
        <v>1</v>
      </c>
      <c r="N27" s="24">
        <v>1</v>
      </c>
      <c r="O27" s="24">
        <v>1</v>
      </c>
      <c r="P27" s="24">
        <v>1</v>
      </c>
      <c r="Q27" s="24">
        <v>1</v>
      </c>
      <c r="R27" s="24">
        <v>1</v>
      </c>
      <c r="S27" s="24">
        <v>1</v>
      </c>
      <c r="T27" s="24">
        <v>1</v>
      </c>
      <c r="U27" s="24">
        <v>1</v>
      </c>
      <c r="V27" s="29">
        <v>9755.9217391304301</v>
      </c>
      <c r="W27" s="29">
        <v>0</v>
      </c>
      <c r="X27" s="29">
        <v>0</v>
      </c>
      <c r="Y27" s="29">
        <v>0</v>
      </c>
      <c r="Z27" s="29">
        <v>0</v>
      </c>
      <c r="AA27" s="29">
        <v>1046.4550437405551</v>
      </c>
      <c r="AB27" s="123">
        <v>0</v>
      </c>
      <c r="AC27" s="29">
        <v>0</v>
      </c>
      <c r="AE27" s="117"/>
      <c r="AF27" s="97"/>
      <c r="AG27" s="7"/>
      <c r="AH27" s="7"/>
      <c r="AI27" s="18"/>
      <c r="AJ27" s="18"/>
    </row>
    <row r="28" spans="1:36" x14ac:dyDescent="0.25">
      <c r="A28" s="6" t="s">
        <v>28</v>
      </c>
      <c r="B28" s="118" t="s">
        <v>46</v>
      </c>
      <c r="C28" s="155"/>
      <c r="D28" s="198" t="s">
        <v>122</v>
      </c>
      <c r="E28" s="119" t="s">
        <v>0</v>
      </c>
      <c r="F28" s="125" t="s">
        <v>31</v>
      </c>
      <c r="G28" s="24">
        <v>1.1499999999999999</v>
      </c>
      <c r="H28" s="24">
        <v>1.161</v>
      </c>
      <c r="I28" s="29">
        <v>9698.9098510582717</v>
      </c>
      <c r="J28" s="24">
        <v>0.99482360698977912</v>
      </c>
      <c r="K28" s="24">
        <v>0.99600883992479472</v>
      </c>
      <c r="L28" s="24">
        <v>0.99787218951698697</v>
      </c>
      <c r="M28" s="24">
        <v>0.99846039132295872</v>
      </c>
      <c r="N28" s="24">
        <v>0.99006575185820467</v>
      </c>
      <c r="O28" s="24">
        <v>1</v>
      </c>
      <c r="P28" s="24">
        <v>0.99832214765100669</v>
      </c>
      <c r="Q28" s="24">
        <v>0.99829043801445461</v>
      </c>
      <c r="R28" s="24">
        <v>0.9926444710354051</v>
      </c>
      <c r="S28" s="24">
        <v>0.99787218951698697</v>
      </c>
      <c r="T28" s="24">
        <v>0.99627642625706569</v>
      </c>
      <c r="U28" s="24">
        <v>0.99787218951698697</v>
      </c>
      <c r="V28" s="29">
        <v>9678.2724090033917</v>
      </c>
      <c r="W28" s="29">
        <v>23.960070225715796</v>
      </c>
      <c r="X28" s="29">
        <v>106.68800836164216</v>
      </c>
      <c r="Y28" s="29">
        <v>23.960070225715796</v>
      </c>
      <c r="Z28" s="29">
        <v>0</v>
      </c>
      <c r="AA28" s="29">
        <v>1199.1678149568938</v>
      </c>
      <c r="AB28" s="123">
        <v>0</v>
      </c>
      <c r="AC28" s="29">
        <v>0</v>
      </c>
      <c r="AE28" s="117"/>
      <c r="AF28" s="97"/>
      <c r="AG28" s="7"/>
      <c r="AH28" s="7"/>
      <c r="AI28" s="18"/>
      <c r="AJ28" s="18"/>
    </row>
    <row r="29" spans="1:36" x14ac:dyDescent="0.25">
      <c r="A29" s="6" t="s">
        <v>28</v>
      </c>
      <c r="B29" s="118" t="s">
        <v>46</v>
      </c>
      <c r="C29" s="155"/>
      <c r="D29" s="198" t="s">
        <v>123</v>
      </c>
      <c r="E29" s="119" t="s">
        <v>19</v>
      </c>
      <c r="F29" s="125" t="s">
        <v>31</v>
      </c>
      <c r="G29" s="24">
        <v>1.1000000000000001</v>
      </c>
      <c r="H29" s="24">
        <v>1.161</v>
      </c>
      <c r="I29" s="29">
        <v>2249.1157407407404</v>
      </c>
      <c r="J29" s="24">
        <v>0.9327556325823223</v>
      </c>
      <c r="K29" s="24">
        <v>0.90452428476380575</v>
      </c>
      <c r="L29" s="24">
        <v>0.89489340604858703</v>
      </c>
      <c r="M29" s="24">
        <v>0.94668794892258579</v>
      </c>
      <c r="N29" s="24">
        <v>0.93547386381262598</v>
      </c>
      <c r="O29" s="24">
        <v>0.94380530973451326</v>
      </c>
      <c r="P29" s="24">
        <v>0.91401841401841399</v>
      </c>
      <c r="Q29" s="24">
        <v>0.9094459713583104</v>
      </c>
      <c r="R29" s="24">
        <v>0.91703555619020416</v>
      </c>
      <c r="S29" s="24">
        <v>0.91703555619020416</v>
      </c>
      <c r="T29" s="24">
        <v>0.92207115415904084</v>
      </c>
      <c r="U29" s="24">
        <v>0.91703555619020416</v>
      </c>
      <c r="V29" s="29">
        <v>2062.519104246328</v>
      </c>
      <c r="W29" s="29">
        <v>216.63869497001292</v>
      </c>
      <c r="X29" s="29">
        <v>137.19606018518505</v>
      </c>
      <c r="Y29" s="29">
        <v>137.19606018518505</v>
      </c>
      <c r="Z29" s="29">
        <v>79.442634784827874</v>
      </c>
      <c r="AA29" s="29">
        <v>760.93551228104513</v>
      </c>
      <c r="AB29" s="123">
        <v>79.442634784827874</v>
      </c>
      <c r="AC29" s="29">
        <v>0</v>
      </c>
      <c r="AE29" s="117"/>
      <c r="AF29" s="97"/>
      <c r="AG29" s="7"/>
      <c r="AH29" s="7"/>
      <c r="AI29" s="18"/>
      <c r="AJ29" s="18"/>
    </row>
    <row r="30" spans="1:36" x14ac:dyDescent="0.25">
      <c r="A30" s="6" t="s">
        <v>28</v>
      </c>
      <c r="B30" s="118" t="s">
        <v>33</v>
      </c>
      <c r="C30" s="155"/>
      <c r="D30" s="198" t="s">
        <v>124</v>
      </c>
      <c r="E30" s="119" t="s">
        <v>3</v>
      </c>
      <c r="F30" s="125" t="s">
        <v>31</v>
      </c>
      <c r="G30" s="24">
        <v>1.161</v>
      </c>
      <c r="H30" s="24">
        <v>1.161</v>
      </c>
      <c r="I30" s="29">
        <v>1175.6378186878817</v>
      </c>
      <c r="J30" s="24">
        <v>0.96471774193548387</v>
      </c>
      <c r="K30" s="24">
        <v>0.90222334512379987</v>
      </c>
      <c r="L30" s="24">
        <v>0.94140323824209715</v>
      </c>
      <c r="M30" s="24">
        <v>0.99744506898313745</v>
      </c>
      <c r="N30" s="24">
        <v>0.89858728557013123</v>
      </c>
      <c r="O30" s="24">
        <v>0.99645479868321096</v>
      </c>
      <c r="P30" s="24">
        <v>0.97529921059332825</v>
      </c>
      <c r="Q30" s="24">
        <v>0.98030186748529036</v>
      </c>
      <c r="R30" s="24">
        <v>0.97437868306430953</v>
      </c>
      <c r="S30" s="24">
        <v>0.97437868306430953</v>
      </c>
      <c r="T30" s="24">
        <v>0.95897902663119872</v>
      </c>
      <c r="U30" s="24">
        <v>0.97437868306430953</v>
      </c>
      <c r="V30" s="29">
        <v>1145.5164295336956</v>
      </c>
      <c r="W30" s="29">
        <v>34.970932808009984</v>
      </c>
      <c r="X30" s="29">
        <v>0</v>
      </c>
      <c r="Y30" s="29">
        <v>0</v>
      </c>
      <c r="Z30" s="29">
        <v>34.970932808009984</v>
      </c>
      <c r="AA30" s="29">
        <v>147.42890211640213</v>
      </c>
      <c r="AB30" s="123">
        <v>34.970932808009984</v>
      </c>
      <c r="AC30" s="29">
        <v>0</v>
      </c>
      <c r="AE30" s="117"/>
      <c r="AF30" s="97"/>
      <c r="AG30" s="7"/>
      <c r="AH30" s="7"/>
      <c r="AI30" s="18"/>
      <c r="AJ30" s="18"/>
    </row>
    <row r="31" spans="1:36" x14ac:dyDescent="0.25">
      <c r="A31" s="6" t="s">
        <v>28</v>
      </c>
      <c r="B31" s="118" t="s">
        <v>46</v>
      </c>
      <c r="C31" s="155"/>
      <c r="D31" s="198" t="s">
        <v>125</v>
      </c>
      <c r="E31" s="119" t="s">
        <v>10</v>
      </c>
      <c r="F31" s="125" t="s">
        <v>31</v>
      </c>
      <c r="G31" s="24">
        <v>1.1200000000000001</v>
      </c>
      <c r="H31" s="24">
        <v>1.161</v>
      </c>
      <c r="I31" s="29">
        <v>3181.9884156729122</v>
      </c>
      <c r="J31" s="24">
        <v>0.96429056347589948</v>
      </c>
      <c r="K31" s="24">
        <v>0.96936351131674381</v>
      </c>
      <c r="L31" s="24">
        <v>0.98249935182784542</v>
      </c>
      <c r="M31" s="24">
        <v>0.93510091017016228</v>
      </c>
      <c r="N31" s="24">
        <v>0.97994450050454085</v>
      </c>
      <c r="O31" s="24">
        <v>0.89682139253279514</v>
      </c>
      <c r="P31" s="24">
        <v>0.92971762657046897</v>
      </c>
      <c r="Q31" s="24">
        <v>0.89850854856311391</v>
      </c>
      <c r="R31" s="24">
        <v>0.89762057877813506</v>
      </c>
      <c r="S31" s="24">
        <v>0.93510091017016228</v>
      </c>
      <c r="T31" s="24">
        <v>0.93931855374885609</v>
      </c>
      <c r="U31" s="24">
        <v>0.93510091017016228</v>
      </c>
      <c r="V31" s="29">
        <v>2975.4802636466529</v>
      </c>
      <c r="W31" s="29">
        <v>239.7559645024871</v>
      </c>
      <c r="X31" s="29">
        <v>130.46152504258916</v>
      </c>
      <c r="Y31" s="29">
        <v>130.46152504258916</v>
      </c>
      <c r="Z31" s="29">
        <v>109.29443945989794</v>
      </c>
      <c r="AA31" s="29">
        <v>1148.8403953420102</v>
      </c>
      <c r="AB31" s="123">
        <v>109.29443945989794</v>
      </c>
      <c r="AC31" s="29">
        <v>0</v>
      </c>
      <c r="AE31" s="117"/>
      <c r="AF31" s="97"/>
      <c r="AG31" s="7"/>
      <c r="AH31" s="7"/>
      <c r="AI31" s="18"/>
      <c r="AJ31" s="18"/>
    </row>
    <row r="32" spans="1:36" x14ac:dyDescent="0.25">
      <c r="A32" s="6" t="s">
        <v>28</v>
      </c>
      <c r="B32" s="118" t="s">
        <v>46</v>
      </c>
      <c r="C32" s="155"/>
      <c r="D32" s="198" t="s">
        <v>126</v>
      </c>
      <c r="E32" s="119" t="s">
        <v>12</v>
      </c>
      <c r="F32" s="125" t="s">
        <v>31</v>
      </c>
      <c r="G32" s="24">
        <v>1.161</v>
      </c>
      <c r="H32" s="24">
        <v>1.161</v>
      </c>
      <c r="I32" s="29">
        <v>9313.1154622527192</v>
      </c>
      <c r="J32" s="24">
        <v>0.99539532794249774</v>
      </c>
      <c r="K32" s="24">
        <v>0.9935734568823793</v>
      </c>
      <c r="L32" s="24">
        <v>0.99923997719931601</v>
      </c>
      <c r="M32" s="24">
        <v>0.99358006042296076</v>
      </c>
      <c r="N32" s="24">
        <v>0.99189564680456932</v>
      </c>
      <c r="O32" s="24">
        <v>0.99752314903021755</v>
      </c>
      <c r="P32" s="24">
        <v>0.9986965103720532</v>
      </c>
      <c r="Q32" s="24">
        <v>1</v>
      </c>
      <c r="R32" s="24">
        <v>0.99930015838520758</v>
      </c>
      <c r="S32" s="24">
        <v>0.99752314903021755</v>
      </c>
      <c r="T32" s="24">
        <v>0.99657825411546674</v>
      </c>
      <c r="U32" s="24">
        <v>0.99752314903021755</v>
      </c>
      <c r="V32" s="29">
        <v>9290.0482631883424</v>
      </c>
      <c r="W32" s="29">
        <v>26.781018113741226</v>
      </c>
      <c r="X32" s="29">
        <v>0</v>
      </c>
      <c r="Y32" s="29">
        <v>0</v>
      </c>
      <c r="Z32" s="29">
        <v>26.781018113741222</v>
      </c>
      <c r="AA32" s="29">
        <v>961.1537466586185</v>
      </c>
      <c r="AB32" s="123">
        <v>26.781018113741222</v>
      </c>
      <c r="AC32" s="29">
        <v>0</v>
      </c>
      <c r="AE32" s="117"/>
      <c r="AF32" s="97"/>
      <c r="AG32" s="7"/>
      <c r="AH32" s="7"/>
      <c r="AI32" s="18"/>
      <c r="AJ32" s="18"/>
    </row>
    <row r="33" spans="1:36" x14ac:dyDescent="0.25">
      <c r="A33" s="6" t="s">
        <v>28</v>
      </c>
      <c r="B33" s="118" t="s">
        <v>46</v>
      </c>
      <c r="C33" s="155"/>
      <c r="D33" s="198" t="s">
        <v>127</v>
      </c>
      <c r="E33" s="119" t="s">
        <v>15</v>
      </c>
      <c r="F33" s="125" t="s">
        <v>31</v>
      </c>
      <c r="G33" s="58">
        <v>1.1499999999999999</v>
      </c>
      <c r="H33" s="58">
        <v>1.161</v>
      </c>
      <c r="I33" s="29">
        <v>3863.0519774011318</v>
      </c>
      <c r="J33" s="24">
        <v>0.99099622422306133</v>
      </c>
      <c r="K33" s="24">
        <v>0.97869923317239416</v>
      </c>
      <c r="L33" s="24">
        <v>0.9956252579446967</v>
      </c>
      <c r="M33" s="24">
        <v>0.98443083205717208</v>
      </c>
      <c r="N33" s="24">
        <v>0.99544739673868055</v>
      </c>
      <c r="O33" s="24">
        <v>0.98626737260092656</v>
      </c>
      <c r="P33" s="24">
        <v>0.9777202937249666</v>
      </c>
      <c r="Q33" s="24">
        <v>0.98285578220493686</v>
      </c>
      <c r="R33" s="24">
        <v>0.90348563689500316</v>
      </c>
      <c r="S33" s="24">
        <v>0.98443083205717208</v>
      </c>
      <c r="T33" s="24">
        <v>0.97728089217353764</v>
      </c>
      <c r="U33" s="24">
        <v>0.98443083205717208</v>
      </c>
      <c r="V33" s="29">
        <v>3802.9074723931003</v>
      </c>
      <c r="W33" s="29">
        <v>69.827770314324823</v>
      </c>
      <c r="X33" s="29">
        <v>42.493571751412915</v>
      </c>
      <c r="Y33" s="29">
        <v>42.493571751412915</v>
      </c>
      <c r="Z33" s="29">
        <v>27.334198562911908</v>
      </c>
      <c r="AA33" s="29">
        <v>457.87703716478399</v>
      </c>
      <c r="AB33" s="123">
        <v>27.334198562911908</v>
      </c>
      <c r="AC33" s="29">
        <v>0</v>
      </c>
      <c r="AE33" s="117"/>
      <c r="AF33" s="97"/>
      <c r="AG33" s="7"/>
      <c r="AH33" s="7"/>
      <c r="AI33" s="18"/>
      <c r="AJ33" s="18"/>
    </row>
    <row r="34" spans="1:36" ht="6" customHeight="1" x14ac:dyDescent="0.25">
      <c r="D34" s="120"/>
      <c r="E34" s="120"/>
      <c r="F34" s="131"/>
      <c r="G34" s="64"/>
      <c r="H34" s="64"/>
      <c r="I34" s="65"/>
      <c r="J34" s="66"/>
      <c r="K34" s="66"/>
      <c r="L34" s="66"/>
      <c r="M34" s="66"/>
      <c r="N34" s="66"/>
      <c r="O34" s="66"/>
      <c r="P34" s="66"/>
      <c r="Q34" s="66"/>
      <c r="R34" s="66"/>
      <c r="S34" s="66"/>
      <c r="T34" s="66"/>
      <c r="U34" s="66"/>
      <c r="V34" s="65"/>
      <c r="W34" s="65"/>
      <c r="X34" s="65"/>
      <c r="Y34" s="65"/>
      <c r="Z34" s="65"/>
      <c r="AA34" s="65"/>
      <c r="AB34" s="141"/>
      <c r="AC34" s="65"/>
    </row>
    <row r="35" spans="1:36" ht="6" customHeight="1" x14ac:dyDescent="0.25">
      <c r="D35" s="119"/>
      <c r="E35" s="119"/>
      <c r="F35" s="125"/>
      <c r="G35" s="58"/>
      <c r="H35" s="58"/>
      <c r="I35" s="29"/>
      <c r="J35" s="24"/>
      <c r="K35" s="24"/>
      <c r="L35" s="24"/>
      <c r="M35" s="24"/>
      <c r="N35" s="24"/>
      <c r="O35" s="24"/>
      <c r="P35" s="24"/>
      <c r="Q35" s="24"/>
      <c r="R35" s="24"/>
      <c r="S35" s="24"/>
      <c r="T35" s="24"/>
      <c r="U35" s="24"/>
      <c r="V35" s="29"/>
      <c r="W35" s="29"/>
      <c r="X35" s="29"/>
      <c r="Y35" s="29"/>
      <c r="Z35" s="29"/>
      <c r="AA35" s="29"/>
      <c r="AB35" s="123"/>
      <c r="AC35" s="29"/>
    </row>
    <row r="36" spans="1:36" x14ac:dyDescent="0.25">
      <c r="D36" s="119"/>
      <c r="E36" s="9" t="s">
        <v>60</v>
      </c>
      <c r="F36" s="125"/>
      <c r="G36" s="58"/>
      <c r="H36" s="58"/>
      <c r="I36" s="200">
        <v>142490.20513344833</v>
      </c>
      <c r="J36" s="43"/>
      <c r="K36" s="43"/>
      <c r="L36" s="43"/>
      <c r="M36" s="43"/>
      <c r="N36" s="43"/>
      <c r="O36" s="43"/>
      <c r="P36" s="43"/>
      <c r="Q36" s="43"/>
      <c r="R36" s="43"/>
      <c r="S36" s="43"/>
      <c r="T36" s="43"/>
      <c r="U36" s="43"/>
      <c r="V36" s="200">
        <v>137110.73729738459</v>
      </c>
      <c r="W36" s="200">
        <v>6210.5396218865044</v>
      </c>
      <c r="X36" s="200">
        <v>4982.2587186146666</v>
      </c>
      <c r="Y36" s="200">
        <v>4480.5614896790439</v>
      </c>
      <c r="Z36" s="200">
        <v>1729.9781322074618</v>
      </c>
      <c r="AA36" s="200">
        <v>17972.804405342024</v>
      </c>
      <c r="AB36" s="126">
        <v>967.05830749406903</v>
      </c>
      <c r="AC36" s="200">
        <v>762.9198247133927</v>
      </c>
    </row>
    <row r="37" spans="1:36" ht="6" customHeight="1" x14ac:dyDescent="0.25">
      <c r="D37" s="120"/>
      <c r="E37" s="120"/>
      <c r="F37" s="131"/>
      <c r="G37" s="64"/>
      <c r="H37" s="64"/>
      <c r="I37" s="65"/>
      <c r="J37" s="66"/>
      <c r="K37" s="66"/>
      <c r="L37" s="66"/>
      <c r="M37" s="66"/>
      <c r="N37" s="66"/>
      <c r="O37" s="66"/>
      <c r="P37" s="66"/>
      <c r="Q37" s="66"/>
      <c r="R37" s="66"/>
      <c r="S37" s="66"/>
      <c r="T37" s="66"/>
      <c r="U37" s="66"/>
      <c r="V37" s="65"/>
      <c r="W37" s="65"/>
      <c r="X37" s="65"/>
      <c r="Y37" s="65"/>
      <c r="Z37" s="65"/>
      <c r="AA37" s="65"/>
      <c r="AB37" s="141"/>
      <c r="AC37" s="65"/>
    </row>
    <row r="38" spans="1:36" ht="6" customHeight="1" x14ac:dyDescent="0.25">
      <c r="D38" s="119"/>
      <c r="E38" s="119"/>
      <c r="F38" s="125"/>
      <c r="G38" s="58"/>
      <c r="H38" s="58"/>
      <c r="I38" s="29"/>
      <c r="J38" s="24"/>
      <c r="K38" s="24"/>
      <c r="L38" s="24"/>
      <c r="M38" s="24"/>
      <c r="N38" s="24"/>
      <c r="O38" s="24"/>
      <c r="P38" s="24"/>
      <c r="Q38" s="24"/>
      <c r="R38" s="24"/>
      <c r="S38" s="24"/>
      <c r="T38" s="24"/>
      <c r="U38" s="24"/>
      <c r="V38" s="29"/>
      <c r="W38" s="29"/>
      <c r="X38" s="29"/>
      <c r="Y38" s="29"/>
      <c r="Z38" s="29"/>
      <c r="AA38" s="29"/>
      <c r="AB38" s="123"/>
      <c r="AC38" s="29"/>
    </row>
    <row r="39" spans="1:36" x14ac:dyDescent="0.25">
      <c r="A39" s="6" t="s">
        <v>25</v>
      </c>
      <c r="C39" s="118" t="s">
        <v>33</v>
      </c>
      <c r="D39" s="201"/>
      <c r="E39" s="119" t="s">
        <v>33</v>
      </c>
      <c r="F39" s="125" t="s">
        <v>46</v>
      </c>
      <c r="G39" s="58">
        <v>1.1499999999999999</v>
      </c>
      <c r="H39" s="58">
        <v>1.1499999999999999</v>
      </c>
      <c r="I39" s="29">
        <v>50154.127578657834</v>
      </c>
      <c r="J39" s="24">
        <v>0.99769891022175361</v>
      </c>
      <c r="K39" s="24">
        <v>0.99017186159882786</v>
      </c>
      <c r="L39" s="24">
        <v>0.97865618333053672</v>
      </c>
      <c r="M39" s="24">
        <v>0.93352348278256347</v>
      </c>
      <c r="N39" s="24">
        <v>0.97805342146300989</v>
      </c>
      <c r="O39" s="24">
        <v>0.93659679709197663</v>
      </c>
      <c r="P39" s="24">
        <v>0.99803372530113876</v>
      </c>
      <c r="Q39" s="24">
        <v>0.99526920755160864</v>
      </c>
      <c r="R39" s="24">
        <v>0.96858401335435773</v>
      </c>
      <c r="S39" s="24">
        <v>0.97865618333053672</v>
      </c>
      <c r="T39" s="24">
        <v>0.97517640029953034</v>
      </c>
      <c r="U39" s="24">
        <v>0.97865618333053672</v>
      </c>
      <c r="V39" s="29">
        <v>49083.647074402092</v>
      </c>
      <c r="W39" s="29">
        <v>1231.0525798941067</v>
      </c>
      <c r="X39" s="29"/>
      <c r="Y39" s="29"/>
      <c r="Z39" s="29">
        <v>1231.0525798941085</v>
      </c>
      <c r="AA39" s="29">
        <v>10104.531190578016</v>
      </c>
      <c r="AB39" s="123">
        <v>1231.0525798941085</v>
      </c>
      <c r="AC39" s="29">
        <v>0</v>
      </c>
    </row>
    <row r="40" spans="1:36" x14ac:dyDescent="0.25">
      <c r="A40" s="6" t="s">
        <v>26</v>
      </c>
      <c r="C40" s="118" t="s">
        <v>46</v>
      </c>
      <c r="D40" s="201"/>
      <c r="E40" s="119" t="s">
        <v>32</v>
      </c>
      <c r="F40" s="125" t="s">
        <v>46</v>
      </c>
      <c r="G40" s="58">
        <v>1.1539999999999999</v>
      </c>
      <c r="H40" s="58">
        <v>1.1539999999999999</v>
      </c>
      <c r="I40" s="29">
        <v>48245.944037584813</v>
      </c>
      <c r="J40" s="24">
        <v>0.99845827565660039</v>
      </c>
      <c r="K40" s="24">
        <v>0.93704610707650737</v>
      </c>
      <c r="L40" s="24">
        <v>0.9390681976483608</v>
      </c>
      <c r="M40" s="24">
        <v>0.99244053319543524</v>
      </c>
      <c r="N40" s="24">
        <v>0.99105883452842636</v>
      </c>
      <c r="O40" s="24">
        <v>0.99386432183962115</v>
      </c>
      <c r="P40" s="24">
        <v>0.98871397064523014</v>
      </c>
      <c r="Q40" s="24">
        <v>0.96863596454373635</v>
      </c>
      <c r="R40" s="24">
        <v>0.98549116258678782</v>
      </c>
      <c r="S40" s="24">
        <v>0.98871397064523014</v>
      </c>
      <c r="T40" s="24">
        <v>0.97719748530230055</v>
      </c>
      <c r="U40" s="24">
        <v>0.98871397064523014</v>
      </c>
      <c r="V40" s="29">
        <v>47701.438896928048</v>
      </c>
      <c r="W40" s="29">
        <v>628.35893231790783</v>
      </c>
      <c r="X40" s="29"/>
      <c r="Y40" s="29"/>
      <c r="Z40" s="29">
        <v>628.35893231791169</v>
      </c>
      <c r="AA40" s="29">
        <v>12609.468809421989</v>
      </c>
      <c r="AB40" s="123">
        <v>628.35893231791169</v>
      </c>
      <c r="AC40" s="29">
        <v>0</v>
      </c>
    </row>
    <row r="41" spans="1:36" x14ac:dyDescent="0.25">
      <c r="A41" s="6" t="s">
        <v>27</v>
      </c>
      <c r="C41" s="118" t="s">
        <v>46</v>
      </c>
      <c r="D41" s="201"/>
      <c r="E41" s="119" t="s">
        <v>34</v>
      </c>
      <c r="F41" s="125" t="s">
        <v>46</v>
      </c>
      <c r="G41" s="58">
        <v>1.139</v>
      </c>
      <c r="H41" s="58">
        <v>1.139</v>
      </c>
      <c r="I41" s="29">
        <v>9755.9217391304301</v>
      </c>
      <c r="J41" s="24">
        <v>0.9511203616377768</v>
      </c>
      <c r="K41" s="24">
        <v>0.79611020067406701</v>
      </c>
      <c r="L41" s="24">
        <v>0.77944055060933259</v>
      </c>
      <c r="M41" s="24">
        <v>0.85900141863603341</v>
      </c>
      <c r="N41" s="24">
        <v>0.93007062568387544</v>
      </c>
      <c r="O41" s="24">
        <v>0.90666151518078497</v>
      </c>
      <c r="P41" s="24">
        <v>0.71535330407683018</v>
      </c>
      <c r="Q41" s="24">
        <v>0.83614693877551016</v>
      </c>
      <c r="R41" s="24">
        <v>0.67624780197484102</v>
      </c>
      <c r="S41" s="24">
        <v>0.83614693877551016</v>
      </c>
      <c r="T41" s="24">
        <v>0.8277947463610057</v>
      </c>
      <c r="U41" s="24">
        <v>0.83614693877551016</v>
      </c>
      <c r="V41" s="29">
        <v>8157.3840971073605</v>
      </c>
      <c r="W41" s="29">
        <v>1820.7343742642763</v>
      </c>
      <c r="X41" s="29"/>
      <c r="Y41" s="29"/>
      <c r="Z41" s="29">
        <v>1820.7343742642759</v>
      </c>
      <c r="AA41" s="29">
        <v>496.31867788837758</v>
      </c>
      <c r="AB41" s="123">
        <v>496.31867788837758</v>
      </c>
      <c r="AC41" s="29">
        <v>1324.4156963758983</v>
      </c>
    </row>
    <row r="42" spans="1:36" x14ac:dyDescent="0.25">
      <c r="A42" s="6" t="s">
        <v>28</v>
      </c>
      <c r="C42" s="118" t="s">
        <v>46</v>
      </c>
      <c r="D42" s="201"/>
      <c r="E42" s="119" t="s">
        <v>31</v>
      </c>
      <c r="F42" s="125" t="s">
        <v>46</v>
      </c>
      <c r="G42" s="58">
        <v>1.161</v>
      </c>
      <c r="H42" s="58">
        <v>1.161</v>
      </c>
      <c r="I42" s="29">
        <v>28954.743942011512</v>
      </c>
      <c r="J42" s="24">
        <v>0.98313527787780575</v>
      </c>
      <c r="K42" s="24">
        <v>0.97651602751320232</v>
      </c>
      <c r="L42" s="24">
        <v>0.94697662112757364</v>
      </c>
      <c r="M42" s="24">
        <v>0.99564665921403384</v>
      </c>
      <c r="N42" s="24">
        <v>0.9405647615826852</v>
      </c>
      <c r="O42" s="24">
        <v>0.99219770562667742</v>
      </c>
      <c r="P42" s="24">
        <v>0.97216578387964347</v>
      </c>
      <c r="Q42" s="24">
        <v>0.96371469750628558</v>
      </c>
      <c r="R42" s="24">
        <v>0.94344825967564017</v>
      </c>
      <c r="S42" s="24">
        <v>0.97216578387964347</v>
      </c>
      <c r="T42" s="24">
        <v>0.96826286600039424</v>
      </c>
      <c r="U42" s="24">
        <v>0.97216578387964347</v>
      </c>
      <c r="V42" s="29">
        <v>28148.81134141998</v>
      </c>
      <c r="W42" s="29">
        <v>935.68774928676896</v>
      </c>
      <c r="X42" s="29"/>
      <c r="Y42" s="29"/>
      <c r="Z42" s="29">
        <v>935.68774928676714</v>
      </c>
      <c r="AA42" s="29">
        <v>5573.4701917795765</v>
      </c>
      <c r="AB42" s="123">
        <v>935.68774928676714</v>
      </c>
      <c r="AC42" s="29">
        <v>0</v>
      </c>
    </row>
    <row r="43" spans="1:36" ht="6" customHeight="1" x14ac:dyDescent="0.25">
      <c r="D43" s="120"/>
      <c r="E43" s="120"/>
      <c r="F43" s="131"/>
      <c r="G43" s="64"/>
      <c r="H43" s="64"/>
      <c r="I43" s="65"/>
      <c r="J43" s="66"/>
      <c r="K43" s="66"/>
      <c r="L43" s="66"/>
      <c r="M43" s="66"/>
      <c r="N43" s="66"/>
      <c r="O43" s="66"/>
      <c r="P43" s="66"/>
      <c r="Q43" s="66"/>
      <c r="R43" s="66"/>
      <c r="S43" s="66"/>
      <c r="T43" s="66"/>
      <c r="U43" s="66"/>
      <c r="V43" s="65"/>
      <c r="W43" s="65"/>
      <c r="X43" s="65"/>
      <c r="Y43" s="65"/>
      <c r="Z43" s="65"/>
      <c r="AA43" s="65"/>
      <c r="AB43" s="141"/>
      <c r="AC43" s="65"/>
    </row>
    <row r="44" spans="1:36" ht="6" customHeight="1" x14ac:dyDescent="0.25">
      <c r="D44" s="119"/>
      <c r="E44" s="119"/>
      <c r="F44" s="125"/>
      <c r="G44" s="58"/>
      <c r="H44" s="58"/>
      <c r="I44" s="29"/>
      <c r="J44" s="24"/>
      <c r="K44" s="24"/>
      <c r="L44" s="24"/>
      <c r="M44" s="24"/>
      <c r="N44" s="24"/>
      <c r="O44" s="24"/>
      <c r="P44" s="24"/>
      <c r="Q44" s="24"/>
      <c r="R44" s="24"/>
      <c r="S44" s="24"/>
      <c r="T44" s="24"/>
      <c r="U44" s="24"/>
      <c r="V44" s="29"/>
      <c r="W44" s="29"/>
      <c r="X44" s="29"/>
      <c r="Y44" s="29"/>
      <c r="Z44" s="29"/>
      <c r="AA44" s="29"/>
      <c r="AB44" s="123"/>
      <c r="AC44" s="29"/>
    </row>
    <row r="45" spans="1:36" x14ac:dyDescent="0.25">
      <c r="D45" s="119"/>
      <c r="E45" s="9" t="s">
        <v>61</v>
      </c>
      <c r="F45" s="125"/>
      <c r="G45" s="58"/>
      <c r="H45" s="58"/>
      <c r="I45" s="200">
        <v>137110.73729738459</v>
      </c>
      <c r="J45" s="43"/>
      <c r="K45" s="43"/>
      <c r="L45" s="43"/>
      <c r="M45" s="43"/>
      <c r="N45" s="43"/>
      <c r="O45" s="43"/>
      <c r="P45" s="43"/>
      <c r="Q45" s="43"/>
      <c r="R45" s="43"/>
      <c r="S45" s="43"/>
      <c r="T45" s="43"/>
      <c r="U45" s="43"/>
      <c r="V45" s="200">
        <v>133091.2814098575</v>
      </c>
      <c r="W45" s="200">
        <v>4615.8336357630596</v>
      </c>
      <c r="X45" s="200"/>
      <c r="Y45" s="200"/>
      <c r="Z45" s="200">
        <v>4615.8336357630633</v>
      </c>
      <c r="AA45" s="200">
        <v>28783.788869667962</v>
      </c>
      <c r="AB45" s="126">
        <v>3291.4179393871646</v>
      </c>
      <c r="AC45" s="200">
        <v>1324.4156963758983</v>
      </c>
    </row>
    <row r="46" spans="1:36" ht="6" customHeight="1" thickBot="1" x14ac:dyDescent="0.3">
      <c r="A46" s="2"/>
      <c r="B46" s="121"/>
      <c r="C46" s="121"/>
      <c r="D46" s="1"/>
      <c r="E46" s="1"/>
      <c r="F46" s="1"/>
      <c r="G46" s="53"/>
      <c r="H46" s="53"/>
      <c r="I46" s="22"/>
      <c r="J46" s="47"/>
      <c r="K46" s="47"/>
      <c r="L46" s="47"/>
      <c r="M46" s="47"/>
      <c r="N46" s="47"/>
      <c r="O46" s="47"/>
      <c r="P46" s="47"/>
      <c r="Q46" s="47"/>
      <c r="R46" s="47"/>
      <c r="S46" s="47"/>
      <c r="T46" s="47"/>
      <c r="U46" s="47"/>
      <c r="V46" s="57"/>
      <c r="W46" s="57"/>
      <c r="X46" s="57"/>
      <c r="Y46" s="57"/>
      <c r="Z46" s="57"/>
      <c r="AA46" s="22"/>
      <c r="AB46" s="57"/>
      <c r="AC46" s="22"/>
    </row>
    <row r="47" spans="1:36" ht="6" customHeight="1" thickTop="1" x14ac:dyDescent="0.25">
      <c r="D47" s="119"/>
      <c r="E47" s="119"/>
      <c r="F47" s="119"/>
      <c r="G47" s="54"/>
      <c r="H47" s="54"/>
      <c r="I47" s="19"/>
      <c r="J47" s="42"/>
      <c r="K47" s="42"/>
      <c r="L47" s="42"/>
      <c r="M47" s="42"/>
      <c r="N47" s="42"/>
      <c r="O47" s="42"/>
      <c r="P47" s="42"/>
      <c r="Q47" s="42"/>
      <c r="R47" s="42"/>
      <c r="S47" s="42"/>
      <c r="T47" s="42"/>
      <c r="U47" s="42"/>
      <c r="V47" s="28"/>
      <c r="W47" s="90"/>
      <c r="X47" s="90"/>
      <c r="Y47" s="90"/>
      <c r="Z47" s="90"/>
      <c r="AA47" s="19"/>
      <c r="AB47" s="28"/>
      <c r="AC47" s="19"/>
    </row>
    <row r="48" spans="1:36" x14ac:dyDescent="0.25">
      <c r="D48" s="119" t="s">
        <v>23</v>
      </c>
      <c r="E48" s="119"/>
      <c r="F48" s="119"/>
      <c r="G48" s="54"/>
      <c r="H48" s="54"/>
      <c r="I48" s="19"/>
      <c r="J48" s="42"/>
      <c r="K48" s="42"/>
      <c r="L48" s="42"/>
      <c r="M48" s="42"/>
      <c r="N48" s="42"/>
      <c r="O48" s="42"/>
      <c r="P48" s="42"/>
      <c r="Q48" s="42"/>
      <c r="R48" s="42"/>
      <c r="S48" s="42"/>
      <c r="T48" s="42"/>
      <c r="U48" s="42"/>
      <c r="V48" s="28"/>
      <c r="W48" s="28"/>
      <c r="X48" s="28"/>
      <c r="Y48" s="28"/>
      <c r="Z48" s="28"/>
      <c r="AA48" s="19"/>
      <c r="AB48" s="28"/>
      <c r="AC48" s="19"/>
    </row>
    <row r="49" spans="1:30" x14ac:dyDescent="0.25">
      <c r="D49" s="202" t="s">
        <v>133</v>
      </c>
      <c r="E49" s="10" t="s">
        <v>102</v>
      </c>
      <c r="F49" s="119"/>
      <c r="G49" s="55"/>
      <c r="H49" s="54"/>
      <c r="I49" s="19"/>
      <c r="J49" s="42"/>
      <c r="K49" s="42"/>
      <c r="L49" s="42"/>
      <c r="M49" s="42"/>
      <c r="N49" s="42"/>
      <c r="O49" s="42"/>
      <c r="P49" s="42"/>
      <c r="Q49" s="42"/>
      <c r="R49" s="42"/>
      <c r="S49" s="42"/>
      <c r="T49" s="42"/>
      <c r="U49" s="42"/>
      <c r="V49" s="28"/>
      <c r="W49" s="28"/>
      <c r="X49" s="28"/>
      <c r="Y49" s="28"/>
      <c r="Z49" s="28"/>
      <c r="AA49" s="19"/>
      <c r="AB49" s="28"/>
      <c r="AC49" s="19"/>
    </row>
    <row r="50" spans="1:30" x14ac:dyDescent="0.25">
      <c r="D50" s="202" t="s">
        <v>134</v>
      </c>
      <c r="E50" s="10" t="s">
        <v>49</v>
      </c>
      <c r="F50" s="119"/>
      <c r="G50" s="54"/>
      <c r="H50" s="54"/>
      <c r="I50" s="19"/>
      <c r="J50" s="42"/>
      <c r="K50" s="42"/>
      <c r="L50" s="42"/>
      <c r="M50" s="42"/>
      <c r="N50" s="42"/>
      <c r="O50" s="42"/>
      <c r="P50" s="42"/>
      <c r="Q50" s="42"/>
      <c r="R50" s="42"/>
      <c r="S50" s="42"/>
      <c r="T50" s="42"/>
      <c r="U50" s="42"/>
      <c r="V50" s="28"/>
      <c r="W50" s="90"/>
      <c r="X50" s="90"/>
      <c r="Y50" s="90"/>
      <c r="Z50" s="90"/>
      <c r="AA50" s="19"/>
      <c r="AB50" s="28"/>
      <c r="AC50" s="19"/>
    </row>
    <row r="51" spans="1:30" x14ac:dyDescent="0.25">
      <c r="D51" s="202" t="s">
        <v>135</v>
      </c>
      <c r="E51" s="10" t="s">
        <v>103</v>
      </c>
      <c r="F51" s="119"/>
      <c r="G51" s="54"/>
      <c r="H51" s="54"/>
      <c r="I51" s="19"/>
      <c r="J51" s="42"/>
      <c r="K51" s="42"/>
      <c r="L51" s="42"/>
      <c r="M51" s="42"/>
      <c r="N51" s="42"/>
      <c r="O51" s="42"/>
      <c r="P51" s="42"/>
      <c r="Q51" s="42"/>
      <c r="R51" s="42"/>
      <c r="S51" s="42"/>
      <c r="T51" s="42"/>
      <c r="U51" s="42"/>
      <c r="V51" s="28"/>
      <c r="W51" s="90"/>
      <c r="X51" s="90"/>
      <c r="Y51" s="90"/>
      <c r="Z51" s="90"/>
      <c r="AA51" s="19"/>
      <c r="AB51" s="28"/>
      <c r="AC51" s="19"/>
    </row>
    <row r="52" spans="1:30" s="14" customFormat="1" x14ac:dyDescent="0.25">
      <c r="A52" s="6"/>
      <c r="B52" s="118"/>
      <c r="C52" s="118"/>
      <c r="D52" s="202" t="s">
        <v>136</v>
      </c>
      <c r="E52" s="10" t="s">
        <v>141</v>
      </c>
      <c r="F52" s="10"/>
      <c r="G52" s="203"/>
      <c r="H52" s="203"/>
      <c r="I52" s="28"/>
      <c r="J52" s="67"/>
      <c r="K52" s="67"/>
      <c r="L52" s="67"/>
      <c r="M52" s="67"/>
      <c r="N52" s="67"/>
      <c r="O52" s="67"/>
      <c r="P52" s="67"/>
      <c r="Q52" s="67"/>
      <c r="R52" s="67"/>
      <c r="S52" s="67"/>
      <c r="T52" s="67"/>
      <c r="U52" s="67"/>
      <c r="V52" s="28"/>
      <c r="W52" s="28"/>
      <c r="X52" s="28"/>
      <c r="Y52" s="28"/>
      <c r="Z52" s="28"/>
      <c r="AA52" s="28"/>
      <c r="AB52" s="28"/>
      <c r="AC52" s="28"/>
      <c r="AD52"/>
    </row>
    <row r="53" spans="1:30" s="14" customFormat="1" x14ac:dyDescent="0.25">
      <c r="A53" s="6"/>
      <c r="B53" s="118"/>
      <c r="C53" s="118"/>
      <c r="D53" s="202" t="s">
        <v>137</v>
      </c>
      <c r="E53" s="10" t="s">
        <v>150</v>
      </c>
      <c r="F53" s="10"/>
      <c r="G53" s="203"/>
      <c r="H53" s="203"/>
      <c r="I53" s="28"/>
      <c r="J53" s="67"/>
      <c r="K53" s="67"/>
      <c r="L53" s="67"/>
      <c r="M53" s="67"/>
      <c r="N53" s="67"/>
      <c r="O53" s="67"/>
      <c r="P53" s="67"/>
      <c r="Q53" s="67"/>
      <c r="R53" s="67"/>
      <c r="S53" s="67"/>
      <c r="T53" s="67"/>
      <c r="U53" s="67"/>
      <c r="V53" s="28"/>
      <c r="W53" s="28"/>
      <c r="X53" s="28"/>
      <c r="Y53" s="28"/>
      <c r="Z53" s="28"/>
      <c r="AA53" s="28"/>
      <c r="AB53" s="28"/>
      <c r="AC53" s="28"/>
      <c r="AD53"/>
    </row>
    <row r="54" spans="1:30" s="14" customFormat="1" x14ac:dyDescent="0.25">
      <c r="A54" s="6"/>
      <c r="B54" s="118"/>
      <c r="C54" s="118"/>
      <c r="D54" s="202" t="s">
        <v>138</v>
      </c>
      <c r="E54" s="10" t="s">
        <v>151</v>
      </c>
      <c r="F54" s="10"/>
      <c r="G54" s="203"/>
      <c r="H54" s="203"/>
      <c r="I54" s="28"/>
      <c r="J54" s="67"/>
      <c r="K54" s="67"/>
      <c r="L54" s="67"/>
      <c r="M54" s="67"/>
      <c r="N54" s="67"/>
      <c r="O54" s="67"/>
      <c r="P54" s="67"/>
      <c r="Q54" s="67"/>
      <c r="R54" s="67"/>
      <c r="S54" s="67"/>
      <c r="T54" s="67"/>
      <c r="U54" s="67"/>
      <c r="V54" s="28"/>
      <c r="W54" s="28"/>
      <c r="X54" s="28"/>
      <c r="Y54" s="28"/>
      <c r="Z54" s="28"/>
      <c r="AA54" s="28"/>
      <c r="AB54" s="28"/>
      <c r="AC54" s="28"/>
      <c r="AD54"/>
    </row>
    <row r="55" spans="1:30" x14ac:dyDescent="0.25">
      <c r="D55" s="202" t="s">
        <v>139</v>
      </c>
      <c r="E55" s="10" t="s">
        <v>152</v>
      </c>
      <c r="F55" s="119"/>
      <c r="G55" s="54"/>
      <c r="H55" s="54"/>
      <c r="I55" s="19"/>
      <c r="J55" s="42"/>
      <c r="K55" s="42"/>
      <c r="L55" s="42"/>
      <c r="M55" s="42"/>
      <c r="N55" s="42"/>
      <c r="O55" s="42"/>
      <c r="P55" s="42"/>
      <c r="Q55" s="42"/>
      <c r="R55" s="42"/>
      <c r="S55" s="42"/>
      <c r="T55" s="42"/>
      <c r="U55" s="42"/>
      <c r="V55" s="28"/>
      <c r="W55" s="28"/>
      <c r="X55" s="28"/>
      <c r="Y55" s="28"/>
      <c r="Z55" s="28"/>
      <c r="AA55" s="19"/>
      <c r="AB55" s="28"/>
      <c r="AC55" s="19"/>
    </row>
    <row r="56" spans="1:30" x14ac:dyDescent="0.25">
      <c r="D56" s="202" t="s">
        <v>140</v>
      </c>
      <c r="E56" s="10" t="s">
        <v>153</v>
      </c>
      <c r="F56" s="119"/>
      <c r="G56" s="54"/>
      <c r="H56" s="10"/>
      <c r="I56" s="19"/>
      <c r="J56" s="42"/>
      <c r="K56" s="42"/>
      <c r="L56" s="42"/>
      <c r="M56" s="42"/>
      <c r="N56" s="42"/>
      <c r="O56" s="42"/>
      <c r="P56" s="42"/>
      <c r="Q56" s="42"/>
      <c r="R56" s="42"/>
      <c r="S56" s="42"/>
      <c r="T56" s="42"/>
      <c r="U56" s="42"/>
      <c r="V56" s="28"/>
      <c r="W56" s="28"/>
      <c r="X56" s="28"/>
      <c r="Y56" s="28"/>
      <c r="Z56" s="28"/>
      <c r="AA56" s="19"/>
      <c r="AB56" s="28"/>
      <c r="AC56" s="19"/>
    </row>
    <row r="57" spans="1:30" x14ac:dyDescent="0.25">
      <c r="D57" s="202" t="s">
        <v>146</v>
      </c>
      <c r="E57" s="119" t="s">
        <v>154</v>
      </c>
      <c r="F57" s="119"/>
      <c r="G57" s="54"/>
      <c r="H57" s="54"/>
      <c r="I57" s="19"/>
      <c r="J57" s="42"/>
      <c r="K57" s="42"/>
      <c r="L57" s="42"/>
      <c r="M57" s="42"/>
      <c r="N57" s="42"/>
      <c r="O57" s="42"/>
      <c r="P57" s="42"/>
      <c r="Q57" s="42"/>
      <c r="R57" s="42"/>
      <c r="S57" s="42"/>
      <c r="T57" s="42"/>
      <c r="U57" s="42"/>
      <c r="V57" s="28"/>
      <c r="W57" s="28"/>
      <c r="X57" s="28"/>
      <c r="Y57" s="28"/>
      <c r="Z57" s="28"/>
      <c r="AA57" s="19"/>
      <c r="AB57" s="28"/>
      <c r="AC57" s="19"/>
    </row>
    <row r="58" spans="1:30" s="18" customFormat="1" x14ac:dyDescent="0.25">
      <c r="A58" s="118"/>
      <c r="B58" s="118"/>
      <c r="C58" s="118"/>
      <c r="D58" s="204" t="s">
        <v>147</v>
      </c>
      <c r="E58" s="10" t="s">
        <v>54</v>
      </c>
      <c r="F58" s="10"/>
      <c r="G58" s="203"/>
      <c r="H58" s="203"/>
      <c r="I58" s="28"/>
      <c r="J58" s="67"/>
      <c r="K58" s="67"/>
      <c r="L58" s="67"/>
      <c r="M58" s="67"/>
      <c r="N58" s="67"/>
      <c r="O58" s="67"/>
      <c r="P58" s="67"/>
      <c r="Q58" s="67"/>
      <c r="R58" s="67"/>
      <c r="S58" s="67"/>
      <c r="T58" s="67"/>
      <c r="U58" s="67"/>
      <c r="V58" s="28"/>
      <c r="W58" s="28"/>
      <c r="X58" s="28"/>
      <c r="Y58" s="28"/>
      <c r="Z58" s="28"/>
      <c r="AA58" s="19"/>
      <c r="AB58" s="28"/>
      <c r="AC58" s="19"/>
      <c r="AD58" s="117"/>
    </row>
    <row r="59" spans="1:30" s="18" customFormat="1" x14ac:dyDescent="0.25">
      <c r="A59" s="118"/>
      <c r="B59" s="118"/>
      <c r="C59" s="118"/>
      <c r="D59" s="205" t="s">
        <v>148</v>
      </c>
      <c r="E59" s="10" t="s">
        <v>155</v>
      </c>
      <c r="F59" s="10"/>
      <c r="G59" s="203"/>
      <c r="H59" s="203"/>
      <c r="I59" s="28"/>
      <c r="J59" s="67"/>
      <c r="K59" s="67"/>
      <c r="L59" s="67"/>
      <c r="M59" s="67"/>
      <c r="N59" s="67"/>
      <c r="O59" s="67"/>
      <c r="P59" s="67"/>
      <c r="Q59" s="67"/>
      <c r="R59" s="67"/>
      <c r="S59" s="67"/>
      <c r="T59" s="67"/>
      <c r="U59" s="67"/>
      <c r="V59" s="28"/>
      <c r="W59" s="28"/>
      <c r="X59" s="28"/>
      <c r="Y59" s="28"/>
      <c r="Z59" s="28"/>
      <c r="AA59" s="19"/>
      <c r="AB59" s="28"/>
      <c r="AC59" s="19"/>
      <c r="AD59" s="117"/>
    </row>
    <row r="60" spans="1:30" s="18" customFormat="1" x14ac:dyDescent="0.25">
      <c r="A60" s="118"/>
      <c r="B60" s="118"/>
      <c r="C60" s="118"/>
      <c r="D60" s="205" t="s">
        <v>149</v>
      </c>
      <c r="E60" s="10" t="s">
        <v>156</v>
      </c>
      <c r="F60" s="10"/>
      <c r="G60" s="203"/>
      <c r="H60" s="203"/>
      <c r="I60" s="28"/>
      <c r="J60" s="67"/>
      <c r="K60" s="67"/>
      <c r="L60" s="67"/>
      <c r="M60" s="67"/>
      <c r="N60" s="67"/>
      <c r="O60" s="67"/>
      <c r="P60" s="67"/>
      <c r="Q60" s="67"/>
      <c r="R60" s="67"/>
      <c r="S60" s="67"/>
      <c r="T60" s="67"/>
      <c r="U60" s="67"/>
      <c r="V60" s="28"/>
      <c r="W60" s="28"/>
      <c r="X60" s="28"/>
      <c r="Y60" s="28"/>
      <c r="Z60" s="28"/>
      <c r="AA60" s="19"/>
      <c r="AB60" s="28"/>
      <c r="AC60" s="19"/>
      <c r="AD60" s="117"/>
    </row>
    <row r="61" spans="1:30" s="18" customFormat="1" x14ac:dyDescent="0.25">
      <c r="A61" s="118"/>
      <c r="B61" s="118"/>
      <c r="C61" s="118"/>
      <c r="D61" s="10"/>
      <c r="E61" s="10"/>
      <c r="F61" s="10"/>
      <c r="G61" s="203"/>
      <c r="H61" s="203"/>
      <c r="I61" s="28"/>
      <c r="J61" s="67"/>
      <c r="K61" s="67"/>
      <c r="L61" s="67"/>
      <c r="M61" s="67"/>
      <c r="N61" s="67"/>
      <c r="O61" s="67"/>
      <c r="P61" s="67"/>
      <c r="Q61" s="67"/>
      <c r="R61" s="67"/>
      <c r="S61" s="67"/>
      <c r="T61" s="67"/>
      <c r="U61" s="67"/>
      <c r="V61" s="28"/>
      <c r="W61" s="28"/>
      <c r="X61" s="28"/>
      <c r="Y61" s="28"/>
      <c r="Z61" s="28"/>
      <c r="AA61" s="19"/>
      <c r="AB61" s="28"/>
      <c r="AC61" s="19"/>
      <c r="AD61" s="117"/>
    </row>
    <row r="62" spans="1:30" x14ac:dyDescent="0.25">
      <c r="D62" s="10"/>
      <c r="E62" s="10"/>
      <c r="F62" s="10"/>
      <c r="G62" s="203"/>
      <c r="H62" s="203"/>
      <c r="I62" s="28"/>
      <c r="J62" s="67"/>
      <c r="K62" s="67"/>
      <c r="L62" s="67"/>
      <c r="M62" s="67"/>
      <c r="N62" s="67"/>
      <c r="O62" s="67"/>
      <c r="P62" s="67"/>
      <c r="Q62" s="67"/>
      <c r="R62" s="67"/>
      <c r="S62" s="67"/>
      <c r="T62" s="67"/>
      <c r="U62" s="67"/>
      <c r="V62" s="28"/>
      <c r="W62" s="28"/>
      <c r="X62" s="28"/>
      <c r="Y62" s="28"/>
      <c r="Z62" s="28"/>
      <c r="AA62" s="19"/>
      <c r="AB62" s="28"/>
      <c r="AC62" s="19"/>
    </row>
    <row r="63" spans="1:30" x14ac:dyDescent="0.25">
      <c r="D63" s="10"/>
      <c r="E63" s="10"/>
      <c r="F63" s="10"/>
      <c r="G63" s="203"/>
      <c r="H63" s="203"/>
      <c r="I63" s="28"/>
      <c r="J63" s="67"/>
      <c r="K63" s="67"/>
      <c r="L63" s="67"/>
      <c r="M63" s="67"/>
      <c r="N63" s="67"/>
      <c r="O63" s="67"/>
      <c r="P63" s="67"/>
      <c r="Q63" s="67"/>
      <c r="R63" s="67"/>
      <c r="S63" s="67"/>
      <c r="T63" s="67"/>
      <c r="U63" s="67"/>
      <c r="V63" s="28"/>
      <c r="W63" s="28"/>
      <c r="X63" s="28"/>
      <c r="Y63" s="28"/>
      <c r="Z63" s="28"/>
      <c r="AA63" s="19"/>
      <c r="AB63" s="28"/>
      <c r="AC63" s="19"/>
    </row>
    <row r="64" spans="1:30" x14ac:dyDescent="0.25">
      <c r="D64" s="10"/>
      <c r="E64" s="10"/>
      <c r="F64" s="10"/>
      <c r="G64" s="203"/>
      <c r="H64" s="203"/>
      <c r="I64" s="28"/>
      <c r="J64" s="67"/>
      <c r="K64" s="67"/>
      <c r="L64" s="67"/>
      <c r="M64" s="67"/>
      <c r="N64" s="67"/>
      <c r="O64" s="67"/>
      <c r="P64" s="67"/>
      <c r="Q64" s="67"/>
      <c r="R64" s="67"/>
      <c r="S64" s="67"/>
      <c r="T64" s="67"/>
      <c r="U64" s="67"/>
      <c r="V64" s="28"/>
      <c r="W64" s="28"/>
      <c r="X64" s="28"/>
      <c r="Y64" s="28"/>
      <c r="Z64" s="28"/>
      <c r="AA64" s="19"/>
      <c r="AB64" s="28"/>
      <c r="AC64" s="19"/>
    </row>
    <row r="65" spans="4:29" x14ac:dyDescent="0.25">
      <c r="D65" s="10"/>
      <c r="E65" s="10"/>
      <c r="F65" s="10"/>
      <c r="G65" s="203"/>
      <c r="H65" s="203"/>
      <c r="I65" s="28"/>
      <c r="J65" s="67"/>
      <c r="K65" s="67"/>
      <c r="L65" s="67"/>
      <c r="M65" s="67"/>
      <c r="N65" s="67"/>
      <c r="O65" s="67"/>
      <c r="P65" s="67"/>
      <c r="Q65" s="67"/>
      <c r="R65" s="67"/>
      <c r="S65" s="67"/>
      <c r="T65" s="67"/>
      <c r="U65" s="67"/>
      <c r="V65" s="28"/>
      <c r="W65" s="28"/>
      <c r="X65" s="28"/>
      <c r="Y65" s="28"/>
      <c r="Z65" s="28"/>
      <c r="AA65" s="19"/>
      <c r="AB65" s="28"/>
      <c r="AC65" s="19"/>
    </row>
    <row r="66" spans="4:29" x14ac:dyDescent="0.25">
      <c r="D66" s="10"/>
      <c r="E66" s="10"/>
      <c r="F66" s="10"/>
      <c r="G66" s="203"/>
      <c r="H66" s="203"/>
      <c r="I66" s="28"/>
      <c r="J66" s="67"/>
      <c r="K66" s="67"/>
      <c r="L66" s="67"/>
      <c r="M66" s="67"/>
      <c r="N66" s="67"/>
      <c r="O66" s="67"/>
      <c r="P66" s="67"/>
      <c r="Q66" s="67"/>
      <c r="R66" s="67"/>
      <c r="S66" s="67"/>
      <c r="T66" s="67"/>
      <c r="U66" s="67"/>
      <c r="V66" s="28"/>
      <c r="W66" s="28"/>
      <c r="X66" s="28"/>
      <c r="Y66" s="28"/>
      <c r="Z66" s="28"/>
      <c r="AA66" s="19"/>
      <c r="AB66" s="28"/>
      <c r="AC66" s="19"/>
    </row>
    <row r="67" spans="4:29" x14ac:dyDescent="0.25">
      <c r="D67" s="10"/>
      <c r="E67" s="10"/>
      <c r="F67" s="10"/>
      <c r="G67" s="203"/>
      <c r="H67" s="203"/>
      <c r="I67" s="28"/>
      <c r="J67" s="67"/>
      <c r="K67" s="67"/>
      <c r="L67" s="67"/>
      <c r="M67" s="67"/>
      <c r="N67" s="67"/>
      <c r="O67" s="67"/>
      <c r="P67" s="67"/>
      <c r="Q67" s="67"/>
      <c r="R67" s="67"/>
      <c r="S67" s="67"/>
      <c r="T67" s="67"/>
      <c r="U67" s="67"/>
      <c r="V67" s="28"/>
      <c r="W67" s="28"/>
      <c r="X67" s="28"/>
      <c r="Y67" s="28"/>
      <c r="Z67" s="28"/>
      <c r="AA67" s="19"/>
      <c r="AB67" s="28"/>
      <c r="AC67" s="19"/>
    </row>
    <row r="68" spans="4:29" x14ac:dyDescent="0.25">
      <c r="D68" s="10"/>
      <c r="E68" s="10"/>
      <c r="F68" s="10"/>
      <c r="G68" s="203"/>
      <c r="H68" s="203"/>
      <c r="I68" s="28"/>
      <c r="J68" s="67"/>
      <c r="K68" s="67"/>
      <c r="L68" s="67"/>
      <c r="M68" s="67"/>
      <c r="N68" s="67"/>
      <c r="O68" s="67"/>
      <c r="P68" s="67"/>
      <c r="Q68" s="67"/>
      <c r="R68" s="67"/>
      <c r="S68" s="67"/>
      <c r="T68" s="67"/>
      <c r="U68" s="67"/>
      <c r="V68" s="28"/>
      <c r="W68" s="28"/>
      <c r="X68" s="28"/>
      <c r="Y68" s="28"/>
      <c r="Z68" s="28"/>
      <c r="AA68" s="19"/>
      <c r="AB68" s="28"/>
      <c r="AC68" s="19"/>
    </row>
    <row r="69" spans="4:29" x14ac:dyDescent="0.25">
      <c r="D69" s="10"/>
      <c r="E69" s="10"/>
      <c r="F69" s="10"/>
      <c r="G69" s="203"/>
      <c r="H69" s="203"/>
      <c r="I69" s="28"/>
      <c r="J69" s="67"/>
      <c r="K69" s="67"/>
      <c r="L69" s="67"/>
      <c r="M69" s="67"/>
      <c r="N69" s="67"/>
      <c r="O69" s="67"/>
      <c r="P69" s="67"/>
      <c r="Q69" s="67"/>
      <c r="R69" s="67"/>
      <c r="S69" s="67"/>
      <c r="T69" s="67"/>
      <c r="U69" s="67"/>
      <c r="V69" s="28"/>
      <c r="W69" s="28"/>
      <c r="X69" s="28"/>
      <c r="Y69" s="28"/>
      <c r="Z69" s="28"/>
      <c r="AA69" s="19"/>
      <c r="AB69" s="28"/>
      <c r="AC69" s="19"/>
    </row>
    <row r="70" spans="4:29" x14ac:dyDescent="0.25">
      <c r="D70" s="10"/>
      <c r="E70" s="10"/>
      <c r="F70" s="10"/>
      <c r="G70" s="203"/>
      <c r="H70" s="203"/>
      <c r="I70" s="28"/>
      <c r="J70" s="67"/>
      <c r="K70" s="67"/>
      <c r="L70" s="67"/>
      <c r="M70" s="67"/>
      <c r="N70" s="67"/>
      <c r="O70" s="67"/>
      <c r="P70" s="67"/>
      <c r="Q70" s="67"/>
      <c r="R70" s="67"/>
      <c r="S70" s="67"/>
      <c r="T70" s="67"/>
      <c r="U70" s="67"/>
      <c r="V70" s="28"/>
      <c r="W70" s="28"/>
      <c r="X70" s="28"/>
      <c r="Y70" s="28"/>
      <c r="Z70" s="28"/>
      <c r="AA70" s="19"/>
      <c r="AB70" s="28"/>
      <c r="AC70" s="19"/>
    </row>
    <row r="71" spans="4:29" x14ac:dyDescent="0.25">
      <c r="D71" s="10"/>
      <c r="E71" s="10"/>
      <c r="F71" s="10"/>
      <c r="G71" s="203"/>
      <c r="H71" s="203"/>
      <c r="I71" s="28"/>
      <c r="J71" s="67"/>
      <c r="K71" s="67"/>
      <c r="L71" s="67"/>
      <c r="M71" s="67"/>
      <c r="N71" s="67"/>
      <c r="O71" s="67"/>
      <c r="P71" s="67"/>
      <c r="Q71" s="67"/>
      <c r="R71" s="67"/>
      <c r="S71" s="67"/>
      <c r="T71" s="67"/>
      <c r="U71" s="67"/>
      <c r="V71" s="28"/>
      <c r="W71" s="28"/>
      <c r="X71" s="28"/>
      <c r="Y71" s="28"/>
      <c r="Z71" s="28"/>
      <c r="AA71" s="19"/>
      <c r="AB71" s="28"/>
      <c r="AC71" s="19"/>
    </row>
    <row r="72" spans="4:29" x14ac:dyDescent="0.25">
      <c r="D72" s="119"/>
      <c r="E72" s="119"/>
      <c r="F72" s="10"/>
      <c r="G72" s="203"/>
      <c r="H72" s="203"/>
      <c r="I72" s="28"/>
      <c r="J72" s="67"/>
      <c r="K72" s="67"/>
      <c r="L72" s="67"/>
      <c r="M72" s="67"/>
      <c r="N72" s="67"/>
      <c r="O72" s="67"/>
      <c r="P72" s="67"/>
      <c r="Q72" s="67"/>
      <c r="R72" s="67"/>
      <c r="S72" s="67"/>
      <c r="T72" s="67"/>
      <c r="U72" s="67"/>
      <c r="V72" s="28"/>
      <c r="W72" s="28"/>
      <c r="X72" s="28"/>
      <c r="Y72" s="28"/>
      <c r="Z72" s="28"/>
      <c r="AA72" s="19"/>
      <c r="AB72" s="28"/>
      <c r="AC72" s="19"/>
    </row>
    <row r="73" spans="4:29" x14ac:dyDescent="0.25">
      <c r="F73" s="14"/>
      <c r="G73" s="56"/>
      <c r="H73" s="56"/>
      <c r="I73" s="26"/>
      <c r="J73" s="49"/>
      <c r="K73" s="49"/>
      <c r="L73" s="49"/>
      <c r="M73" s="49"/>
      <c r="N73" s="49"/>
      <c r="O73" s="49"/>
      <c r="P73" s="49"/>
      <c r="Q73" s="49"/>
      <c r="R73" s="49"/>
      <c r="S73" s="49"/>
      <c r="T73" s="49"/>
      <c r="U73" s="49"/>
    </row>
    <row r="74" spans="4:29" x14ac:dyDescent="0.25">
      <c r="F74" s="14"/>
      <c r="G74" s="56"/>
      <c r="H74" s="56"/>
      <c r="I74" s="26"/>
      <c r="J74" s="49"/>
      <c r="K74" s="49"/>
      <c r="L74" s="49"/>
      <c r="M74" s="49"/>
      <c r="N74" s="49"/>
      <c r="O74" s="49"/>
      <c r="P74" s="49"/>
      <c r="Q74" s="49"/>
      <c r="R74" s="49"/>
      <c r="S74" s="49"/>
      <c r="T74" s="49"/>
      <c r="U74" s="49"/>
    </row>
    <row r="75" spans="4:29" x14ac:dyDescent="0.25">
      <c r="F75" s="14"/>
      <c r="G75" s="56"/>
      <c r="H75" s="56"/>
      <c r="I75" s="26"/>
      <c r="J75" s="49"/>
      <c r="K75" s="49"/>
      <c r="L75" s="49"/>
      <c r="M75" s="49"/>
      <c r="N75" s="49"/>
      <c r="O75" s="49"/>
      <c r="P75" s="49"/>
      <c r="Q75" s="49"/>
      <c r="R75" s="49"/>
      <c r="S75" s="49"/>
      <c r="T75" s="49"/>
      <c r="U75" s="49"/>
    </row>
    <row r="76" spans="4:29" x14ac:dyDescent="0.25">
      <c r="F76" s="14"/>
      <c r="G76" s="56"/>
      <c r="H76" s="56"/>
      <c r="I76" s="26"/>
      <c r="J76" s="49"/>
      <c r="K76" s="49"/>
      <c r="L76" s="49"/>
      <c r="M76" s="49"/>
      <c r="N76" s="49"/>
      <c r="O76" s="49"/>
      <c r="P76" s="49"/>
      <c r="Q76" s="49"/>
      <c r="R76" s="49"/>
      <c r="S76" s="49"/>
      <c r="T76" s="49"/>
      <c r="U76" s="49"/>
    </row>
    <row r="77" spans="4:29" x14ac:dyDescent="0.25">
      <c r="F77" s="14"/>
      <c r="G77" s="56"/>
      <c r="H77" s="56"/>
      <c r="I77" s="26"/>
      <c r="J77" s="49"/>
      <c r="K77" s="49"/>
      <c r="L77" s="49"/>
      <c r="M77" s="49"/>
      <c r="N77" s="49"/>
      <c r="O77" s="49"/>
      <c r="P77" s="49"/>
      <c r="Q77" s="49"/>
      <c r="R77" s="49"/>
      <c r="S77" s="49"/>
      <c r="T77" s="49"/>
      <c r="U77" s="49"/>
    </row>
    <row r="78" spans="4:29" x14ac:dyDescent="0.25">
      <c r="F78" s="14"/>
      <c r="G78" s="56"/>
      <c r="H78" s="56"/>
      <c r="I78" s="26"/>
      <c r="J78" s="49"/>
      <c r="K78" s="49"/>
      <c r="L78" s="49"/>
      <c r="M78" s="49"/>
      <c r="N78" s="49"/>
      <c r="O78" s="49"/>
      <c r="P78" s="49"/>
      <c r="Q78" s="49"/>
      <c r="R78" s="49"/>
      <c r="S78" s="49"/>
      <c r="T78" s="49"/>
      <c r="U78" s="49"/>
    </row>
    <row r="79" spans="4:29" x14ac:dyDescent="0.25">
      <c r="F79" s="14"/>
      <c r="G79" s="56"/>
      <c r="H79" s="56"/>
      <c r="I79" s="26"/>
      <c r="J79" s="49"/>
      <c r="K79" s="49"/>
      <c r="L79" s="49"/>
      <c r="M79" s="49"/>
      <c r="N79" s="49"/>
      <c r="O79" s="49"/>
      <c r="P79" s="49"/>
      <c r="Q79" s="49"/>
      <c r="R79" s="49"/>
      <c r="S79" s="49"/>
      <c r="T79" s="49"/>
      <c r="U79" s="49"/>
    </row>
    <row r="80" spans="4:29" x14ac:dyDescent="0.25">
      <c r="F80" s="14"/>
      <c r="G80" s="56"/>
      <c r="H80" s="56"/>
      <c r="I80" s="26"/>
      <c r="J80" s="49"/>
      <c r="K80" s="49"/>
      <c r="L80" s="49"/>
      <c r="M80" s="49"/>
      <c r="N80" s="49"/>
      <c r="O80" s="49"/>
      <c r="P80" s="49"/>
      <c r="Q80" s="49"/>
      <c r="R80" s="49"/>
      <c r="S80" s="49"/>
      <c r="T80" s="49"/>
      <c r="U80" s="49"/>
    </row>
    <row r="81" spans="6:21" x14ac:dyDescent="0.25">
      <c r="F81" s="14"/>
      <c r="G81" s="56"/>
      <c r="H81" s="56"/>
      <c r="I81" s="26"/>
      <c r="J81" s="49"/>
      <c r="K81" s="49"/>
      <c r="L81" s="49"/>
      <c r="M81" s="49"/>
      <c r="N81" s="49"/>
      <c r="O81" s="49"/>
      <c r="P81" s="49"/>
      <c r="Q81" s="49"/>
      <c r="R81" s="49"/>
      <c r="S81" s="49"/>
      <c r="T81" s="49"/>
      <c r="U81" s="49"/>
    </row>
  </sheetData>
  <conditionalFormatting sqref="D4:AC10 D34:AC35 E11:X33 D46:AC47 E36:AC45 Z11:AC33">
    <cfRule type="cellIs" dxfId="1" priority="10" operator="lessThan">
      <formula>0</formula>
    </cfRule>
  </conditionalFormatting>
  <conditionalFormatting sqref="Y34:Y36">
    <cfRule type="expression" dxfId="0" priority="7">
      <formula>NOT(Y34&lt;=AA34)</formula>
    </cfRule>
  </conditionalFormatting>
  <printOptions horizontalCentered="1" verticalCentered="1"/>
  <pageMargins left="0.7" right="0.7" top="0.75" bottom="0.75" header="0.3" footer="0.3"/>
  <pageSetup scale="49" orientation="landscape" horizontalDpi="1200" verticalDpi="1200" r:id="rId1"/>
  <headerFooter scaleWithDoc="0">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8</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2016-06-27T16:30:00+00:00</PostDate>
    <ExpireDate xmlns="2613f182-e424-487f-ac7f-33bed2fc986a">2023-06-03T23:53:18+00:00</ExpireDate>
    <Content_x0020_Owner xmlns="2613f182-e424-487f-ac7f-33bed2fc986a">
      <UserInfo>
        <DisplayName>Millar, Neil</DisplayName>
        <AccountId>141</AccountId>
        <AccountType/>
      </UserInfo>
    </Content_x0020_Owner>
    <ISOContributor xmlns="2613f182-e424-487f-ac7f-33bed2fc986a">
      <UserInfo>
        <DisplayName>Le Vine, Debi</DisplayName>
        <AccountId>147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Stay Informed</TermName>
          <TermId xmlns="http://schemas.microsoft.com/office/infopath/2007/PartnerControls">d8aff6cb-80bb-4c94-b62f-ad25f81f5c96</TermId>
        </TermInfo>
      </Terms>
    </ISOTopicTaxHTField0>
    <ISOArchived xmlns="2613f182-e424-487f-ac7f-33bed2fc986a">Not Archived</ISOArchived>
    <ISOGroupSequence xmlns="2613f182-e424-487f-ac7f-33bed2fc986a" xsi:nil="true"/>
    <ISOOwner xmlns="2613f182-e424-487f-ac7f-33bed2fc986a">Millar, Neil</ISOOwner>
    <ISOSummary xmlns="2613f182-e424-487f-ac7f-33bed2fc986a">Senate Bill 350 study data</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The Brattle Group|1ed636cf-b394-407e-a646-b4ca0f01f65a</ParentISOGroups>
    <Orig_x0020_Post_x0020_Date xmlns="5bcbeff6-7c02-4b0f-b125-f1b3d566cc14">2021-06-03T23:49:30+00:00</Orig_x0020_Post_x0020_Date>
    <ContentReviewInterval xmlns="5bcbeff6-7c02-4b0f-b125-f1b3d566cc14">24</ContentReviewInterval>
    <IsDisabled xmlns="5bcbeff6-7c02-4b0f-b125-f1b3d566cc14">false</IsDisabled>
    <CrawlableUniqueID xmlns="5bcbeff6-7c02-4b0f-b125-f1b3d566cc14">5a275669-87e6-4a99-a69e-189da2452240</CrawlableUniqueID>
  </documentManagement>
</p:properties>
</file>

<file path=customXml/itemProps1.xml><?xml version="1.0" encoding="utf-8"?>
<ds:datastoreItem xmlns:ds="http://schemas.openxmlformats.org/officeDocument/2006/customXml" ds:itemID="{89D711E8-57E6-40F8-867C-6447708E9539}"/>
</file>

<file path=customXml/itemProps2.xml><?xml version="1.0" encoding="utf-8"?>
<ds:datastoreItem xmlns:ds="http://schemas.openxmlformats.org/officeDocument/2006/customXml" ds:itemID="{F4EAE043-C386-4BCD-BC00-CC8A8AAF9995}"/>
</file>

<file path=customXml/itemProps3.xml><?xml version="1.0" encoding="utf-8"?>
<ds:datastoreItem xmlns:ds="http://schemas.openxmlformats.org/officeDocument/2006/customXml" ds:itemID="{06E6B591-CF97-4D27-923C-CB82300176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Results</vt:lpstr>
      <vt:lpstr>2020 CAISO+PAC</vt:lpstr>
      <vt:lpstr>2020 Regional ISO</vt:lpstr>
      <vt:lpstr>2030 Regional ISO</vt:lpstr>
      <vt:lpstr>'2020 CAISO+PAC'!Print_Area</vt:lpstr>
      <vt:lpstr>'2020 Regional ISO'!Print_Area</vt:lpstr>
      <vt:lpstr>'2030 Regional ISO'!Print_Area</vt:lpstr>
      <vt:lpstr>Results!Print_Area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Brattle SB350 Study (load diversity) PUBLIC</dc:title>
  <dc:creator/>
  <cp:lastModifiedBy/>
  <dcterms:created xsi:type="dcterms:W3CDTF">2016-06-03T19:04:21Z</dcterms:created>
  <dcterms:modified xsi:type="dcterms:W3CDTF">2016-06-03T21:22:16Z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8;#Stay Informed|d8aff6cb-80bb-4c94-b62f-ad25f81f5c96</vt:lpwstr>
  </property>
  <property fmtid="{D5CDD505-2E9C-101B-9397-08002B2CF9AE}" pid="6" name="ISOKeywords">
    <vt:lpwstr/>
  </property>
</Properties>
</file>