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20" yWindow="90" windowWidth="15240" windowHeight="5370" tabRatio="818"/>
  </bookViews>
  <sheets>
    <sheet name="Summary" sheetId="47" r:id="rId1"/>
    <sheet name="Analysis&gt;&gt;" sheetId="5" r:id="rId2"/>
    <sheet name="2030 Regional ISO" sheetId="38" r:id="rId3"/>
    <sheet name="2020 Regional ISO" sheetId="71" r:id="rId4"/>
    <sheet name="2020 CAISO+PAC" sheetId="43" r:id="rId5"/>
    <sheet name="Data&gt;&gt;" sheetId="11" r:id="rId6"/>
    <sheet name="2014" sheetId="9" r:id="rId7"/>
    <sheet name="2013" sheetId="26" r:id="rId8"/>
    <sheet name="2012" sheetId="28" r:id="rId9"/>
    <sheet name="2011" sheetId="29" r:id="rId10"/>
    <sheet name="2010" sheetId="30" r:id="rId11"/>
    <sheet name="2009" sheetId="31" r:id="rId12"/>
    <sheet name="2008" sheetId="32" r:id="rId13"/>
    <sheet name="2007" sheetId="33" r:id="rId14"/>
    <sheet name="2006" sheetId="34" r:id="rId15"/>
  </sheets>
  <definedNames>
    <definedName name="_xlnm.Print_Area" localSheetId="14">'2006'!$B$3:$G$56</definedName>
    <definedName name="_xlnm.Print_Area" localSheetId="13">'2007'!$B$3:$G$56</definedName>
    <definedName name="_xlnm.Print_Area" localSheetId="12">'2008'!$B$3:$G$56</definedName>
    <definedName name="_xlnm.Print_Area" localSheetId="11">'2009'!$B$3:$G$56</definedName>
    <definedName name="_xlnm.Print_Area" localSheetId="10">'2010'!$B$3:$G$56</definedName>
    <definedName name="_xlnm.Print_Area" localSheetId="9">'2011'!$B$3:$G$56</definedName>
    <definedName name="_xlnm.Print_Area" localSheetId="8">'2012'!$B$3:$G$56</definedName>
    <definedName name="_xlnm.Print_Area" localSheetId="7">'2013'!$B$3:$G$56</definedName>
    <definedName name="_xlnm.Print_Area" localSheetId="6">'2014'!$B$3:$G$56</definedName>
    <definedName name="_xlnm.Print_Area" localSheetId="4">'2020 CAISO+PAC'!$B$3:$U$26</definedName>
    <definedName name="_xlnm.Print_Area" localSheetId="3">'2020 Regional ISO'!$D$3:$AA$60</definedName>
    <definedName name="_xlnm.Print_Area" localSheetId="2">'2030 Regional ISO'!$D$3:$AA$60</definedName>
    <definedName name="_xlnm.Print_Area" localSheetId="0">Summary!$B$3:$X$51</definedName>
  </definedNames>
  <calcPr calcId="145621" calcOnSave="0"/>
</workbook>
</file>

<file path=xl/calcChain.xml><?xml version="1.0" encoding="utf-8"?>
<calcChain xmlns="http://schemas.openxmlformats.org/spreadsheetml/2006/main">
  <c r="M49" i="47" l="1"/>
  <c r="T49" i="47"/>
  <c r="W9" i="47"/>
  <c r="V9" i="47"/>
  <c r="U8" i="47"/>
  <c r="G8" i="71"/>
  <c r="D49" i="71" s="1"/>
  <c r="H1" i="71"/>
  <c r="I1" i="71" s="1"/>
  <c r="H8" i="71" l="1"/>
  <c r="E55" i="71" s="1"/>
  <c r="S32" i="47"/>
  <c r="I8" i="71"/>
  <c r="D51" i="71" s="1"/>
  <c r="S1" i="71"/>
  <c r="S8" i="71" s="1"/>
  <c r="D50" i="71"/>
  <c r="E54" i="71" l="1"/>
  <c r="T1" i="71"/>
  <c r="D52" i="71"/>
  <c r="E53" i="71"/>
  <c r="T8" i="71" l="1"/>
  <c r="D53" i="71" s="1"/>
  <c r="U1" i="71"/>
  <c r="U8" i="71" s="1"/>
  <c r="D54" i="71" l="1"/>
  <c r="V1" i="71"/>
  <c r="V8" i="71" l="1"/>
  <c r="W1" i="71"/>
  <c r="W8" i="71" s="1"/>
  <c r="E57" i="71" s="1"/>
  <c r="D22" i="34"/>
  <c r="D8" i="34"/>
  <c r="D22" i="33"/>
  <c r="D8" i="33"/>
  <c r="D22" i="32"/>
  <c r="D8" i="32"/>
  <c r="D22" i="31"/>
  <c r="D8" i="31"/>
  <c r="D22" i="30"/>
  <c r="D8" i="30"/>
  <c r="D22" i="29"/>
  <c r="D8" i="29"/>
  <c r="D22" i="28"/>
  <c r="D8" i="28"/>
  <c r="D22" i="26"/>
  <c r="D8" i="26"/>
  <c r="D22" i="9"/>
  <c r="D8" i="9"/>
  <c r="D55" i="71" l="1"/>
  <c r="E56" i="71"/>
  <c r="X1" i="71"/>
  <c r="X8" i="71" s="1"/>
  <c r="D56" i="71"/>
  <c r="A9" i="47"/>
  <c r="A10" i="47" l="1"/>
  <c r="U10" i="47" s="1"/>
  <c r="S34" i="47" s="1"/>
  <c r="U9" i="47"/>
  <c r="D57" i="71"/>
  <c r="Y1" i="71"/>
  <c r="A11" i="47" l="1"/>
  <c r="U11" i="47" s="1"/>
  <c r="S35" i="47" s="1"/>
  <c r="S33" i="47"/>
  <c r="Y8" i="71"/>
  <c r="E59" i="71" s="1"/>
  <c r="Z1" i="71"/>
  <c r="T34" i="47" l="1"/>
  <c r="T36" i="47"/>
  <c r="A12" i="47"/>
  <c r="U12" i="47" s="1"/>
  <c r="S36" i="47" s="1"/>
  <c r="Z8" i="71"/>
  <c r="AA1" i="71"/>
  <c r="AA8" i="71" s="1"/>
  <c r="D60" i="71" s="1"/>
  <c r="D58" i="71"/>
  <c r="A13" i="47" l="1"/>
  <c r="U13" i="47" s="1"/>
  <c r="S37" i="47" s="1"/>
  <c r="A14" i="47"/>
  <c r="U14" i="47" s="1"/>
  <c r="D59" i="71"/>
  <c r="E60" i="71"/>
  <c r="A15" i="47"/>
  <c r="N8" i="47"/>
  <c r="A16" i="47" l="1"/>
  <c r="U16" i="47" s="1"/>
  <c r="U15" i="47"/>
  <c r="S38" i="47"/>
  <c r="L32" i="47"/>
  <c r="A18" i="47" l="1"/>
  <c r="U17" i="47" s="1"/>
  <c r="S39" i="47"/>
  <c r="S40" i="47"/>
  <c r="T41" i="47"/>
  <c r="A19" i="47"/>
  <c r="U18" i="47" s="1"/>
  <c r="S42" i="47" s="1"/>
  <c r="C29" i="47"/>
  <c r="C26" i="47"/>
  <c r="C25" i="47"/>
  <c r="A20" i="47" l="1"/>
  <c r="U19" i="47" s="1"/>
  <c r="S41" i="47"/>
  <c r="T40" i="47"/>
  <c r="T42" i="47"/>
  <c r="A21" i="47"/>
  <c r="C24" i="47"/>
  <c r="G13" i="47"/>
  <c r="E13" i="47"/>
  <c r="A22" i="47" l="1"/>
  <c r="U21" i="47" s="1"/>
  <c r="U20" i="47"/>
  <c r="S43" i="47"/>
  <c r="S23" i="47"/>
  <c r="T47" i="47"/>
  <c r="A23" i="47" l="1"/>
  <c r="U22" i="47" s="1"/>
  <c r="S46" i="47" s="1"/>
  <c r="S44" i="47"/>
  <c r="T45" i="47"/>
  <c r="S21" i="47"/>
  <c r="S45" i="47"/>
  <c r="T46" i="47"/>
  <c r="S15" i="43"/>
  <c r="A27" i="47" l="1"/>
  <c r="U24" i="47" s="1"/>
  <c r="S48" i="47" s="1"/>
  <c r="A25" i="47"/>
  <c r="U23" i="47" s="1"/>
  <c r="S47" i="47" s="1"/>
  <c r="F1" i="43"/>
  <c r="T48" i="47" l="1"/>
  <c r="A28" i="47"/>
  <c r="A30" i="47" s="1"/>
  <c r="P1" i="43"/>
  <c r="Q1" i="43" s="1"/>
  <c r="U25" i="47" l="1"/>
  <c r="S49" i="47" s="1"/>
  <c r="A31" i="47"/>
  <c r="U28" i="47" s="1"/>
  <c r="S51" i="47" s="1"/>
  <c r="U27" i="47"/>
  <c r="S50" i="47" s="1"/>
  <c r="Q8" i="43"/>
  <c r="B22" i="43" s="1"/>
  <c r="R1" i="43"/>
  <c r="T50" i="47" l="1"/>
  <c r="T51" i="47"/>
  <c r="S1" i="43"/>
  <c r="S8" i="43" l="1"/>
  <c r="B24" i="43" s="1"/>
  <c r="T1" i="43"/>
  <c r="U1" i="43" l="1"/>
  <c r="T8" i="43"/>
  <c r="B25" i="43" s="1"/>
  <c r="D8" i="47"/>
  <c r="N9" i="47" l="1"/>
  <c r="B24" i="47"/>
  <c r="U8" i="43"/>
  <c r="B26" i="43" s="1"/>
  <c r="G8" i="47"/>
  <c r="D9" i="47"/>
  <c r="G40" i="9"/>
  <c r="R26" i="71" s="1"/>
  <c r="L33" i="47" l="1"/>
  <c r="V22" i="71"/>
  <c r="V33" i="71"/>
  <c r="V21" i="71"/>
  <c r="V11" i="71"/>
  <c r="I36" i="71"/>
  <c r="V13" i="71"/>
  <c r="V26" i="71"/>
  <c r="V31" i="71"/>
  <c r="V16" i="71"/>
  <c r="V20" i="71"/>
  <c r="V17" i="71"/>
  <c r="V15" i="71"/>
  <c r="V19" i="71"/>
  <c r="V25" i="71"/>
  <c r="V14" i="71"/>
  <c r="V24" i="71"/>
  <c r="V12" i="71"/>
  <c r="V27" i="71"/>
  <c r="V28" i="71"/>
  <c r="V29" i="71"/>
  <c r="V32" i="71"/>
  <c r="V18" i="71"/>
  <c r="V23" i="71"/>
  <c r="V30" i="71"/>
  <c r="N10" i="47"/>
  <c r="B25" i="47"/>
  <c r="D10" i="47"/>
  <c r="B26" i="47" s="1"/>
  <c r="V36" i="71" l="1"/>
  <c r="N11" i="47"/>
  <c r="D11" i="47"/>
  <c r="B27" i="47" s="1"/>
  <c r="L34" i="47"/>
  <c r="P9" i="47"/>
  <c r="C27" i="47"/>
  <c r="G9" i="47"/>
  <c r="E9" i="47"/>
  <c r="D12" i="47"/>
  <c r="N13" i="47"/>
  <c r="L37" i="47" s="1"/>
  <c r="M36" i="47" l="1"/>
  <c r="I45" i="71"/>
  <c r="M34" i="47"/>
  <c r="L35" i="47"/>
  <c r="C28" i="47"/>
  <c r="N12" i="47"/>
  <c r="L36" i="47" s="1"/>
  <c r="B28" i="47"/>
  <c r="D13" i="47"/>
  <c r="I9" i="47"/>
  <c r="G53" i="34"/>
  <c r="J42" i="71" s="1"/>
  <c r="G52" i="34"/>
  <c r="J41" i="71" s="1"/>
  <c r="G51" i="34"/>
  <c r="J40" i="71" s="1"/>
  <c r="G50" i="34"/>
  <c r="J39" i="71" s="1"/>
  <c r="G47" i="34"/>
  <c r="J33" i="71" s="1"/>
  <c r="G46" i="34"/>
  <c r="J32" i="71" s="1"/>
  <c r="G45" i="34"/>
  <c r="J31" i="71" s="1"/>
  <c r="G44" i="34"/>
  <c r="J30" i="71" s="1"/>
  <c r="G43" i="34"/>
  <c r="J29" i="71" s="1"/>
  <c r="G42" i="34"/>
  <c r="J28" i="71" s="1"/>
  <c r="G41" i="34"/>
  <c r="J27" i="71" s="1"/>
  <c r="G40" i="34"/>
  <c r="J26" i="71" s="1"/>
  <c r="G39" i="34"/>
  <c r="J25" i="71" s="1"/>
  <c r="G38" i="34"/>
  <c r="J24" i="71" s="1"/>
  <c r="G37" i="34"/>
  <c r="J23" i="71" s="1"/>
  <c r="G36" i="34"/>
  <c r="J22" i="71" s="1"/>
  <c r="G35" i="34"/>
  <c r="J21" i="71" s="1"/>
  <c r="G34" i="34"/>
  <c r="J20" i="71" s="1"/>
  <c r="G33" i="34"/>
  <c r="J19" i="71" s="1"/>
  <c r="G32" i="34"/>
  <c r="J18" i="71" s="1"/>
  <c r="G31" i="34"/>
  <c r="J17" i="71" s="1"/>
  <c r="G30" i="34"/>
  <c r="J16" i="71" s="1"/>
  <c r="G29" i="34"/>
  <c r="J15" i="71" s="1"/>
  <c r="G28" i="34"/>
  <c r="J14" i="71" s="1"/>
  <c r="G27" i="34"/>
  <c r="J13" i="71" s="1"/>
  <c r="G26" i="34"/>
  <c r="J12" i="71" s="1"/>
  <c r="G25" i="34"/>
  <c r="J11" i="71" s="1"/>
  <c r="G12" i="34"/>
  <c r="G11" i="34"/>
  <c r="Y36" i="71" l="1"/>
  <c r="Y45" i="71"/>
  <c r="B29" i="47"/>
  <c r="N14" i="47"/>
  <c r="L38" i="47" s="1"/>
  <c r="C30" i="47"/>
  <c r="D14" i="47"/>
  <c r="C31" i="47" s="1"/>
  <c r="E1" i="34"/>
  <c r="E22" i="34" l="1"/>
  <c r="E8" i="34"/>
  <c r="Y45" i="38"/>
  <c r="D15" i="47"/>
  <c r="N15" i="47"/>
  <c r="B30" i="47"/>
  <c r="C32" i="47"/>
  <c r="F1" i="34"/>
  <c r="B31" i="47" l="1"/>
  <c r="F22" i="34"/>
  <c r="F8" i="34"/>
  <c r="Y36" i="38"/>
  <c r="D16" i="47"/>
  <c r="N16" i="47"/>
  <c r="M41" i="47" s="1"/>
  <c r="L39" i="47"/>
  <c r="G1" i="34"/>
  <c r="B32" i="47" l="1"/>
  <c r="C33" i="47"/>
  <c r="G22" i="34"/>
  <c r="G8" i="34"/>
  <c r="D17" i="47"/>
  <c r="B33" i="47" s="1"/>
  <c r="N17" i="47"/>
  <c r="L40" i="47"/>
  <c r="M40" i="47" l="1"/>
  <c r="M42" i="47"/>
  <c r="L41" i="47"/>
  <c r="D18" i="47"/>
  <c r="N18" i="47"/>
  <c r="L42" i="47" s="1"/>
  <c r="B34" i="47" l="1"/>
  <c r="C35" i="47"/>
  <c r="D20" i="47"/>
  <c r="B35" i="47" s="1"/>
  <c r="N19" i="47"/>
  <c r="G53" i="33"/>
  <c r="K42" i="71" s="1"/>
  <c r="G52" i="33"/>
  <c r="K41" i="71" s="1"/>
  <c r="G51" i="33"/>
  <c r="K40" i="71" s="1"/>
  <c r="G50" i="33"/>
  <c r="K39" i="71" s="1"/>
  <c r="G47" i="33"/>
  <c r="K33" i="71" s="1"/>
  <c r="G46" i="33"/>
  <c r="K32" i="71" s="1"/>
  <c r="G45" i="33"/>
  <c r="K31" i="71" s="1"/>
  <c r="G44" i="33"/>
  <c r="K30" i="71" s="1"/>
  <c r="G43" i="33"/>
  <c r="K29" i="71" s="1"/>
  <c r="G42" i="33"/>
  <c r="K28" i="71" s="1"/>
  <c r="G41" i="33"/>
  <c r="K27" i="71" s="1"/>
  <c r="G40" i="33"/>
  <c r="K26" i="71" s="1"/>
  <c r="G39" i="33"/>
  <c r="K25" i="71" s="1"/>
  <c r="G38" i="33"/>
  <c r="K24" i="71" s="1"/>
  <c r="G37" i="33"/>
  <c r="K23" i="71" s="1"/>
  <c r="G36" i="33"/>
  <c r="K22" i="71" s="1"/>
  <c r="G35" i="33"/>
  <c r="K21" i="71" s="1"/>
  <c r="G34" i="33"/>
  <c r="K20" i="71" s="1"/>
  <c r="G33" i="33"/>
  <c r="K19" i="71" s="1"/>
  <c r="G32" i="33"/>
  <c r="K18" i="71" s="1"/>
  <c r="G31" i="33"/>
  <c r="K17" i="71" s="1"/>
  <c r="G30" i="33"/>
  <c r="K16" i="71" s="1"/>
  <c r="G29" i="33"/>
  <c r="K15" i="71" s="1"/>
  <c r="G28" i="33"/>
  <c r="K14" i="71" s="1"/>
  <c r="G27" i="33"/>
  <c r="K13" i="71" s="1"/>
  <c r="G26" i="33"/>
  <c r="K12" i="71" s="1"/>
  <c r="G25" i="33"/>
  <c r="K11" i="71" s="1"/>
  <c r="G12" i="33"/>
  <c r="G11" i="33"/>
  <c r="N20" i="47" l="1"/>
  <c r="L44" i="47" s="1"/>
  <c r="D21" i="47"/>
  <c r="L43" i="47"/>
  <c r="L23" i="47"/>
  <c r="M47" i="47"/>
  <c r="N21" i="47"/>
  <c r="M46" i="47" s="1"/>
  <c r="E1" i="33"/>
  <c r="E22" i="33" l="1"/>
  <c r="E8" i="33"/>
  <c r="L21" i="47"/>
  <c r="M45" i="47"/>
  <c r="N22" i="47"/>
  <c r="L46" i="47" s="1"/>
  <c r="L45" i="47"/>
  <c r="F1" i="33"/>
  <c r="F22" i="33" l="1"/>
  <c r="F8" i="33"/>
  <c r="N23" i="47"/>
  <c r="N24" i="47"/>
  <c r="L48" i="47" s="1"/>
  <c r="G1" i="33"/>
  <c r="G22" i="33" l="1"/>
  <c r="G8" i="33"/>
  <c r="M48" i="47"/>
  <c r="L47" i="47"/>
  <c r="N25" i="47" l="1"/>
  <c r="M51" i="47" l="1"/>
  <c r="L49" i="47"/>
  <c r="M50" i="47"/>
  <c r="N27" i="47"/>
  <c r="L50" i="47" s="1"/>
  <c r="N28" i="47"/>
  <c r="L51" i="47" s="1"/>
  <c r="G53" i="32"/>
  <c r="L42" i="71" s="1"/>
  <c r="G52" i="32"/>
  <c r="L41" i="71" s="1"/>
  <c r="G51" i="32"/>
  <c r="L40" i="71" s="1"/>
  <c r="G50" i="32"/>
  <c r="L39" i="71" s="1"/>
  <c r="G47" i="32"/>
  <c r="L33" i="71" s="1"/>
  <c r="G46" i="32"/>
  <c r="L32" i="71" s="1"/>
  <c r="G45" i="32"/>
  <c r="L31" i="71" s="1"/>
  <c r="G44" i="32"/>
  <c r="L30" i="71" s="1"/>
  <c r="G43" i="32"/>
  <c r="L29" i="71" s="1"/>
  <c r="G42" i="32"/>
  <c r="L28" i="71" s="1"/>
  <c r="G41" i="32"/>
  <c r="L27" i="71" s="1"/>
  <c r="G40" i="32"/>
  <c r="L26" i="71" s="1"/>
  <c r="G39" i="32"/>
  <c r="L25" i="71" s="1"/>
  <c r="G38" i="32"/>
  <c r="L24" i="71" s="1"/>
  <c r="G37" i="32"/>
  <c r="L23" i="71" s="1"/>
  <c r="G36" i="32"/>
  <c r="L22" i="71" s="1"/>
  <c r="G35" i="32"/>
  <c r="L21" i="71" s="1"/>
  <c r="G34" i="32"/>
  <c r="L20" i="71" s="1"/>
  <c r="G33" i="32"/>
  <c r="L19" i="71" s="1"/>
  <c r="G32" i="32"/>
  <c r="L18" i="71" s="1"/>
  <c r="G31" i="32"/>
  <c r="L17" i="71" s="1"/>
  <c r="G30" i="32"/>
  <c r="L16" i="71" s="1"/>
  <c r="G29" i="32"/>
  <c r="L15" i="71" s="1"/>
  <c r="G28" i="32"/>
  <c r="L14" i="71" s="1"/>
  <c r="G27" i="32"/>
  <c r="L13" i="71" s="1"/>
  <c r="G26" i="32"/>
  <c r="L12" i="71" s="1"/>
  <c r="G25" i="32"/>
  <c r="L11" i="71" s="1"/>
  <c r="G12" i="32"/>
  <c r="G11" i="32"/>
  <c r="E1" i="32" l="1"/>
  <c r="E22" i="32" l="1"/>
  <c r="E8" i="32"/>
  <c r="F1" i="32"/>
  <c r="F22" i="32" l="1"/>
  <c r="F8" i="32"/>
  <c r="G1" i="32"/>
  <c r="G22" i="32" l="1"/>
  <c r="G8" i="32"/>
  <c r="G53" i="31"/>
  <c r="M42" i="71" s="1"/>
  <c r="G52" i="31"/>
  <c r="M41" i="71" s="1"/>
  <c r="G51" i="31"/>
  <c r="M40" i="71" s="1"/>
  <c r="G50" i="31"/>
  <c r="M39" i="71" s="1"/>
  <c r="G47" i="31"/>
  <c r="M33" i="71" s="1"/>
  <c r="G46" i="31"/>
  <c r="M32" i="71" s="1"/>
  <c r="G45" i="31"/>
  <c r="M31" i="71" s="1"/>
  <c r="G44" i="31"/>
  <c r="M30" i="71" s="1"/>
  <c r="G43" i="31"/>
  <c r="M29" i="71" s="1"/>
  <c r="G42" i="31"/>
  <c r="M28" i="71" s="1"/>
  <c r="G41" i="31"/>
  <c r="M27" i="71" s="1"/>
  <c r="G40" i="31"/>
  <c r="M26" i="71" s="1"/>
  <c r="G39" i="31"/>
  <c r="M25" i="71" s="1"/>
  <c r="G38" i="31"/>
  <c r="M24" i="71" s="1"/>
  <c r="G37" i="31"/>
  <c r="M23" i="71" s="1"/>
  <c r="G36" i="31"/>
  <c r="M22" i="71" s="1"/>
  <c r="G35" i="31"/>
  <c r="M21" i="71" s="1"/>
  <c r="G34" i="31"/>
  <c r="M20" i="71" s="1"/>
  <c r="G33" i="31"/>
  <c r="M19" i="71" s="1"/>
  <c r="G32" i="31"/>
  <c r="M18" i="71" s="1"/>
  <c r="G31" i="31"/>
  <c r="M17" i="71" s="1"/>
  <c r="G30" i="31"/>
  <c r="M16" i="71" s="1"/>
  <c r="G29" i="31"/>
  <c r="M15" i="71" s="1"/>
  <c r="G28" i="31"/>
  <c r="M14" i="71" s="1"/>
  <c r="G27" i="31"/>
  <c r="M13" i="71" s="1"/>
  <c r="G26" i="31"/>
  <c r="M12" i="71" s="1"/>
  <c r="G25" i="31"/>
  <c r="M11" i="71" s="1"/>
  <c r="G12" i="31"/>
  <c r="G11" i="31"/>
  <c r="E1" i="31" l="1"/>
  <c r="E22" i="31" l="1"/>
  <c r="E8" i="31"/>
  <c r="F1" i="31"/>
  <c r="F22" i="31" l="1"/>
  <c r="F8" i="31"/>
  <c r="G1" i="31"/>
  <c r="G22" i="31" l="1"/>
  <c r="G8" i="31"/>
  <c r="G53" i="30"/>
  <c r="N42" i="71" s="1"/>
  <c r="G52" i="30"/>
  <c r="N41" i="71" s="1"/>
  <c r="G51" i="30"/>
  <c r="N40" i="71" s="1"/>
  <c r="G50" i="30"/>
  <c r="N39" i="71" s="1"/>
  <c r="G47" i="30"/>
  <c r="N33" i="71" s="1"/>
  <c r="G46" i="30"/>
  <c r="N32" i="71" s="1"/>
  <c r="G45" i="30"/>
  <c r="N31" i="71" s="1"/>
  <c r="G44" i="30"/>
  <c r="N30" i="71" s="1"/>
  <c r="G43" i="30"/>
  <c r="N29" i="71" s="1"/>
  <c r="G42" i="30"/>
  <c r="N28" i="71" s="1"/>
  <c r="G41" i="30"/>
  <c r="N27" i="71" s="1"/>
  <c r="G40" i="30"/>
  <c r="N26" i="71" s="1"/>
  <c r="G39" i="30"/>
  <c r="N25" i="71" s="1"/>
  <c r="G38" i="30"/>
  <c r="N24" i="71" s="1"/>
  <c r="G37" i="30"/>
  <c r="N23" i="71" s="1"/>
  <c r="G36" i="30"/>
  <c r="N22" i="71" s="1"/>
  <c r="G35" i="30"/>
  <c r="N21" i="71" s="1"/>
  <c r="G34" i="30"/>
  <c r="N20" i="71" s="1"/>
  <c r="G33" i="30"/>
  <c r="N19" i="71" s="1"/>
  <c r="G32" i="30"/>
  <c r="N18" i="71" s="1"/>
  <c r="G31" i="30"/>
  <c r="N17" i="71" s="1"/>
  <c r="G30" i="30"/>
  <c r="N16" i="71" s="1"/>
  <c r="G29" i="30"/>
  <c r="N15" i="71" s="1"/>
  <c r="G28" i="30"/>
  <c r="N14" i="71" s="1"/>
  <c r="G27" i="30"/>
  <c r="N13" i="71" s="1"/>
  <c r="G26" i="30"/>
  <c r="N12" i="71" s="1"/>
  <c r="G25" i="30"/>
  <c r="N11" i="71" s="1"/>
  <c r="G12" i="30"/>
  <c r="G11" i="30"/>
  <c r="E1" i="30" l="1"/>
  <c r="E22" i="30" l="1"/>
  <c r="E8" i="30"/>
  <c r="F1" i="30"/>
  <c r="F22" i="30" l="1"/>
  <c r="F8" i="30"/>
  <c r="G1" i="30"/>
  <c r="G22" i="30" l="1"/>
  <c r="G8" i="30"/>
  <c r="G53" i="29"/>
  <c r="O42" i="71" s="1"/>
  <c r="G52" i="29"/>
  <c r="O41" i="71" s="1"/>
  <c r="G51" i="29"/>
  <c r="O40" i="71" s="1"/>
  <c r="G50" i="29"/>
  <c r="O39" i="71" s="1"/>
  <c r="G47" i="29"/>
  <c r="O33" i="71" s="1"/>
  <c r="G46" i="29"/>
  <c r="O32" i="71" s="1"/>
  <c r="G45" i="29"/>
  <c r="O31" i="71" s="1"/>
  <c r="G44" i="29"/>
  <c r="O30" i="71" s="1"/>
  <c r="G43" i="29"/>
  <c r="O29" i="71" s="1"/>
  <c r="G42" i="29"/>
  <c r="O28" i="71" s="1"/>
  <c r="G41" i="29"/>
  <c r="O27" i="71" s="1"/>
  <c r="G40" i="29"/>
  <c r="O26" i="71" s="1"/>
  <c r="G39" i="29"/>
  <c r="O25" i="71" s="1"/>
  <c r="G38" i="29"/>
  <c r="O24" i="71" s="1"/>
  <c r="G37" i="29"/>
  <c r="O23" i="71" s="1"/>
  <c r="G36" i="29"/>
  <c r="O22" i="71" s="1"/>
  <c r="G35" i="29"/>
  <c r="O21" i="71" s="1"/>
  <c r="G34" i="29"/>
  <c r="O20" i="71" s="1"/>
  <c r="G33" i="29"/>
  <c r="O19" i="71" s="1"/>
  <c r="G32" i="29"/>
  <c r="O18" i="71" s="1"/>
  <c r="G31" i="29"/>
  <c r="O17" i="71" s="1"/>
  <c r="G30" i="29"/>
  <c r="O16" i="71" s="1"/>
  <c r="G29" i="29"/>
  <c r="O15" i="71" s="1"/>
  <c r="G28" i="29"/>
  <c r="O14" i="71" s="1"/>
  <c r="G27" i="29"/>
  <c r="O13" i="71" s="1"/>
  <c r="G26" i="29"/>
  <c r="O12" i="71" s="1"/>
  <c r="G25" i="29"/>
  <c r="O11" i="71" s="1"/>
  <c r="G12" i="29"/>
  <c r="G11" i="29"/>
  <c r="E1" i="29" l="1"/>
  <c r="E22" i="29" l="1"/>
  <c r="E8" i="29"/>
  <c r="F1" i="29"/>
  <c r="F22" i="29" l="1"/>
  <c r="F8" i="29"/>
  <c r="G1" i="29"/>
  <c r="G22" i="29" l="1"/>
  <c r="G8" i="29"/>
  <c r="G53" i="28"/>
  <c r="P42" i="71" s="1"/>
  <c r="G52" i="28"/>
  <c r="P41" i="71" s="1"/>
  <c r="G51" i="28"/>
  <c r="P40" i="71" s="1"/>
  <c r="G50" i="28"/>
  <c r="P39" i="71" s="1"/>
  <c r="G47" i="28"/>
  <c r="P33" i="71" s="1"/>
  <c r="G46" i="28"/>
  <c r="P32" i="71" s="1"/>
  <c r="G45" i="28"/>
  <c r="P31" i="71" s="1"/>
  <c r="G44" i="28"/>
  <c r="P30" i="71" s="1"/>
  <c r="G43" i="28"/>
  <c r="P29" i="71" s="1"/>
  <c r="G42" i="28"/>
  <c r="P28" i="71" s="1"/>
  <c r="G41" i="28"/>
  <c r="P27" i="71" s="1"/>
  <c r="G40" i="28"/>
  <c r="P26" i="71" s="1"/>
  <c r="G39" i="28"/>
  <c r="P25" i="71" s="1"/>
  <c r="G38" i="28"/>
  <c r="P24" i="71" s="1"/>
  <c r="G37" i="28"/>
  <c r="P23" i="71" s="1"/>
  <c r="G36" i="28"/>
  <c r="P22" i="71" s="1"/>
  <c r="G35" i="28"/>
  <c r="P21" i="71" s="1"/>
  <c r="G34" i="28"/>
  <c r="P20" i="71" s="1"/>
  <c r="G33" i="28"/>
  <c r="P19" i="71" s="1"/>
  <c r="G32" i="28"/>
  <c r="P18" i="71" s="1"/>
  <c r="G31" i="28"/>
  <c r="P17" i="71" s="1"/>
  <c r="G30" i="28"/>
  <c r="P16" i="71" s="1"/>
  <c r="G29" i="28"/>
  <c r="P15" i="71" s="1"/>
  <c r="G28" i="28"/>
  <c r="P14" i="71" s="1"/>
  <c r="G27" i="28"/>
  <c r="P13" i="71" s="1"/>
  <c r="G26" i="28"/>
  <c r="P12" i="71" s="1"/>
  <c r="G25" i="28"/>
  <c r="P11" i="71" s="1"/>
  <c r="G12" i="28"/>
  <c r="G11" i="28"/>
  <c r="E1" i="28" l="1"/>
  <c r="E22" i="28" l="1"/>
  <c r="E8" i="28"/>
  <c r="F1" i="28"/>
  <c r="F22" i="28" l="1"/>
  <c r="F8" i="28"/>
  <c r="G1" i="28"/>
  <c r="G22" i="28" l="1"/>
  <c r="G8" i="28"/>
  <c r="G53" i="26"/>
  <c r="Q42" i="71" s="1"/>
  <c r="G52" i="26"/>
  <c r="Q41" i="71" s="1"/>
  <c r="G51" i="26"/>
  <c r="Q40" i="71" s="1"/>
  <c r="G50" i="26"/>
  <c r="Q39" i="71" s="1"/>
  <c r="G47" i="26"/>
  <c r="Q33" i="71" s="1"/>
  <c r="G46" i="26"/>
  <c r="Q32" i="71" s="1"/>
  <c r="G45" i="26"/>
  <c r="Q31" i="71" s="1"/>
  <c r="G44" i="26"/>
  <c r="Q30" i="71" s="1"/>
  <c r="G43" i="26"/>
  <c r="Q29" i="71" s="1"/>
  <c r="G42" i="26"/>
  <c r="Q28" i="71" s="1"/>
  <c r="G41" i="26"/>
  <c r="Q27" i="71" s="1"/>
  <c r="G40" i="26"/>
  <c r="Q26" i="71" s="1"/>
  <c r="S26" i="71" s="1"/>
  <c r="G39" i="26"/>
  <c r="Q25" i="71" s="1"/>
  <c r="G38" i="26"/>
  <c r="Q24" i="71" s="1"/>
  <c r="G37" i="26"/>
  <c r="Q23" i="71" s="1"/>
  <c r="G36" i="26"/>
  <c r="Q22" i="71" s="1"/>
  <c r="G35" i="26"/>
  <c r="Q21" i="71" s="1"/>
  <c r="G34" i="26"/>
  <c r="Q20" i="71" s="1"/>
  <c r="G33" i="26"/>
  <c r="Q19" i="71" s="1"/>
  <c r="G32" i="26"/>
  <c r="Q18" i="71" s="1"/>
  <c r="G31" i="26"/>
  <c r="Q17" i="71" s="1"/>
  <c r="G30" i="26"/>
  <c r="Q16" i="71" s="1"/>
  <c r="G29" i="26"/>
  <c r="Q15" i="71" s="1"/>
  <c r="G28" i="26"/>
  <c r="Q14" i="71" s="1"/>
  <c r="G27" i="26"/>
  <c r="Q13" i="71" s="1"/>
  <c r="G26" i="26"/>
  <c r="Q12" i="71" s="1"/>
  <c r="G25" i="26"/>
  <c r="Q11" i="71" s="1"/>
  <c r="G12" i="26"/>
  <c r="G11" i="26"/>
  <c r="T26" i="71" l="1"/>
  <c r="U26" i="71"/>
  <c r="W26" i="71" s="1"/>
  <c r="E1" i="26"/>
  <c r="X26" i="71" l="1"/>
  <c r="Z26" i="71" s="1"/>
  <c r="AA26" i="71" s="1"/>
  <c r="E22" i="26"/>
  <c r="E8" i="26"/>
  <c r="F1" i="26"/>
  <c r="F22" i="26" l="1"/>
  <c r="F8" i="26"/>
  <c r="G1" i="26"/>
  <c r="G22" i="26" l="1"/>
  <c r="G8" i="26"/>
  <c r="G53" i="9"/>
  <c r="R42" i="71" s="1"/>
  <c r="S42" i="71" s="1"/>
  <c r="G52" i="9"/>
  <c r="R41" i="71" s="1"/>
  <c r="S41" i="71" s="1"/>
  <c r="G51" i="9"/>
  <c r="R40" i="71" s="1"/>
  <c r="S40" i="71" s="1"/>
  <c r="G50" i="9"/>
  <c r="R39" i="71" s="1"/>
  <c r="S39" i="71" s="1"/>
  <c r="G47" i="9"/>
  <c r="R33" i="71" s="1"/>
  <c r="S33" i="71" s="1"/>
  <c r="G46" i="9"/>
  <c r="R32" i="71" s="1"/>
  <c r="S32" i="71" s="1"/>
  <c r="G45" i="9"/>
  <c r="R31" i="71" s="1"/>
  <c r="S31" i="71" s="1"/>
  <c r="G44" i="9"/>
  <c r="R30" i="71" s="1"/>
  <c r="S30" i="71" s="1"/>
  <c r="G43" i="9"/>
  <c r="R29" i="71" s="1"/>
  <c r="S29" i="71" s="1"/>
  <c r="G42" i="9"/>
  <c r="R28" i="71" s="1"/>
  <c r="S28" i="71" s="1"/>
  <c r="G41" i="9"/>
  <c r="R27" i="71" s="1"/>
  <c r="S27" i="71" s="1"/>
  <c r="G39" i="9"/>
  <c r="R25" i="71" s="1"/>
  <c r="S25" i="71" s="1"/>
  <c r="G38" i="9"/>
  <c r="R24" i="71" s="1"/>
  <c r="S24" i="71" s="1"/>
  <c r="G37" i="9"/>
  <c r="R23" i="71" s="1"/>
  <c r="S23" i="71" s="1"/>
  <c r="G36" i="9"/>
  <c r="R22" i="71" s="1"/>
  <c r="S22" i="71" s="1"/>
  <c r="G35" i="9"/>
  <c r="R21" i="71" s="1"/>
  <c r="S21" i="71" s="1"/>
  <c r="G34" i="9"/>
  <c r="R20" i="71" s="1"/>
  <c r="S20" i="71" s="1"/>
  <c r="G33" i="9"/>
  <c r="R19" i="71" s="1"/>
  <c r="S19" i="71" s="1"/>
  <c r="G32" i="9"/>
  <c r="R18" i="71" s="1"/>
  <c r="S18" i="71" s="1"/>
  <c r="G31" i="9"/>
  <c r="R17" i="71" s="1"/>
  <c r="S17" i="71" s="1"/>
  <c r="G30" i="9"/>
  <c r="R16" i="71" s="1"/>
  <c r="S16" i="71" s="1"/>
  <c r="G29" i="9"/>
  <c r="R15" i="71" s="1"/>
  <c r="S15" i="71" s="1"/>
  <c r="G28" i="9"/>
  <c r="R14" i="71" s="1"/>
  <c r="S14" i="71" s="1"/>
  <c r="G27" i="9"/>
  <c r="R13" i="71" s="1"/>
  <c r="S13" i="71" s="1"/>
  <c r="G26" i="9"/>
  <c r="R12" i="71" s="1"/>
  <c r="S12" i="71" s="1"/>
  <c r="G25" i="9"/>
  <c r="R11" i="71" s="1"/>
  <c r="S11" i="71" s="1"/>
  <c r="U15" i="71" l="1"/>
  <c r="W15" i="71" s="1"/>
  <c r="T15" i="71"/>
  <c r="U32" i="71"/>
  <c r="W32" i="71" s="1"/>
  <c r="T32" i="71"/>
  <c r="U20" i="71"/>
  <c r="W20" i="71" s="1"/>
  <c r="T20" i="71"/>
  <c r="T24" i="71"/>
  <c r="U24" i="71"/>
  <c r="W24" i="71" s="1"/>
  <c r="T29" i="71"/>
  <c r="U29" i="71"/>
  <c r="W29" i="71" s="1"/>
  <c r="U33" i="71"/>
  <c r="W33" i="71" s="1"/>
  <c r="T33" i="71"/>
  <c r="T42" i="71"/>
  <c r="U42" i="71"/>
  <c r="X42" i="71"/>
  <c r="Z42" i="71" s="1"/>
  <c r="AA42" i="71" s="1"/>
  <c r="U11" i="71"/>
  <c r="T11" i="71"/>
  <c r="T23" i="71"/>
  <c r="U23" i="71"/>
  <c r="W23" i="71" s="1"/>
  <c r="T12" i="71"/>
  <c r="U12" i="71"/>
  <c r="W12" i="71" s="1"/>
  <c r="X12" i="71" s="1"/>
  <c r="Z12" i="71" s="1"/>
  <c r="AA12" i="71" s="1"/>
  <c r="T13" i="71"/>
  <c r="W11" i="47" s="1"/>
  <c r="W10" i="47" s="1"/>
  <c r="U13" i="71"/>
  <c r="U21" i="71"/>
  <c r="W21" i="71" s="1"/>
  <c r="T21" i="71"/>
  <c r="U25" i="71"/>
  <c r="W25" i="71" s="1"/>
  <c r="T25" i="71"/>
  <c r="T30" i="71"/>
  <c r="U30" i="71"/>
  <c r="W30" i="71" s="1"/>
  <c r="X39" i="71"/>
  <c r="T39" i="71"/>
  <c r="U39" i="71"/>
  <c r="U19" i="71"/>
  <c r="W19" i="71" s="1"/>
  <c r="T19" i="71"/>
  <c r="U28" i="71"/>
  <c r="W28" i="71" s="1"/>
  <c r="T28" i="71"/>
  <c r="T41" i="71"/>
  <c r="X41" i="71"/>
  <c r="Z41" i="71" s="1"/>
  <c r="AA41" i="71" s="1"/>
  <c r="U41" i="71"/>
  <c r="U16" i="71"/>
  <c r="W16" i="71" s="1"/>
  <c r="T16" i="71"/>
  <c r="T17" i="71"/>
  <c r="U17" i="71"/>
  <c r="W17" i="71" s="1"/>
  <c r="T14" i="71"/>
  <c r="U14" i="71"/>
  <c r="W14" i="71" s="1"/>
  <c r="U18" i="71"/>
  <c r="W18" i="71" s="1"/>
  <c r="T18" i="71"/>
  <c r="T22" i="71"/>
  <c r="U22" i="71"/>
  <c r="W22" i="71" s="1"/>
  <c r="U27" i="71"/>
  <c r="W27" i="71" s="1"/>
  <c r="T27" i="71"/>
  <c r="U31" i="71"/>
  <c r="W31" i="71" s="1"/>
  <c r="T31" i="71"/>
  <c r="T40" i="71"/>
  <c r="X40" i="71"/>
  <c r="U40" i="71"/>
  <c r="W18" i="47" s="1"/>
  <c r="G11" i="9"/>
  <c r="G12" i="9"/>
  <c r="V12" i="47" l="1"/>
  <c r="W11" i="71"/>
  <c r="U36" i="71"/>
  <c r="X24" i="71"/>
  <c r="Z24" i="71" s="1"/>
  <c r="AA24" i="71" s="1"/>
  <c r="Z40" i="71"/>
  <c r="W19" i="47" s="1"/>
  <c r="X16" i="71"/>
  <c r="Z16" i="71" s="1"/>
  <c r="AA16" i="71" s="1"/>
  <c r="V18" i="47"/>
  <c r="U45" i="71"/>
  <c r="X21" i="71"/>
  <c r="Z21" i="71" s="1"/>
  <c r="AA21" i="71" s="1"/>
  <c r="X33" i="71"/>
  <c r="Z33" i="71" s="1"/>
  <c r="AA33" i="71" s="1"/>
  <c r="X32" i="71"/>
  <c r="Z32" i="71" s="1"/>
  <c r="AA32" i="71" s="1"/>
  <c r="Z14" i="71"/>
  <c r="X19" i="71"/>
  <c r="Z19" i="71"/>
  <c r="AA19" i="71" s="1"/>
  <c r="X27" i="71"/>
  <c r="Z27" i="71"/>
  <c r="AA27" i="71" s="1"/>
  <c r="X18" i="71"/>
  <c r="Z18" i="71"/>
  <c r="AA18" i="71" s="1"/>
  <c r="X17" i="71"/>
  <c r="Z17" i="71"/>
  <c r="AA17" i="71" s="1"/>
  <c r="X28" i="71"/>
  <c r="Z28" i="71"/>
  <c r="AA28" i="71" s="1"/>
  <c r="V17" i="47"/>
  <c r="T45" i="71"/>
  <c r="W17" i="47" s="1"/>
  <c r="X29" i="71"/>
  <c r="Z29" i="71"/>
  <c r="AA29" i="71" s="1"/>
  <c r="X31" i="71"/>
  <c r="Z31" i="71"/>
  <c r="AA31" i="71" s="1"/>
  <c r="X30" i="71"/>
  <c r="Z30" i="71"/>
  <c r="AA30" i="71" s="1"/>
  <c r="X23" i="71"/>
  <c r="Z23" i="71"/>
  <c r="AA23" i="71" s="1"/>
  <c r="X22" i="71"/>
  <c r="Z22" i="71"/>
  <c r="AA22" i="71" s="1"/>
  <c r="X14" i="71"/>
  <c r="X45" i="71"/>
  <c r="Z39" i="71"/>
  <c r="AA39" i="71"/>
  <c r="X25" i="71"/>
  <c r="Z25" i="71"/>
  <c r="AA25" i="71" s="1"/>
  <c r="W13" i="71"/>
  <c r="W12" i="47"/>
  <c r="T36" i="71"/>
  <c r="V11" i="47"/>
  <c r="V10" i="47" s="1"/>
  <c r="X20" i="71"/>
  <c r="Z20" i="71"/>
  <c r="AA20" i="71" s="1"/>
  <c r="X15" i="71"/>
  <c r="Z15" i="71"/>
  <c r="AA15" i="71" s="1"/>
  <c r="E1" i="9"/>
  <c r="AA40" i="71" l="1"/>
  <c r="W20" i="47" s="1"/>
  <c r="W13" i="47"/>
  <c r="X13" i="71"/>
  <c r="V19" i="47"/>
  <c r="Z45" i="71"/>
  <c r="V13" i="47"/>
  <c r="W36" i="71"/>
  <c r="X11" i="71"/>
  <c r="V20" i="47"/>
  <c r="AA45" i="71"/>
  <c r="AA14" i="71"/>
  <c r="V16" i="47"/>
  <c r="E22" i="9"/>
  <c r="E8" i="9"/>
  <c r="E8" i="47"/>
  <c r="V28" i="38"/>
  <c r="V11" i="38"/>
  <c r="F1" i="9"/>
  <c r="R40" i="38"/>
  <c r="R41" i="38"/>
  <c r="R42" i="38"/>
  <c r="R39" i="38"/>
  <c r="R12" i="38"/>
  <c r="R13" i="38"/>
  <c r="R14" i="38"/>
  <c r="R15" i="38"/>
  <c r="R16" i="38"/>
  <c r="R17" i="38"/>
  <c r="R18" i="38"/>
  <c r="R19" i="38"/>
  <c r="R20" i="38"/>
  <c r="R21" i="38"/>
  <c r="R22" i="38"/>
  <c r="R23" i="38"/>
  <c r="R24" i="38"/>
  <c r="R25" i="38"/>
  <c r="R26" i="38"/>
  <c r="R27" i="38"/>
  <c r="R28" i="38"/>
  <c r="R29" i="38"/>
  <c r="R30" i="38"/>
  <c r="R31" i="38"/>
  <c r="R32" i="38"/>
  <c r="R33" i="38"/>
  <c r="R11" i="38"/>
  <c r="O12" i="43"/>
  <c r="O11" i="43"/>
  <c r="Z13" i="71" l="1"/>
  <c r="W14" i="47" s="1"/>
  <c r="W23" i="47" s="1"/>
  <c r="Z11" i="71"/>
  <c r="X36" i="71"/>
  <c r="F22" i="9"/>
  <c r="F8" i="9"/>
  <c r="V33" i="38"/>
  <c r="V18" i="38"/>
  <c r="V29" i="38"/>
  <c r="V16" i="38"/>
  <c r="V12" i="38"/>
  <c r="V20" i="38"/>
  <c r="G1" i="9"/>
  <c r="G12" i="43"/>
  <c r="V14" i="47" l="1"/>
  <c r="V23" i="47" s="1"/>
  <c r="Z36" i="71"/>
  <c r="AA11" i="71"/>
  <c r="AA13" i="71"/>
  <c r="W15" i="47" s="1"/>
  <c r="W21" i="47" s="1"/>
  <c r="W27" i="47"/>
  <c r="W24" i="47"/>
  <c r="G8" i="9"/>
  <c r="G22" i="9"/>
  <c r="V14" i="38"/>
  <c r="V26" i="38"/>
  <c r="V19" i="38"/>
  <c r="V31" i="38"/>
  <c r="V25" i="38"/>
  <c r="V24" i="38"/>
  <c r="V23" i="38"/>
  <c r="V15" i="38"/>
  <c r="V22" i="38"/>
  <c r="V27" i="38"/>
  <c r="V17" i="38"/>
  <c r="V30" i="38"/>
  <c r="V32" i="38"/>
  <c r="V21" i="38"/>
  <c r="G11" i="43"/>
  <c r="J11" i="38"/>
  <c r="J15" i="38"/>
  <c r="J19" i="38"/>
  <c r="J23" i="38"/>
  <c r="J27" i="38"/>
  <c r="J31" i="38"/>
  <c r="J40" i="38"/>
  <c r="J12" i="38"/>
  <c r="J16" i="38"/>
  <c r="J20" i="38"/>
  <c r="J24" i="38"/>
  <c r="J28" i="38"/>
  <c r="J32" i="38"/>
  <c r="J41" i="38"/>
  <c r="J13" i="38"/>
  <c r="J17" i="38"/>
  <c r="J21" i="38"/>
  <c r="J25" i="38"/>
  <c r="J29" i="38"/>
  <c r="J33" i="38"/>
  <c r="J42" i="38"/>
  <c r="J14" i="38"/>
  <c r="J18" i="38"/>
  <c r="J22" i="38"/>
  <c r="J26" i="38"/>
  <c r="J30" i="38"/>
  <c r="J39" i="38"/>
  <c r="K39" i="38"/>
  <c r="K32" i="38"/>
  <c r="K26" i="38"/>
  <c r="K24" i="38"/>
  <c r="K18" i="38"/>
  <c r="K16" i="38"/>
  <c r="W28" i="47" l="1"/>
  <c r="W22" i="47"/>
  <c r="V15" i="47"/>
  <c r="V21" i="47" s="1"/>
  <c r="AA36" i="71"/>
  <c r="V27" i="47"/>
  <c r="V24" i="47"/>
  <c r="K14" i="38"/>
  <c r="K17" i="38"/>
  <c r="K20" i="38"/>
  <c r="K30" i="38"/>
  <c r="K33" i="38"/>
  <c r="K41" i="38"/>
  <c r="K11" i="38"/>
  <c r="K15" i="38"/>
  <c r="K21" i="38"/>
  <c r="K27" i="38"/>
  <c r="K31" i="38"/>
  <c r="K42" i="38"/>
  <c r="K22" i="38"/>
  <c r="K25" i="38"/>
  <c r="K28" i="38"/>
  <c r="H11" i="43"/>
  <c r="K12" i="38"/>
  <c r="H12" i="43"/>
  <c r="K13" i="38"/>
  <c r="K19" i="38"/>
  <c r="K23" i="38"/>
  <c r="K29" i="38"/>
  <c r="K40" i="38"/>
  <c r="L16" i="38"/>
  <c r="L12" i="38"/>
  <c r="V22" i="47" l="1"/>
  <c r="V28" i="47"/>
  <c r="L11" i="38"/>
  <c r="L14" i="38"/>
  <c r="L17" i="38"/>
  <c r="L21" i="38"/>
  <c r="L25" i="38"/>
  <c r="L29" i="38"/>
  <c r="L33" i="38"/>
  <c r="L42" i="38"/>
  <c r="I11" i="43"/>
  <c r="L15" i="38"/>
  <c r="L18" i="38"/>
  <c r="L22" i="38"/>
  <c r="L26" i="38"/>
  <c r="L30" i="38"/>
  <c r="L39" i="38"/>
  <c r="I12" i="43"/>
  <c r="L19" i="38"/>
  <c r="L23" i="38"/>
  <c r="L27" i="38"/>
  <c r="L31" i="38"/>
  <c r="L40" i="38"/>
  <c r="L13" i="38"/>
  <c r="L20" i="38"/>
  <c r="L24" i="38"/>
  <c r="L28" i="38"/>
  <c r="L32" i="38"/>
  <c r="L41" i="38"/>
  <c r="M30" i="38"/>
  <c r="M26" i="38"/>
  <c r="M12" i="38" l="1"/>
  <c r="M16" i="38"/>
  <c r="M24" i="38"/>
  <c r="M27" i="38"/>
  <c r="M11" i="38"/>
  <c r="M15" i="38"/>
  <c r="M19" i="38"/>
  <c r="M23" i="38"/>
  <c r="M33" i="38"/>
  <c r="M42" i="38"/>
  <c r="M39" i="38"/>
  <c r="J12" i="43"/>
  <c r="M13" i="38"/>
  <c r="M17" i="38"/>
  <c r="M21" i="38"/>
  <c r="M25" i="38"/>
  <c r="M28" i="38"/>
  <c r="M31" i="38"/>
  <c r="M40" i="38"/>
  <c r="J11" i="43"/>
  <c r="M20" i="38"/>
  <c r="M14" i="38"/>
  <c r="M18" i="38"/>
  <c r="M22" i="38"/>
  <c r="M29" i="38"/>
  <c r="M32" i="38"/>
  <c r="M41" i="38"/>
  <c r="N15" i="38" l="1"/>
  <c r="N19" i="38"/>
  <c r="N23" i="38"/>
  <c r="N27" i="38"/>
  <c r="N31" i="38"/>
  <c r="N40" i="38"/>
  <c r="N11" i="38"/>
  <c r="K11" i="43"/>
  <c r="N12" i="38"/>
  <c r="N16" i="38"/>
  <c r="N20" i="38"/>
  <c r="N24" i="38"/>
  <c r="N28" i="38"/>
  <c r="N32" i="38"/>
  <c r="N41" i="38"/>
  <c r="N13" i="38"/>
  <c r="N21" i="38"/>
  <c r="N29" i="38"/>
  <c r="N42" i="38"/>
  <c r="K12" i="43"/>
  <c r="N17" i="38"/>
  <c r="N25" i="38"/>
  <c r="N33" i="38"/>
  <c r="N14" i="38"/>
  <c r="N18" i="38"/>
  <c r="N22" i="38"/>
  <c r="N26" i="38"/>
  <c r="N30" i="38"/>
  <c r="N39" i="38"/>
  <c r="O14" i="38" l="1"/>
  <c r="O18" i="38"/>
  <c r="O22" i="38"/>
  <c r="O26" i="38"/>
  <c r="O30" i="38"/>
  <c r="O39" i="38"/>
  <c r="O11" i="38"/>
  <c r="O15" i="38"/>
  <c r="O19" i="38"/>
  <c r="O23" i="38"/>
  <c r="O27" i="38"/>
  <c r="O31" i="38"/>
  <c r="O40" i="38"/>
  <c r="O12" i="38"/>
  <c r="O20" i="38"/>
  <c r="O24" i="38"/>
  <c r="O32" i="38"/>
  <c r="O41" i="38"/>
  <c r="L11" i="43"/>
  <c r="O16" i="38"/>
  <c r="O28" i="38"/>
  <c r="L12" i="43"/>
  <c r="O13" i="38"/>
  <c r="O17" i="38"/>
  <c r="O21" i="38"/>
  <c r="O25" i="38"/>
  <c r="O29" i="38"/>
  <c r="O33" i="38"/>
  <c r="O42" i="38"/>
  <c r="M12" i="43" l="1"/>
  <c r="P13" i="38"/>
  <c r="P17" i="38"/>
  <c r="P21" i="38"/>
  <c r="P25" i="38"/>
  <c r="P29" i="38"/>
  <c r="P33" i="38"/>
  <c r="P42" i="38"/>
  <c r="P14" i="38"/>
  <c r="P18" i="38"/>
  <c r="P22" i="38"/>
  <c r="P26" i="38"/>
  <c r="P30" i="38"/>
  <c r="P39" i="38"/>
  <c r="P11" i="38"/>
  <c r="P15" i="38"/>
  <c r="P19" i="38"/>
  <c r="P23" i="38"/>
  <c r="P27" i="38"/>
  <c r="P31" i="38"/>
  <c r="P40" i="38"/>
  <c r="M11" i="43"/>
  <c r="P12" i="38"/>
  <c r="P16" i="38"/>
  <c r="P20" i="38"/>
  <c r="P24" i="38"/>
  <c r="P28" i="38"/>
  <c r="P32" i="38"/>
  <c r="P41" i="38"/>
  <c r="Q41" i="38"/>
  <c r="Q16" i="38"/>
  <c r="Q14" i="38"/>
  <c r="S14" i="38" s="1"/>
  <c r="S41" i="38" l="1"/>
  <c r="S16" i="38"/>
  <c r="Q20" i="38"/>
  <c r="S20" i="38" s="1"/>
  <c r="Q24" i="38"/>
  <c r="S24" i="38" s="1"/>
  <c r="Q28" i="38"/>
  <c r="S28" i="38" s="1"/>
  <c r="Q32" i="38"/>
  <c r="S32" i="38" s="1"/>
  <c r="Q11" i="38"/>
  <c r="S11" i="38" s="1"/>
  <c r="Q17" i="38"/>
  <c r="S17" i="38" s="1"/>
  <c r="Q21" i="38"/>
  <c r="S21" i="38" s="1"/>
  <c r="Q25" i="38"/>
  <c r="S25" i="38" s="1"/>
  <c r="Q29" i="38"/>
  <c r="S29" i="38" s="1"/>
  <c r="Q33" i="38"/>
  <c r="S33" i="38" s="1"/>
  <c r="N11" i="43"/>
  <c r="P11" i="43" s="1"/>
  <c r="Q12" i="38"/>
  <c r="S12" i="38" s="1"/>
  <c r="Q15" i="38"/>
  <c r="S15" i="38" s="1"/>
  <c r="Q18" i="38"/>
  <c r="S18" i="38" s="1"/>
  <c r="Q22" i="38"/>
  <c r="S22" i="38" s="1"/>
  <c r="Q26" i="38"/>
  <c r="S26" i="38" s="1"/>
  <c r="Q30" i="38"/>
  <c r="S30" i="38" s="1"/>
  <c r="Q39" i="38"/>
  <c r="S39" i="38" s="1"/>
  <c r="Q42" i="38"/>
  <c r="S42" i="38" s="1"/>
  <c r="N12" i="43"/>
  <c r="P12" i="43" s="1"/>
  <c r="Q13" i="38"/>
  <c r="S13" i="38" s="1"/>
  <c r="Q19" i="38"/>
  <c r="S19" i="38" s="1"/>
  <c r="Q23" i="38"/>
  <c r="S23" i="38" s="1"/>
  <c r="Q27" i="38"/>
  <c r="S27" i="38" s="1"/>
  <c r="Q31" i="38"/>
  <c r="S31" i="38" s="1"/>
  <c r="Q40" i="38"/>
  <c r="S40" i="38" s="1"/>
  <c r="E8" i="43" l="1"/>
  <c r="B19" i="43" l="1"/>
  <c r="F8" i="43"/>
  <c r="C23" i="43" s="1"/>
  <c r="F15" i="43"/>
  <c r="B20" i="43" l="1"/>
  <c r="P8" i="43" l="1"/>
  <c r="R8" i="43"/>
  <c r="C26" i="43" l="1"/>
  <c r="C25" i="43"/>
  <c r="B23" i="43"/>
  <c r="B21" i="43"/>
  <c r="C22" i="43"/>
  <c r="Q12" i="43" l="1"/>
  <c r="R12" i="43" s="1"/>
  <c r="T12" i="43" s="1"/>
  <c r="U12" i="43" l="1"/>
  <c r="Q11" i="43"/>
  <c r="G10" i="47"/>
  <c r="G11" i="47" s="1"/>
  <c r="G12" i="47" s="1"/>
  <c r="E10" i="47" l="1"/>
  <c r="E11" i="47" s="1"/>
  <c r="E12" i="47" s="1"/>
  <c r="I12" i="47" s="1"/>
  <c r="R11" i="43"/>
  <c r="R15" i="43" s="1"/>
  <c r="G14" i="47"/>
  <c r="Q15" i="43"/>
  <c r="T11" i="43" l="1"/>
  <c r="U11" i="43" s="1"/>
  <c r="I11" i="47"/>
  <c r="E14" i="47"/>
  <c r="E15" i="47" s="1"/>
  <c r="G15" i="47"/>
  <c r="G16" i="47"/>
  <c r="E16" i="47" l="1"/>
  <c r="E17" i="47" s="1"/>
  <c r="I14" i="47"/>
  <c r="G17" i="47"/>
  <c r="G8" i="38"/>
  <c r="D49" i="38" s="1"/>
  <c r="H1" i="38"/>
  <c r="I16" i="47" l="1"/>
  <c r="T15" i="43"/>
  <c r="I36" i="38"/>
  <c r="H8" i="38"/>
  <c r="I1" i="38"/>
  <c r="D50" i="38" l="1"/>
  <c r="S1" i="38"/>
  <c r="U15" i="43"/>
  <c r="I8" i="38"/>
  <c r="E55" i="38" s="1"/>
  <c r="D51" i="38" l="1"/>
  <c r="T1" i="38"/>
  <c r="S8" i="38"/>
  <c r="E54" i="38" l="1"/>
  <c r="U1" i="38"/>
  <c r="E53" i="38"/>
  <c r="D52" i="38"/>
  <c r="T8" i="38"/>
  <c r="D53" i="38" s="1"/>
  <c r="V1" i="38" l="1"/>
  <c r="W1" i="38" s="1"/>
  <c r="U8" i="38"/>
  <c r="D54" i="38" s="1"/>
  <c r="X1" i="38" l="1"/>
  <c r="Y1" i="38" s="1"/>
  <c r="Z1" i="38" s="1"/>
  <c r="Z8" i="38" s="1"/>
  <c r="V8" i="38"/>
  <c r="E56" i="38" s="1"/>
  <c r="U32" i="38"/>
  <c r="U13" i="38"/>
  <c r="U26" i="38"/>
  <c r="U20" i="38"/>
  <c r="U22" i="38" l="1"/>
  <c r="W22" i="38" s="1"/>
  <c r="X22" i="38" s="1"/>
  <c r="D55" i="38"/>
  <c r="W26" i="38"/>
  <c r="W32" i="38"/>
  <c r="W20" i="38"/>
  <c r="T26" i="38"/>
  <c r="T32" i="38"/>
  <c r="T20" i="38"/>
  <c r="T13" i="38"/>
  <c r="T22" i="38"/>
  <c r="U28" i="38"/>
  <c r="U18" i="38"/>
  <c r="U19" i="38"/>
  <c r="U25" i="38"/>
  <c r="U23" i="38"/>
  <c r="U24" i="38"/>
  <c r="U12" i="38"/>
  <c r="U33" i="38"/>
  <c r="U30" i="38"/>
  <c r="U17" i="38"/>
  <c r="U31" i="38"/>
  <c r="U15" i="38"/>
  <c r="U14" i="38"/>
  <c r="U27" i="38"/>
  <c r="U29" i="38"/>
  <c r="U16" i="38"/>
  <c r="W16" i="38" s="1"/>
  <c r="U21" i="38" l="1"/>
  <c r="W21" i="38" s="1"/>
  <c r="X21" i="38" s="1"/>
  <c r="U11" i="38"/>
  <c r="O12" i="47" s="1"/>
  <c r="X32" i="38"/>
  <c r="Z32" i="38" s="1"/>
  <c r="Z22" i="38"/>
  <c r="X26" i="38"/>
  <c r="Z26" i="38" s="1"/>
  <c r="X20" i="38"/>
  <c r="Z20" i="38" s="1"/>
  <c r="W31" i="38"/>
  <c r="W25" i="38"/>
  <c r="W17" i="38"/>
  <c r="W19" i="38"/>
  <c r="W27" i="38"/>
  <c r="W15" i="38"/>
  <c r="W33" i="38"/>
  <c r="W23" i="38"/>
  <c r="W28" i="38"/>
  <c r="W29" i="38"/>
  <c r="W14" i="38"/>
  <c r="W30" i="38"/>
  <c r="W24" i="38"/>
  <c r="W18" i="38"/>
  <c r="T15" i="38"/>
  <c r="T23" i="38"/>
  <c r="T16" i="38"/>
  <c r="T31" i="38"/>
  <c r="T17" i="38"/>
  <c r="T21" i="38"/>
  <c r="T19" i="38"/>
  <c r="T28" i="38"/>
  <c r="T27" i="38"/>
  <c r="T33" i="38"/>
  <c r="T12" i="38"/>
  <c r="T25" i="38"/>
  <c r="T29" i="38"/>
  <c r="T14" i="38"/>
  <c r="T30" i="38"/>
  <c r="T24" i="38"/>
  <c r="T18" i="38"/>
  <c r="T11" i="38"/>
  <c r="W11" i="38" l="1"/>
  <c r="P11" i="47"/>
  <c r="O11" i="47"/>
  <c r="P12" i="47"/>
  <c r="X17" i="38"/>
  <c r="Z17" i="38" s="1"/>
  <c r="W12" i="38"/>
  <c r="X24" i="38"/>
  <c r="X14" i="38"/>
  <c r="Z14" i="38" s="1"/>
  <c r="X25" i="38"/>
  <c r="Z25" i="38" s="1"/>
  <c r="X18" i="38"/>
  <c r="Z18" i="38" s="1"/>
  <c r="X29" i="38"/>
  <c r="Z29" i="38" s="1"/>
  <c r="X31" i="38"/>
  <c r="Z31" i="38" s="1"/>
  <c r="X33" i="38"/>
  <c r="Z33" i="38" s="1"/>
  <c r="X30" i="38"/>
  <c r="Z30" i="38" s="1"/>
  <c r="Z21" i="38"/>
  <c r="X15" i="38"/>
  <c r="Z15" i="38" s="1"/>
  <c r="U36" i="38"/>
  <c r="T36" i="38"/>
  <c r="P10" i="47" l="1"/>
  <c r="Z24" i="38"/>
  <c r="AA24" i="38" s="1"/>
  <c r="X16" i="38"/>
  <c r="Z16" i="38" s="1"/>
  <c r="X11" i="38"/>
  <c r="Z11" i="38" s="1"/>
  <c r="X12" i="38"/>
  <c r="Z12" i="38" s="1"/>
  <c r="O13" i="47"/>
  <c r="U39" i="38"/>
  <c r="O18" i="47" s="1"/>
  <c r="O9" i="47"/>
  <c r="O10" i="47" s="1"/>
  <c r="AA22" i="38"/>
  <c r="AA20" i="38"/>
  <c r="AA32" i="38"/>
  <c r="AA26" i="38"/>
  <c r="U41" i="38"/>
  <c r="U40" i="38"/>
  <c r="U42" i="38"/>
  <c r="X41" i="38"/>
  <c r="Z41" i="38" s="1"/>
  <c r="X39" i="38"/>
  <c r="X40" i="38"/>
  <c r="Z40" i="38" s="1"/>
  <c r="X42" i="38"/>
  <c r="Z42" i="38" s="1"/>
  <c r="X23" i="38"/>
  <c r="Z23" i="38" s="1"/>
  <c r="X19" i="38"/>
  <c r="Z19" i="38" s="1"/>
  <c r="X28" i="38"/>
  <c r="Z28" i="38" s="1"/>
  <c r="X27" i="38"/>
  <c r="Z27" i="38" s="1"/>
  <c r="T40" i="38"/>
  <c r="T42" i="38"/>
  <c r="T41" i="38"/>
  <c r="I45" i="38"/>
  <c r="T39" i="38"/>
  <c r="O17" i="47" s="1"/>
  <c r="O16" i="47" s="1"/>
  <c r="Z39" i="38" l="1"/>
  <c r="Z45" i="38" s="1"/>
  <c r="P19" i="47"/>
  <c r="P18" i="47"/>
  <c r="AA21" i="38"/>
  <c r="U45" i="38"/>
  <c r="AA31" i="38"/>
  <c r="AA16" i="38"/>
  <c r="AA14" i="38"/>
  <c r="AA17" i="38"/>
  <c r="AA30" i="38"/>
  <c r="AA25" i="38"/>
  <c r="AA33" i="38"/>
  <c r="AA18" i="38"/>
  <c r="AA29" i="38"/>
  <c r="AA15" i="38"/>
  <c r="AA12" i="38"/>
  <c r="AA40" i="38"/>
  <c r="AA41" i="38"/>
  <c r="T45" i="38"/>
  <c r="P17" i="47" l="1"/>
  <c r="O19" i="47"/>
  <c r="O14" i="47"/>
  <c r="AA23" i="38"/>
  <c r="AA19" i="38"/>
  <c r="AA28" i="38"/>
  <c r="AA27" i="38"/>
  <c r="AA11" i="38"/>
  <c r="O23" i="47" l="1"/>
  <c r="O24" i="47" s="1"/>
  <c r="P16" i="47"/>
  <c r="O15" i="47"/>
  <c r="AA39" i="38"/>
  <c r="O20" i="47" s="1"/>
  <c r="O21" i="47" l="1"/>
  <c r="O22" i="47" s="1"/>
  <c r="X45" i="38"/>
  <c r="AA42" i="38"/>
  <c r="P20" i="47" s="1"/>
  <c r="AA45" i="38" l="1"/>
  <c r="V13" i="38" l="1"/>
  <c r="V36" i="38" l="1"/>
  <c r="W13" i="38"/>
  <c r="P13" i="47" l="1"/>
  <c r="W36" i="38"/>
  <c r="X13" i="38" l="1"/>
  <c r="Z13" i="38" s="1"/>
  <c r="Z36" i="38" l="1"/>
  <c r="X36" i="38"/>
  <c r="P14" i="47" l="1"/>
  <c r="P23" i="47" s="1"/>
  <c r="P24" i="47" s="1"/>
  <c r="AA13" i="38"/>
  <c r="P15" i="47" l="1"/>
  <c r="P21" i="47" s="1"/>
  <c r="P22" i="47" s="1"/>
  <c r="AA36" i="38"/>
  <c r="W8" i="38"/>
  <c r="E57" i="38" s="1"/>
  <c r="Y8" i="38"/>
  <c r="D58" i="38" l="1"/>
  <c r="D56" i="38"/>
  <c r="P28" i="47" l="1"/>
  <c r="O27" i="47"/>
  <c r="P27" i="47" l="1"/>
  <c r="E20" i="47"/>
  <c r="E21" i="47"/>
  <c r="G20" i="47"/>
  <c r="G21" i="47"/>
  <c r="O28" i="47"/>
  <c r="I20" i="47" l="1"/>
  <c r="I21" i="47"/>
  <c r="X8" i="38"/>
  <c r="E59" i="38" s="1"/>
  <c r="D57" i="38" l="1"/>
  <c r="D59" i="38"/>
  <c r="AA1" i="38"/>
  <c r="AA8" i="38" s="1"/>
  <c r="D60" i="38" s="1"/>
  <c r="E60" i="38"/>
  <c r="W16" i="47" l="1"/>
</calcChain>
</file>

<file path=xl/sharedStrings.xml><?xml version="1.0" encoding="utf-8"?>
<sst xmlns="http://schemas.openxmlformats.org/spreadsheetml/2006/main" count="1467" uniqueCount="156">
  <si>
    <t>Arizona Public Service Co</t>
  </si>
  <si>
    <t>Avista Corp</t>
  </si>
  <si>
    <t>Idaho Power Co</t>
  </si>
  <si>
    <t>Imperial Irrigation District</t>
  </si>
  <si>
    <t>Los Angeles Dept of Water &amp; Power</t>
  </si>
  <si>
    <t>Nevada Power Co</t>
  </si>
  <si>
    <t>PUD No 1 of Chelan County</t>
  </si>
  <si>
    <t>PUD No 1 of Douglas County</t>
  </si>
  <si>
    <t>PUD No 2 of Grant County</t>
  </si>
  <si>
    <t>Public Service Co of Colorado</t>
  </si>
  <si>
    <t>Public Service Co of New Mexico</t>
  </si>
  <si>
    <t>Puget Sound Energy Inc</t>
  </si>
  <si>
    <t>Salt River Project</t>
  </si>
  <si>
    <t>Seattle City Light</t>
  </si>
  <si>
    <t>Tacoma Power</t>
  </si>
  <si>
    <t>Tucson Electric Power Co</t>
  </si>
  <si>
    <t>Turlock Irrigation District</t>
  </si>
  <si>
    <t>Balancing Authority of Northern California</t>
  </si>
  <si>
    <t>California Independent System Operator</t>
  </si>
  <si>
    <t>El Paso Electric</t>
  </si>
  <si>
    <t>Northwestern Energy</t>
  </si>
  <si>
    <t>Portland General Electric</t>
  </si>
  <si>
    <t>MW</t>
  </si>
  <si>
    <t>Sources and Notes:</t>
  </si>
  <si>
    <t>Share of Coincident Peak</t>
  </si>
  <si>
    <t>Coincidence Factor</t>
  </si>
  <si>
    <t>California</t>
  </si>
  <si>
    <t>Northwest Power Pool</t>
  </si>
  <si>
    <t>Rocky Mountain Reserve Sharing Group</t>
  </si>
  <si>
    <t>Southwest Reserve Sharing Group</t>
  </si>
  <si>
    <t>%</t>
  </si>
  <si>
    <t>2014 Non-Coincident Peak Load</t>
  </si>
  <si>
    <t>Regional Coincident Peak</t>
  </si>
  <si>
    <t>Balancing Area Authority</t>
  </si>
  <si>
    <t>Sub-Region</t>
  </si>
  <si>
    <t>SRSG</t>
  </si>
  <si>
    <t>NWPP</t>
  </si>
  <si>
    <t>CA</t>
  </si>
  <si>
    <t>RMRSG</t>
  </si>
  <si>
    <t>2011 CF</t>
  </si>
  <si>
    <t>2012 CF</t>
  </si>
  <si>
    <t>2013 CF</t>
  </si>
  <si>
    <t>2006 CF</t>
  </si>
  <si>
    <t>2007 CF</t>
  </si>
  <si>
    <t>2008 CF</t>
  </si>
  <si>
    <t>2009 CF</t>
  </si>
  <si>
    <t>2010 CF</t>
  </si>
  <si>
    <t>2014 CF</t>
  </si>
  <si>
    <t>WECC</t>
  </si>
  <si>
    <t>Total</t>
  </si>
  <si>
    <t>Non-Coincident Peak Loads CAISO-PAC</t>
  </si>
  <si>
    <t>Non-Coincident Peak Loads WECC (no BPA and WAPA)</t>
  </si>
  <si>
    <t>Multi-Year Peak Loads by BAA for WECC without BPA and WAPA</t>
  </si>
  <si>
    <t>Multi-Year Peak Loads by BAA for CAISO-PAC</t>
  </si>
  <si>
    <t>Non-Coincident Peak Load</t>
  </si>
  <si>
    <t>2006 Non-Coincident Peak Load</t>
  </si>
  <si>
    <t>2007 Non-Coincident Peak Load</t>
  </si>
  <si>
    <t>2008 Non-Coincident Peak Load</t>
  </si>
  <si>
    <t>2009 Non-Coincident Peak Load</t>
  </si>
  <si>
    <t>2010 Non-Coincident Peak Load</t>
  </si>
  <si>
    <t>2011 Non-Coincident Peak Load</t>
  </si>
  <si>
    <t>2012 Non-Coincident Peak Load</t>
  </si>
  <si>
    <t>2013 Non-Coincident Peak Load</t>
  </si>
  <si>
    <t>NERC Reference Margin Level from 2015 LTRA</t>
  </si>
  <si>
    <t>Import Limit</t>
  </si>
  <si>
    <t>Balancing Authority Area</t>
  </si>
  <si>
    <t>Based on PacifiCorp 2014 IRP and CAISO published RM.</t>
  </si>
  <si>
    <t>Import limits as reported in E3's PacifiCorp Market Integration Study Report</t>
  </si>
  <si>
    <t>Non-Coincident Peak (MW)</t>
  </si>
  <si>
    <t>Savings Requiring Transmission Upgrades (MW)</t>
  </si>
  <si>
    <t>Savings w/ Current Transmission (MW)</t>
  </si>
  <si>
    <t>Savings Already Captured (Estimated) (MW)</t>
  </si>
  <si>
    <t>Total Within Sub-Regions</t>
  </si>
  <si>
    <t>Total Across Sub-Regions</t>
  </si>
  <si>
    <t>Potential Regionalization Capacity Savings</t>
  </si>
  <si>
    <t>Capacity Savings Already Captured - Within or Across Sub-Regions</t>
  </si>
  <si>
    <t>Incremental Capacity Savings with current Tx</t>
  </si>
  <si>
    <t>Incremental Capacity Savings Requiring Tx Upgrades</t>
  </si>
  <si>
    <t>PacifiCorp</t>
  </si>
  <si>
    <t>Capacity Savings Already Captured</t>
  </si>
  <si>
    <t>Potential Capacity Savings from Market Integration</t>
  </si>
  <si>
    <t>ISO</t>
  </si>
  <si>
    <t>ISO+PAC Total</t>
  </si>
  <si>
    <t>Capacity Requirement</t>
  </si>
  <si>
    <t>BA's Share of Regional Market Peak (MW)</t>
  </si>
  <si>
    <t>Potential Capacity Savings (MW)</t>
  </si>
  <si>
    <t>Avoided Cost of Capacity Savings ($/kW-yr)</t>
  </si>
  <si>
    <t>Maximum Transmission Import Capability (MW)</t>
  </si>
  <si>
    <t>ISO's value reflects 2012-2016 weighted-average contract prices. High end of PacifiCorp rang reflects capacity cost net of energy margins for two units as reported in the 2015 IRP. The low end reflects the fact that these units are not expected to come online before 2020.</t>
  </si>
  <si>
    <t>Subregion Capacity Requirement</t>
  </si>
  <si>
    <t>Sum of BA Non-Coincident Peaks (MW)</t>
  </si>
  <si>
    <t>Total Avoided Cost w/Current Transmission ($ million/yr)</t>
  </si>
  <si>
    <t>Capacity requirement based on WECC-determined reserve margin levels as reported in 2015 NERC LTRA</t>
  </si>
  <si>
    <t>Capacity savings already achieved by Bas based on internal reserve margins</t>
  </si>
  <si>
    <t>Savings achievable with current transmission into each BA</t>
  </si>
  <si>
    <t>Savings requiring additional transmission based on within-subregion transmission limits in WECC LAR zonal model.</t>
  </si>
  <si>
    <t>Savings achievable with current transmission into each subregion</t>
  </si>
  <si>
    <t>Savings requiring additional transmission based on across-subregion transmission limits in WECC LAR zonal model.</t>
  </si>
  <si>
    <t>115-116.1%</t>
  </si>
  <si>
    <t>75-116.1</t>
  </si>
  <si>
    <t>Within-Subregion Geographic Indicator</t>
  </si>
  <si>
    <t>BA Coincidence Factor (Coincidence with subregion peak)</t>
  </si>
  <si>
    <t>Sum of BA Peak Loads Coincident with Subregion Peak (MW)</t>
  </si>
  <si>
    <t>Average Coincidence Factor (Coincident with WECC-PMAs peak)</t>
  </si>
  <si>
    <t>Estimated Load During WECC Peak (MW)</t>
  </si>
  <si>
    <t>Total Avoided Cost Requiring Transmission Upgrades ($ million/yr)</t>
  </si>
  <si>
    <t xml:space="preserve">          Percentage of Total Savings</t>
  </si>
  <si>
    <t xml:space="preserve">           Percentage of Non-Coincident Peak Load</t>
  </si>
  <si>
    <t>Total $ Savings w/Current Transmission ($ million/year)</t>
  </si>
  <si>
    <t>Total $ Savings Requiring Transmission Upgrades</t>
  </si>
  <si>
    <t>Rest of Region</t>
  </si>
  <si>
    <t>NERC Planning Reserve Reference Level</t>
  </si>
  <si>
    <t>BAA Planning Reserve Margin</t>
  </si>
  <si>
    <t>Planning Reserve Margin</t>
  </si>
  <si>
    <t>Based on Utility IRPs. If no source available, uses an import-adjusted Margin.</t>
  </si>
  <si>
    <t>WECC Subregion</t>
  </si>
  <si>
    <t>[a]</t>
  </si>
  <si>
    <t>[b]</t>
  </si>
  <si>
    <t>[c]</t>
  </si>
  <si>
    <t>[d]</t>
  </si>
  <si>
    <t>[e]</t>
  </si>
  <si>
    <t>[f]</t>
  </si>
  <si>
    <t>[g]</t>
  </si>
  <si>
    <t>[h]</t>
  </si>
  <si>
    <t>[i]</t>
  </si>
  <si>
    <t>[j]</t>
  </si>
  <si>
    <t>[k]</t>
  </si>
  <si>
    <t>[l]</t>
  </si>
  <si>
    <t>[m]</t>
  </si>
  <si>
    <t>[n]</t>
  </si>
  <si>
    <t>[o]</t>
  </si>
  <si>
    <t>[p]</t>
  </si>
  <si>
    <t>[q]</t>
  </si>
  <si>
    <t>[r]</t>
  </si>
  <si>
    <t>[s]</t>
  </si>
  <si>
    <t>[t]</t>
  </si>
  <si>
    <t>[u]</t>
  </si>
  <si>
    <t>[v]</t>
  </si>
  <si>
    <t>[w]</t>
  </si>
  <si>
    <r>
      <t xml:space="preserve">Potential Savings: Sharing </t>
    </r>
    <r>
      <rPr>
        <u/>
        <sz val="11"/>
        <rFont val="Calibri"/>
        <family val="2"/>
        <scheme val="minor"/>
      </rPr>
      <t>Within</t>
    </r>
    <r>
      <rPr>
        <sz val="11"/>
        <rFont val="Calibri"/>
        <family val="2"/>
        <scheme val="minor"/>
      </rPr>
      <t xml:space="preserve"> Subregions (MW)</t>
    </r>
  </si>
  <si>
    <r>
      <t xml:space="preserve">Incremental Savings w/ Current Transmission: Sharing </t>
    </r>
    <r>
      <rPr>
        <b/>
        <u/>
        <sz val="11"/>
        <rFont val="Calibri"/>
        <family val="2"/>
        <scheme val="minor"/>
      </rPr>
      <t>Within</t>
    </r>
    <r>
      <rPr>
        <b/>
        <sz val="11"/>
        <rFont val="Calibri"/>
        <family val="2"/>
        <scheme val="minor"/>
      </rPr>
      <t xml:space="preserve"> Subregions (MW)</t>
    </r>
  </si>
  <si>
    <r>
      <t xml:space="preserve">Potential Savings: Sharing </t>
    </r>
    <r>
      <rPr>
        <u/>
        <sz val="11"/>
        <rFont val="Calibri"/>
        <family val="2"/>
        <scheme val="minor"/>
      </rPr>
      <t>Across</t>
    </r>
    <r>
      <rPr>
        <sz val="11"/>
        <rFont val="Calibri"/>
        <family val="2"/>
        <scheme val="minor"/>
      </rPr>
      <t xml:space="preserve"> Subregions (MW)</t>
    </r>
  </si>
  <si>
    <r>
      <t xml:space="preserve">Incremental Savings w/ Current Transmission: Sharing </t>
    </r>
    <r>
      <rPr>
        <b/>
        <u/>
        <sz val="11"/>
        <rFont val="Calibri"/>
        <family val="2"/>
        <scheme val="minor"/>
      </rPr>
      <t>Across</t>
    </r>
    <r>
      <rPr>
        <b/>
        <sz val="11"/>
        <rFont val="Calibri"/>
        <family val="2"/>
        <scheme val="minor"/>
      </rPr>
      <t xml:space="preserve"> Subregions (MW)</t>
    </r>
  </si>
  <si>
    <t>Capacity Savings in California and Rest of Region in 2020-Regional</t>
  </si>
  <si>
    <t>Capacity Savings in California and Rest of Region in 2030</t>
  </si>
  <si>
    <t>Capacity Savings in CAISO and PacifiCorp in 2020</t>
  </si>
  <si>
    <t>Sum of forecast BA Non-Coincident Peak Loads in 2030</t>
  </si>
  <si>
    <t>Sum of forecast BA Coincident Peak Loads in 2030</t>
  </si>
  <si>
    <t>Sum of forecast BA Non-Coincident Peak Loads in 2020-Regional</t>
  </si>
  <si>
    <t>Sum of forecast BA Coincident Peak Loads in 2020-Regional</t>
  </si>
  <si>
    <t>Median coincidence factor from 2006-2014</t>
  </si>
  <si>
    <t>Median Coincidence Factor</t>
  </si>
  <si>
    <t>Source: 4 CP Non-Coincident and Coincident Peak Loads calculated using FERC Form 714 data obtained via ABB's GridView</t>
  </si>
  <si>
    <t>2030 Non-coincident peak loads based on Brattle analysis of CEC and WECC LAR data</t>
  </si>
  <si>
    <t>2020 Non-coincident peak loads based on Brattle analysis of CEC and WECC LAR data</t>
  </si>
  <si>
    <t>Based on analysis using 2015 WECC LAR zonal flow limits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</si>
</sst>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3" formatCode="_(* #,##0.00_);_(* \(#,##0.00\);_(* &quot;-&quot;??_);_(@_)"/>
    <numFmt numFmtId="164" formatCode="&quot;$&quot;#,##0.00"/>
    <numFmt numFmtId="165" formatCode="_(* #,##0_);_(* \(#,##0\);_(* &quot;-&quot;??_);_(@_)"/>
    <numFmt numFmtId="166" formatCode="0.0%"/>
    <numFmt numFmtId="167" formatCode="&quot;$&quot;#,##0"/>
    <numFmt numFmtId="168" formatCode="&quot;[&quot;#&quot;]&quot;"/>
  </numFmts>
  <fonts count="38" x14ac:knownFonts="1">
    <font>
      <sz val="11"/>
      <color theme="1"/>
      <name val="Calibri"/>
      <family val="2"/>
      <scheme val="minor"/>
    </font>
    <font>
      <sz val="12"/>
      <color theme="1"/>
      <name val="Calibri"/>
      <family val="2"/>
      <scheme val="minor"/>
    </font>
    <font>
      <b/>
      <sz val="14"/>
      <color theme="2"/>
      <name val="Calibri"/>
      <family val="2"/>
      <scheme val="minor"/>
    </font>
    <font>
      <sz val="11"/>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Calibri"/>
      <family val="2"/>
      <scheme val="minor"/>
    </font>
    <font>
      <sz val="12"/>
      <color rgb="FF0000CC"/>
      <name val="Calibri"/>
      <family val="2"/>
      <scheme val="minor"/>
    </font>
    <font>
      <b/>
      <sz val="12"/>
      <name val="Calibri"/>
      <family val="2"/>
      <scheme val="minor"/>
    </font>
    <font>
      <sz val="11"/>
      <name val="Calibri"/>
      <family val="2"/>
      <scheme val="minor"/>
    </font>
    <font>
      <sz val="11"/>
      <color rgb="FF0000CC"/>
      <name val="Calibri"/>
      <family val="2"/>
      <scheme val="minor"/>
    </font>
    <font>
      <sz val="11"/>
      <color rgb="FF00B050"/>
      <name val="Calibri"/>
      <family val="2"/>
      <scheme val="minor"/>
    </font>
    <font>
      <b/>
      <sz val="11"/>
      <name val="Calibri"/>
      <family val="2"/>
      <scheme val="minor"/>
    </font>
    <font>
      <sz val="10"/>
      <name val="Arial"/>
      <family val="2"/>
    </font>
    <font>
      <sz val="10"/>
      <color indexed="8"/>
      <name val="Arial"/>
      <family val="2"/>
    </font>
    <font>
      <sz val="12"/>
      <name val="Times New Roman"/>
      <family val="1"/>
    </font>
    <font>
      <b/>
      <sz val="14"/>
      <color rgb="FF00467F"/>
      <name val="Calibri"/>
      <family val="2"/>
      <scheme val="minor"/>
    </font>
    <font>
      <b/>
      <sz val="16"/>
      <color theme="2"/>
      <name val="Calibri"/>
      <family val="2"/>
      <scheme val="minor"/>
    </font>
    <font>
      <b/>
      <sz val="16"/>
      <color rgb="FF00467F"/>
      <name val="Calibri"/>
      <family val="2"/>
      <scheme val="minor"/>
    </font>
    <font>
      <b/>
      <sz val="11"/>
      <color theme="8"/>
      <name val="Calibri"/>
      <family val="2"/>
      <scheme val="minor"/>
    </font>
    <font>
      <u/>
      <sz val="11"/>
      <name val="Calibri"/>
      <family val="2"/>
      <scheme val="minor"/>
    </font>
    <font>
      <b/>
      <u/>
      <sz val="11"/>
      <name val="Calibri"/>
      <family val="2"/>
      <scheme val="minor"/>
    </font>
    <font>
      <i/>
      <sz val="11"/>
      <color theme="1"/>
      <name val="Calibri"/>
      <family val="2"/>
      <scheme val="minor"/>
    </font>
    <font>
      <i/>
      <sz val="11"/>
      <name val="Calibri"/>
      <family val="2"/>
      <scheme val="minor"/>
    </font>
  </fonts>
  <fills count="35">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2">
    <border>
      <left/>
      <right/>
      <top/>
      <bottom/>
      <diagonal/>
    </border>
    <border>
      <left/>
      <right/>
      <top/>
      <bottom style="double">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8">
    <xf numFmtId="0" fontId="0"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6" applyNumberFormat="0" applyAlignment="0" applyProtection="0"/>
    <xf numFmtId="0" fontId="12" fillId="7" borderId="7" applyNumberFormat="0" applyAlignment="0" applyProtection="0"/>
    <xf numFmtId="0" fontId="13" fillId="7" borderId="6" applyNumberFormat="0" applyAlignment="0" applyProtection="0"/>
    <xf numFmtId="0" fontId="14" fillId="0" borderId="8" applyNumberFormat="0" applyFill="0" applyAlignment="0" applyProtection="0"/>
    <xf numFmtId="0" fontId="15" fillId="8" borderId="9" applyNumberFormat="0" applyAlignment="0" applyProtection="0"/>
    <xf numFmtId="0" fontId="16" fillId="0" borderId="0" applyNumberFormat="0" applyFill="0" applyBorder="0" applyAlignment="0" applyProtection="0"/>
    <xf numFmtId="0" fontId="3" fillId="9"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9" fillId="33" borderId="0" applyNumberFormat="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8" fillId="0" borderId="0">
      <alignment vertical="top"/>
    </xf>
    <xf numFmtId="0" fontId="3" fillId="0" borderId="0"/>
    <xf numFmtId="43" fontId="27" fillId="0" borderId="0" applyFont="0" applyFill="0" applyBorder="0" applyAlignment="0" applyProtection="0"/>
    <xf numFmtId="0" fontId="3" fillId="0" borderId="0"/>
    <xf numFmtId="0" fontId="27" fillId="0" borderId="0"/>
    <xf numFmtId="0" fontId="29" fillId="0" borderId="0">
      <protection locked="0"/>
    </xf>
    <xf numFmtId="0" fontId="29" fillId="0" borderId="0">
      <protection locked="0"/>
    </xf>
    <xf numFmtId="43" fontId="3" fillId="0" borderId="0" applyFont="0" applyFill="0" applyBorder="0" applyAlignment="0" applyProtection="0"/>
    <xf numFmtId="0" fontId="29" fillId="0" borderId="0">
      <protection locked="0"/>
    </xf>
    <xf numFmtId="0" fontId="3" fillId="0" borderId="0"/>
    <xf numFmtId="0" fontId="27" fillId="0" borderId="0"/>
    <xf numFmtId="43" fontId="3" fillId="0" borderId="0" applyFont="0" applyFill="0" applyBorder="0" applyAlignment="0" applyProtection="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protection locked="0"/>
    </xf>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27" fillId="0" borderId="0"/>
    <xf numFmtId="0" fontId="3" fillId="0" borderId="0"/>
    <xf numFmtId="0" fontId="3" fillId="0" borderId="0"/>
    <xf numFmtId="0" fontId="3" fillId="0" borderId="0"/>
    <xf numFmtId="0" fontId="27" fillId="0" borderId="0"/>
  </cellStyleXfs>
  <cellXfs count="280">
    <xf numFmtId="0" fontId="0" fillId="0" borderId="0" xfId="0"/>
    <xf numFmtId="0" fontId="20" fillId="0" borderId="0" xfId="0" applyFont="1"/>
    <xf numFmtId="0" fontId="20" fillId="0" borderId="1" xfId="0" applyFont="1" applyBorder="1"/>
    <xf numFmtId="4" fontId="2" fillId="0" borderId="0" xfId="0" applyNumberFormat="1" applyFont="1" applyAlignment="1">
      <alignment horizontal="centerContinuous"/>
    </xf>
    <xf numFmtId="4" fontId="1" fillId="0" borderId="0" xfId="0" applyNumberFormat="1" applyFont="1" applyAlignment="1">
      <alignment horizontal="centerContinuous"/>
    </xf>
    <xf numFmtId="0" fontId="1" fillId="0" borderId="0" xfId="0" applyFont="1"/>
    <xf numFmtId="0" fontId="1" fillId="0" borderId="1" xfId="0" applyFont="1" applyBorder="1"/>
    <xf numFmtId="0" fontId="1" fillId="0" borderId="2" xfId="0" applyFont="1" applyBorder="1"/>
    <xf numFmtId="0" fontId="1" fillId="2" borderId="0" xfId="0" applyFont="1" applyFill="1"/>
    <xf numFmtId="0" fontId="1" fillId="0" borderId="0" xfId="0" applyFont="1" applyAlignment="1">
      <alignment horizontal="center"/>
    </xf>
    <xf numFmtId="0" fontId="1" fillId="0" borderId="0" xfId="0" applyFont="1" applyAlignment="1">
      <alignment horizontal="centerContinuous"/>
    </xf>
    <xf numFmtId="0" fontId="1" fillId="2" borderId="2" xfId="0" applyFont="1" applyFill="1" applyBorder="1"/>
    <xf numFmtId="1" fontId="1" fillId="0" borderId="0" xfId="0" applyNumberFormat="1" applyFont="1"/>
    <xf numFmtId="0" fontId="2" fillId="0" borderId="0" xfId="0" applyNumberFormat="1" applyFont="1" applyAlignment="1">
      <alignment horizontal="centerContinuous"/>
    </xf>
    <xf numFmtId="1" fontId="20" fillId="0" borderId="0" xfId="0" applyNumberFormat="1" applyFont="1" applyAlignment="1">
      <alignment horizontal="right" indent="11"/>
    </xf>
    <xf numFmtId="1" fontId="20" fillId="0" borderId="0" xfId="0" applyNumberFormat="1" applyFont="1" applyAlignment="1">
      <alignment horizontal="right" indent="8"/>
    </xf>
    <xf numFmtId="1" fontId="20" fillId="0" borderId="0" xfId="0" applyNumberFormat="1" applyFont="1" applyAlignment="1">
      <alignment horizontal="right" indent="7"/>
    </xf>
    <xf numFmtId="1" fontId="20" fillId="0" borderId="2" xfId="0" applyNumberFormat="1" applyFont="1" applyBorder="1" applyAlignment="1">
      <alignment horizontal="right" indent="11"/>
    </xf>
    <xf numFmtId="1" fontId="20" fillId="0" borderId="2" xfId="0" applyNumberFormat="1" applyFont="1" applyBorder="1" applyAlignment="1">
      <alignment horizontal="right" indent="8"/>
    </xf>
    <xf numFmtId="1" fontId="20" fillId="0" borderId="2" xfId="0" applyNumberFormat="1" applyFont="1" applyBorder="1" applyAlignment="1">
      <alignment horizontal="right" indent="7"/>
    </xf>
    <xf numFmtId="0" fontId="20" fillId="0" borderId="0" xfId="0" applyFont="1" applyFill="1"/>
    <xf numFmtId="1" fontId="20" fillId="0" borderId="0" xfId="0" applyNumberFormat="1" applyFont="1" applyFill="1" applyAlignment="1">
      <alignment horizontal="right" indent="11"/>
    </xf>
    <xf numFmtId="1" fontId="20" fillId="0" borderId="0" xfId="0" applyNumberFormat="1" applyFont="1" applyFill="1" applyAlignment="1">
      <alignment horizontal="right" indent="8"/>
    </xf>
    <xf numFmtId="1" fontId="20" fillId="0" borderId="0" xfId="0" applyNumberFormat="1" applyFont="1" applyFill="1" applyAlignment="1">
      <alignment horizontal="right" indent="7"/>
    </xf>
    <xf numFmtId="0" fontId="20" fillId="0" borderId="2" xfId="0" applyFont="1" applyFill="1" applyBorder="1"/>
    <xf numFmtId="1" fontId="20" fillId="0" borderId="2" xfId="0" applyNumberFormat="1" applyFont="1" applyFill="1" applyBorder="1" applyAlignment="1">
      <alignment horizontal="right" indent="11"/>
    </xf>
    <xf numFmtId="1" fontId="20" fillId="0" borderId="2" xfId="0" applyNumberFormat="1" applyFont="1" applyFill="1" applyBorder="1" applyAlignment="1">
      <alignment horizontal="right" indent="8"/>
    </xf>
    <xf numFmtId="1" fontId="20" fillId="0" borderId="2" xfId="0" applyNumberFormat="1" applyFont="1" applyFill="1" applyBorder="1" applyAlignment="1">
      <alignment horizontal="right" indent="7"/>
    </xf>
    <xf numFmtId="0" fontId="20" fillId="2" borderId="0" xfId="0" applyFont="1" applyFill="1"/>
    <xf numFmtId="0" fontId="20" fillId="2" borderId="2" xfId="0" applyFont="1" applyFill="1" applyBorder="1"/>
    <xf numFmtId="0" fontId="20" fillId="0" borderId="1" xfId="0" applyFont="1" applyFill="1" applyBorder="1"/>
    <xf numFmtId="1" fontId="20" fillId="0" borderId="0" xfId="0" applyNumberFormat="1" applyFont="1" applyFill="1"/>
    <xf numFmtId="0" fontId="23" fillId="34" borderId="0" xfId="0" applyFont="1" applyFill="1"/>
    <xf numFmtId="0" fontId="1" fillId="0" borderId="0" xfId="0" applyFont="1" applyFill="1"/>
    <xf numFmtId="0" fontId="25" fillId="0" borderId="0" xfId="0" applyFont="1"/>
    <xf numFmtId="0" fontId="1" fillId="0" borderId="0" xfId="0" applyFont="1"/>
    <xf numFmtId="165" fontId="20" fillId="0" borderId="0" xfId="43" applyNumberFormat="1" applyFont="1"/>
    <xf numFmtId="165" fontId="1" fillId="0" borderId="0" xfId="43" applyNumberFormat="1" applyFont="1"/>
    <xf numFmtId="165" fontId="1" fillId="0" borderId="0" xfId="43" applyNumberFormat="1" applyFont="1" applyAlignment="1">
      <alignment horizontal="centerContinuous"/>
    </xf>
    <xf numFmtId="165" fontId="20" fillId="0" borderId="1" xfId="43" applyNumberFormat="1" applyFont="1" applyBorder="1"/>
    <xf numFmtId="165" fontId="24" fillId="0" borderId="0" xfId="43" applyNumberFormat="1" applyFont="1" applyFill="1"/>
    <xf numFmtId="165" fontId="1" fillId="0" borderId="0" xfId="43" applyNumberFormat="1" applyFont="1" applyFill="1"/>
    <xf numFmtId="165" fontId="20" fillId="0" borderId="0" xfId="43" applyNumberFormat="1" applyFont="1" applyFill="1"/>
    <xf numFmtId="0" fontId="18" fillId="0" borderId="0" xfId="0" applyFont="1"/>
    <xf numFmtId="0" fontId="0" fillId="0" borderId="0" xfId="0" applyFont="1"/>
    <xf numFmtId="0" fontId="1" fillId="0" borderId="0" xfId="0" applyFont="1" applyAlignment="1">
      <alignment wrapText="1"/>
    </xf>
    <xf numFmtId="0" fontId="1" fillId="2" borderId="0" xfId="0" applyFont="1" applyFill="1" applyAlignment="1">
      <alignment wrapText="1"/>
    </xf>
    <xf numFmtId="166" fontId="1" fillId="0" borderId="0" xfId="42" applyNumberFormat="1" applyFont="1" applyAlignment="1">
      <alignment horizontal="centerContinuous"/>
    </xf>
    <xf numFmtId="166" fontId="1" fillId="0" borderId="0" xfId="42" applyNumberFormat="1" applyFont="1"/>
    <xf numFmtId="165" fontId="1" fillId="0" borderId="0" xfId="43" applyNumberFormat="1" applyFont="1" applyFill="1" applyAlignment="1">
      <alignment horizontal="centerContinuous"/>
    </xf>
    <xf numFmtId="165" fontId="1" fillId="0" borderId="1" xfId="43" applyNumberFormat="1" applyFont="1" applyFill="1" applyBorder="1"/>
    <xf numFmtId="165" fontId="1" fillId="0" borderId="0" xfId="43" applyNumberFormat="1" applyFont="1" applyFill="1" applyAlignment="1">
      <alignment wrapText="1"/>
    </xf>
    <xf numFmtId="166" fontId="20" fillId="0" borderId="0" xfId="42" applyNumberFormat="1" applyFont="1"/>
    <xf numFmtId="166" fontId="20" fillId="0" borderId="1" xfId="42" applyNumberFormat="1" applyFont="1" applyBorder="1"/>
    <xf numFmtId="166" fontId="1" fillId="0" borderId="0" xfId="42" applyNumberFormat="1" applyFont="1" applyFill="1"/>
    <xf numFmtId="165" fontId="20" fillId="0" borderId="1" xfId="43" applyNumberFormat="1" applyFont="1" applyFill="1" applyBorder="1"/>
    <xf numFmtId="1" fontId="20" fillId="2" borderId="0" xfId="42" applyNumberFormat="1" applyFont="1" applyFill="1"/>
    <xf numFmtId="1" fontId="21" fillId="2" borderId="0" xfId="42" applyNumberFormat="1" applyFont="1" applyFill="1"/>
    <xf numFmtId="1" fontId="21" fillId="2" borderId="0" xfId="43" applyNumberFormat="1" applyFont="1" applyFill="1"/>
    <xf numFmtId="166" fontId="20" fillId="0" borderId="0" xfId="42" applyNumberFormat="1" applyFont="1" applyFill="1"/>
    <xf numFmtId="0" fontId="1" fillId="2" borderId="0" xfId="0" applyFont="1" applyFill="1" applyBorder="1"/>
    <xf numFmtId="165" fontId="23" fillId="0" borderId="0" xfId="0" applyNumberFormat="1" applyFont="1" applyFill="1"/>
    <xf numFmtId="165" fontId="20" fillId="0" borderId="0" xfId="43" applyNumberFormat="1" applyFont="1" applyFill="1" applyAlignment="1">
      <alignment wrapText="1"/>
    </xf>
    <xf numFmtId="165" fontId="23" fillId="0" borderId="0" xfId="43" applyNumberFormat="1" applyFont="1" applyAlignment="1">
      <alignment horizontal="right" wrapText="1"/>
    </xf>
    <xf numFmtId="0" fontId="30" fillId="0" borderId="0" xfId="0" applyNumberFormat="1" applyFont="1" applyAlignment="1">
      <alignment horizontal="centerContinuous"/>
    </xf>
    <xf numFmtId="166" fontId="30" fillId="0" borderId="0" xfId="42" applyNumberFormat="1" applyFont="1" applyAlignment="1">
      <alignment horizontal="centerContinuous"/>
    </xf>
    <xf numFmtId="165" fontId="30" fillId="0" borderId="0" xfId="43" applyNumberFormat="1" applyFont="1" applyAlignment="1">
      <alignment horizontal="centerContinuous" wrapText="1"/>
    </xf>
    <xf numFmtId="0" fontId="30" fillId="0" borderId="0" xfId="0" applyFont="1" applyAlignment="1">
      <alignment horizontal="centerContinuous" wrapText="1"/>
    </xf>
    <xf numFmtId="0" fontId="0" fillId="2" borderId="0" xfId="0" applyFill="1"/>
    <xf numFmtId="167" fontId="26" fillId="0" borderId="0" xfId="0" applyNumberFormat="1" applyFont="1" applyFill="1"/>
    <xf numFmtId="167" fontId="26" fillId="0" borderId="0" xfId="0" applyNumberFormat="1" applyFont="1" applyFill="1" applyAlignment="1">
      <alignment horizontal="right"/>
    </xf>
    <xf numFmtId="0" fontId="0" fillId="0" borderId="0" xfId="0"/>
    <xf numFmtId="0" fontId="1" fillId="2" borderId="0" xfId="0" applyFont="1" applyFill="1"/>
    <xf numFmtId="0" fontId="20" fillId="0" borderId="0" xfId="0" applyFont="1"/>
    <xf numFmtId="166" fontId="23" fillId="0" borderId="0" xfId="42" applyNumberFormat="1" applyFont="1" applyFill="1"/>
    <xf numFmtId="165" fontId="23" fillId="0" borderId="0" xfId="43" applyNumberFormat="1" applyFont="1" applyFill="1"/>
    <xf numFmtId="0" fontId="23" fillId="0" borderId="0" xfId="0" applyFont="1" applyFill="1"/>
    <xf numFmtId="0" fontId="23" fillId="0" borderId="0" xfId="0" applyFont="1"/>
    <xf numFmtId="165" fontId="26" fillId="0" borderId="0" xfId="43" applyNumberFormat="1" applyFont="1" applyFill="1"/>
    <xf numFmtId="0" fontId="1" fillId="2" borderId="0" xfId="0" applyFont="1" applyFill="1" applyAlignment="1">
      <alignment wrapText="1"/>
    </xf>
    <xf numFmtId="1" fontId="1" fillId="2" borderId="0" xfId="0" applyNumberFormat="1" applyFont="1" applyFill="1"/>
    <xf numFmtId="0" fontId="26" fillId="0" borderId="0" xfId="0" applyFont="1" applyFill="1"/>
    <xf numFmtId="0" fontId="23" fillId="0" borderId="1" xfId="0" applyFont="1" applyBorder="1"/>
    <xf numFmtId="0" fontId="23" fillId="0" borderId="2" xfId="0" applyFont="1" applyBorder="1"/>
    <xf numFmtId="0" fontId="23" fillId="0" borderId="0" xfId="0" applyFont="1" applyBorder="1"/>
    <xf numFmtId="0" fontId="23" fillId="0" borderId="1" xfId="0" applyFont="1" applyBorder="1" applyAlignment="1">
      <alignment horizontal="center"/>
    </xf>
    <xf numFmtId="0" fontId="23" fillId="0" borderId="0" xfId="0" applyFont="1" applyAlignment="1">
      <alignment horizontal="center"/>
    </xf>
    <xf numFmtId="0" fontId="23" fillId="0" borderId="2" xfId="0" applyFont="1" applyBorder="1" applyAlignment="1">
      <alignment horizontal="right"/>
    </xf>
    <xf numFmtId="0" fontId="26" fillId="0" borderId="0" xfId="0" applyFont="1"/>
    <xf numFmtId="0" fontId="23" fillId="0" borderId="1" xfId="0" applyFont="1" applyFill="1" applyBorder="1"/>
    <xf numFmtId="167" fontId="18" fillId="0" borderId="0" xfId="0" applyNumberFormat="1" applyFont="1"/>
    <xf numFmtId="0" fontId="23" fillId="0" borderId="1" xfId="0" applyFont="1" applyFill="1" applyBorder="1" applyAlignment="1">
      <alignment horizontal="center"/>
    </xf>
    <xf numFmtId="5" fontId="26" fillId="0" borderId="0" xfId="43" applyNumberFormat="1" applyFont="1" applyFill="1"/>
    <xf numFmtId="165" fontId="23" fillId="0" borderId="2" xfId="43" applyNumberFormat="1" applyFont="1" applyFill="1" applyBorder="1"/>
    <xf numFmtId="165" fontId="26" fillId="0" borderId="0" xfId="0" applyNumberFormat="1" applyFont="1" applyFill="1"/>
    <xf numFmtId="0" fontId="18" fillId="0" borderId="0" xfId="0" applyFont="1" applyAlignment="1">
      <alignment horizontal="right"/>
    </xf>
    <xf numFmtId="10" fontId="0" fillId="0" borderId="0" xfId="0" applyNumberFormat="1" applyFont="1"/>
    <xf numFmtId="167" fontId="26" fillId="0" borderId="1" xfId="0" applyNumberFormat="1" applyFont="1" applyFill="1" applyBorder="1"/>
    <xf numFmtId="0" fontId="31" fillId="0" borderId="0" xfId="0" applyNumberFormat="1" applyFont="1" applyAlignment="1">
      <alignment horizontal="centerContinuous"/>
    </xf>
    <xf numFmtId="0" fontId="32" fillId="0" borderId="0" xfId="0" applyNumberFormat="1" applyFont="1" applyAlignment="1">
      <alignment horizontal="centerContinuous"/>
    </xf>
    <xf numFmtId="0" fontId="16" fillId="0" borderId="0" xfId="0" applyFont="1" applyFill="1"/>
    <xf numFmtId="0" fontId="30" fillId="0" borderId="0" xfId="0" applyNumberFormat="1" applyFont="1" applyFill="1" applyAlignment="1">
      <alignment horizontal="centerContinuous"/>
    </xf>
    <xf numFmtId="0" fontId="1" fillId="0" borderId="1" xfId="0" applyFont="1" applyFill="1" applyBorder="1"/>
    <xf numFmtId="9" fontId="23" fillId="0" borderId="0" xfId="42" applyNumberFormat="1" applyFont="1" applyFill="1" applyAlignment="1">
      <alignment horizontal="right"/>
    </xf>
    <xf numFmtId="0" fontId="1" fillId="2" borderId="0" xfId="0" applyNumberFormat="1" applyFont="1" applyFill="1"/>
    <xf numFmtId="0" fontId="33" fillId="0" borderId="0" xfId="0" applyFont="1" applyAlignment="1">
      <alignment horizontal="centerContinuous"/>
    </xf>
    <xf numFmtId="0" fontId="0" fillId="0" borderId="0" xfId="0" applyFont="1" applyAlignment="1">
      <alignment horizontal="centerContinuous"/>
    </xf>
    <xf numFmtId="0" fontId="0" fillId="0" borderId="1" xfId="0" applyFont="1" applyBorder="1"/>
    <xf numFmtId="0" fontId="0" fillId="0" borderId="1" xfId="0" applyFont="1" applyBorder="1" applyAlignment="1">
      <alignment horizontal="center"/>
    </xf>
    <xf numFmtId="0" fontId="0" fillId="0" borderId="0" xfId="0" applyFont="1" applyAlignment="1">
      <alignment horizontal="center"/>
    </xf>
    <xf numFmtId="0" fontId="0" fillId="0" borderId="2" xfId="0" applyFont="1" applyBorder="1" applyAlignment="1">
      <alignment horizontal="right"/>
    </xf>
    <xf numFmtId="0" fontId="0" fillId="0" borderId="2" xfId="0" applyFont="1" applyBorder="1" applyAlignment="1">
      <alignment horizontal="centerContinuous"/>
    </xf>
    <xf numFmtId="0" fontId="23" fillId="0" borderId="2" xfId="0" applyFont="1" applyBorder="1" applyAlignment="1">
      <alignment horizontal="center"/>
    </xf>
    <xf numFmtId="0" fontId="0" fillId="0" borderId="2" xfId="0" applyFont="1" applyBorder="1"/>
    <xf numFmtId="9" fontId="0" fillId="0" borderId="0" xfId="0" applyNumberFormat="1" applyFont="1" applyAlignment="1">
      <alignment horizontal="right"/>
    </xf>
    <xf numFmtId="43" fontId="0" fillId="0" borderId="0" xfId="0" applyNumberFormat="1" applyFont="1"/>
    <xf numFmtId="0" fontId="23" fillId="0" borderId="0" xfId="0" applyFont="1" applyAlignment="1">
      <alignment horizontal="left" indent="1"/>
    </xf>
    <xf numFmtId="0" fontId="26" fillId="0" borderId="0" xfId="0" applyFont="1" applyAlignment="1">
      <alignment horizontal="left" indent="1"/>
    </xf>
    <xf numFmtId="0" fontId="26" fillId="0" borderId="0" xfId="0" applyFont="1" applyAlignment="1">
      <alignment horizontal="center"/>
    </xf>
    <xf numFmtId="0" fontId="23" fillId="0" borderId="2" xfId="0" applyFont="1" applyBorder="1" applyAlignment="1">
      <alignment horizontal="left" indent="1"/>
    </xf>
    <xf numFmtId="0" fontId="23" fillId="0" borderId="0" xfId="0" applyFont="1" applyAlignment="1">
      <alignment horizontal="left"/>
    </xf>
    <xf numFmtId="3" fontId="0" fillId="0" borderId="0" xfId="0" applyNumberFormat="1" applyFont="1"/>
    <xf numFmtId="0" fontId="0" fillId="0" borderId="0" xfId="0" applyFont="1" applyFill="1"/>
    <xf numFmtId="0" fontId="0" fillId="0" borderId="0" xfId="0" applyFont="1" applyAlignment="1">
      <alignment horizontal="right"/>
    </xf>
    <xf numFmtId="0" fontId="26" fillId="0" borderId="0" xfId="0" applyFont="1" applyFill="1" applyAlignment="1">
      <alignment horizontal="center"/>
    </xf>
    <xf numFmtId="0" fontId="26" fillId="0" borderId="1" xfId="0" applyFont="1" applyFill="1" applyBorder="1" applyAlignment="1">
      <alignment horizontal="center"/>
    </xf>
    <xf numFmtId="164" fontId="0" fillId="0" borderId="1" xfId="0" applyNumberFormat="1" applyFont="1" applyBorder="1"/>
    <xf numFmtId="167" fontId="0" fillId="0" borderId="1" xfId="0" applyNumberFormat="1" applyFont="1" applyBorder="1"/>
    <xf numFmtId="0" fontId="0" fillId="0" borderId="1" xfId="0" applyFont="1" applyFill="1" applyBorder="1"/>
    <xf numFmtId="0" fontId="24" fillId="0" borderId="0" xfId="0" applyFont="1" applyFill="1" applyAlignment="1">
      <alignment horizontal="center"/>
    </xf>
    <xf numFmtId="0" fontId="36" fillId="0" borderId="0" xfId="0" applyFont="1" applyAlignment="1">
      <alignment horizontal="left"/>
    </xf>
    <xf numFmtId="167" fontId="0" fillId="0" borderId="0" xfId="0" applyNumberFormat="1" applyFont="1"/>
    <xf numFmtId="0" fontId="0" fillId="0" borderId="0" xfId="0" applyFont="1" applyBorder="1" applyAlignment="1">
      <alignment horizontal="center"/>
    </xf>
    <xf numFmtId="0" fontId="0" fillId="0" borderId="0" xfId="0" applyFont="1" applyBorder="1"/>
    <xf numFmtId="0" fontId="26" fillId="0" borderId="0" xfId="0" applyFont="1" applyFill="1" applyBorder="1" applyAlignment="1">
      <alignment horizontal="center"/>
    </xf>
    <xf numFmtId="2" fontId="0" fillId="0" borderId="0" xfId="0" applyNumberFormat="1" applyFont="1"/>
    <xf numFmtId="0" fontId="37" fillId="0" borderId="0" xfId="0" applyFont="1" applyAlignment="1">
      <alignment horizontal="left"/>
    </xf>
    <xf numFmtId="0" fontId="0" fillId="0" borderId="0" xfId="0" applyFont="1" applyBorder="1" applyAlignment="1">
      <alignment horizontal="left"/>
    </xf>
    <xf numFmtId="165" fontId="23" fillId="0" borderId="0" xfId="43" applyNumberFormat="1" applyFont="1" applyFill="1" applyBorder="1"/>
    <xf numFmtId="0" fontId="0" fillId="2" borderId="0" xfId="0" applyFont="1" applyFill="1"/>
    <xf numFmtId="0" fontId="0" fillId="2" borderId="0" xfId="0" applyFont="1" applyFill="1" applyBorder="1" applyAlignment="1">
      <alignment horizontal="right"/>
    </xf>
    <xf numFmtId="10" fontId="1" fillId="0" borderId="0" xfId="42" applyNumberFormat="1" applyFont="1" applyFill="1"/>
    <xf numFmtId="10" fontId="2" fillId="0" borderId="0" xfId="42" applyNumberFormat="1" applyFont="1" applyFill="1" applyAlignment="1">
      <alignment horizontal="centerContinuous"/>
    </xf>
    <xf numFmtId="10" fontId="1" fillId="0" borderId="0" xfId="42" applyNumberFormat="1" applyFont="1" applyFill="1" applyAlignment="1">
      <alignment horizontal="centerContinuous"/>
    </xf>
    <xf numFmtId="10" fontId="20" fillId="0" borderId="1" xfId="42" applyNumberFormat="1" applyFont="1" applyFill="1" applyBorder="1"/>
    <xf numFmtId="10" fontId="20" fillId="0" borderId="0" xfId="42" applyNumberFormat="1" applyFont="1" applyFill="1"/>
    <xf numFmtId="10" fontId="23" fillId="0" borderId="0" xfId="42" applyNumberFormat="1" applyFont="1" applyFill="1" applyAlignment="1">
      <alignment horizontal="right" wrapText="1"/>
    </xf>
    <xf numFmtId="10" fontId="23" fillId="0" borderId="0" xfId="42" applyNumberFormat="1" applyFont="1" applyFill="1" applyAlignment="1">
      <alignment horizontal="right"/>
    </xf>
    <xf numFmtId="10" fontId="23" fillId="0" borderId="2" xfId="42" applyNumberFormat="1" applyFont="1" applyFill="1" applyBorder="1"/>
    <xf numFmtId="10" fontId="23" fillId="0" borderId="0" xfId="42" applyNumberFormat="1" applyFont="1" applyFill="1"/>
    <xf numFmtId="10" fontId="20" fillId="0" borderId="0" xfId="42" quotePrefix="1" applyNumberFormat="1" applyFont="1" applyFill="1"/>
    <xf numFmtId="1" fontId="20" fillId="2" borderId="0" xfId="0" applyNumberFormat="1" applyFont="1" applyFill="1"/>
    <xf numFmtId="1" fontId="20" fillId="2" borderId="0" xfId="43" applyNumberFormat="1" applyFont="1" applyFill="1"/>
    <xf numFmtId="0" fontId="23" fillId="2" borderId="0" xfId="0" applyFont="1" applyFill="1"/>
    <xf numFmtId="0" fontId="20" fillId="2" borderId="0" xfId="0" applyFont="1" applyFill="1" applyAlignment="1">
      <alignment wrapText="1"/>
    </xf>
    <xf numFmtId="0" fontId="20" fillId="0" borderId="0" xfId="0" applyFont="1" applyAlignment="1">
      <alignment wrapText="1"/>
    </xf>
    <xf numFmtId="0" fontId="20" fillId="2" borderId="0" xfId="0" applyNumberFormat="1" applyFont="1" applyFill="1"/>
    <xf numFmtId="0" fontId="20" fillId="0" borderId="0" xfId="0" applyFont="1" applyAlignment="1">
      <alignment horizontal="centerContinuous"/>
    </xf>
    <xf numFmtId="165" fontId="30" fillId="0" borderId="0" xfId="43" applyNumberFormat="1" applyFont="1" applyFill="1" applyAlignment="1">
      <alignment horizontal="centerContinuous"/>
    </xf>
    <xf numFmtId="166" fontId="20" fillId="0" borderId="0" xfId="42" applyNumberFormat="1" applyFont="1" applyFill="1" applyAlignment="1">
      <alignment horizontal="right" wrapText="1"/>
    </xf>
    <xf numFmtId="166" fontId="30" fillId="0" borderId="0" xfId="42" applyNumberFormat="1" applyFont="1" applyFill="1" applyAlignment="1">
      <alignment horizontal="centerContinuous"/>
    </xf>
    <xf numFmtId="166" fontId="20" fillId="0" borderId="0" xfId="42" applyNumberFormat="1" applyFont="1" applyFill="1" applyAlignment="1">
      <alignment horizontal="center"/>
    </xf>
    <xf numFmtId="0" fontId="20" fillId="0" borderId="0" xfId="0" applyFont="1" applyAlignment="1">
      <alignment horizontal="center"/>
    </xf>
    <xf numFmtId="166" fontId="23" fillId="0" borderId="0" xfId="42" applyNumberFormat="1" applyFont="1" applyFill="1" applyAlignment="1">
      <alignment horizontal="right"/>
    </xf>
    <xf numFmtId="2" fontId="20" fillId="0" borderId="2" xfId="0" applyNumberFormat="1" applyFont="1" applyFill="1" applyBorder="1" applyAlignment="1">
      <alignment horizontal="right" indent="5"/>
    </xf>
    <xf numFmtId="166" fontId="20" fillId="0" borderId="0" xfId="42" quotePrefix="1" applyNumberFormat="1" applyFont="1" applyFill="1"/>
    <xf numFmtId="166" fontId="20" fillId="0" borderId="1" xfId="42" applyNumberFormat="1" applyFont="1" applyFill="1" applyBorder="1"/>
    <xf numFmtId="165" fontId="20" fillId="0" borderId="0" xfId="43" applyNumberFormat="1" applyFont="1" applyFill="1" applyAlignment="1">
      <alignment horizontal="right" indent="11"/>
    </xf>
    <xf numFmtId="166" fontId="20" fillId="0" borderId="2" xfId="42" applyNumberFormat="1" applyFont="1" applyFill="1" applyBorder="1" applyAlignment="1">
      <alignment horizontal="center"/>
    </xf>
    <xf numFmtId="2" fontId="20" fillId="0" borderId="2" xfId="0" applyNumberFormat="1" applyFont="1" applyBorder="1" applyAlignment="1">
      <alignment horizontal="right" indent="5"/>
    </xf>
    <xf numFmtId="166" fontId="20" fillId="0" borderId="2" xfId="42" applyNumberFormat="1" applyFont="1" applyFill="1" applyBorder="1"/>
    <xf numFmtId="4" fontId="20" fillId="0" borderId="0" xfId="0" applyNumberFormat="1" applyFont="1" applyAlignment="1">
      <alignment horizontal="centerContinuous"/>
    </xf>
    <xf numFmtId="0" fontId="20" fillId="2" borderId="0" xfId="0" applyFont="1" applyFill="1" applyBorder="1"/>
    <xf numFmtId="165" fontId="20" fillId="0" borderId="2" xfId="43" applyNumberFormat="1" applyFont="1" applyFill="1" applyBorder="1" applyAlignment="1">
      <alignment horizontal="right" indent="11"/>
    </xf>
    <xf numFmtId="2" fontId="20" fillId="0" borderId="0" xfId="0" applyNumberFormat="1" applyFont="1"/>
    <xf numFmtId="2" fontId="20" fillId="0" borderId="0" xfId="0" applyNumberFormat="1" applyFont="1" applyFill="1" applyAlignment="1">
      <alignment horizontal="right" indent="5"/>
    </xf>
    <xf numFmtId="2" fontId="20" fillId="0" borderId="0" xfId="0" applyNumberFormat="1" applyFont="1" applyAlignment="1">
      <alignment horizontal="right" indent="5"/>
    </xf>
    <xf numFmtId="0" fontId="1" fillId="0" borderId="0" xfId="0" applyFont="1"/>
    <xf numFmtId="165" fontId="1" fillId="0" borderId="0" xfId="43" applyNumberFormat="1" applyFont="1" applyFill="1"/>
    <xf numFmtId="165" fontId="20" fillId="0" borderId="0" xfId="43" applyNumberFormat="1" applyFont="1" applyFill="1"/>
    <xf numFmtId="165" fontId="1" fillId="0" borderId="0" xfId="43" applyNumberFormat="1" applyFont="1" applyFill="1" applyAlignment="1">
      <alignment horizontal="centerContinuous"/>
    </xf>
    <xf numFmtId="10" fontId="1" fillId="0" borderId="0" xfId="42" applyNumberFormat="1" applyFont="1" applyFill="1"/>
    <xf numFmtId="165" fontId="20" fillId="0" borderId="1" xfId="43" applyNumberFormat="1" applyFont="1" applyFill="1" applyBorder="1"/>
    <xf numFmtId="1" fontId="1" fillId="2" borderId="0" xfId="0" applyNumberFormat="1" applyFont="1" applyFill="1"/>
    <xf numFmtId="1" fontId="21" fillId="2" borderId="0" xfId="43" applyNumberFormat="1" applyFont="1" applyFill="1"/>
    <xf numFmtId="10" fontId="20" fillId="0" borderId="0" xfId="42" applyNumberFormat="1" applyFont="1" applyFill="1"/>
    <xf numFmtId="0" fontId="1" fillId="0" borderId="0" xfId="0" applyFont="1"/>
    <xf numFmtId="0" fontId="20" fillId="0" borderId="1" xfId="0" applyFont="1" applyBorder="1"/>
    <xf numFmtId="0" fontId="1" fillId="0" borderId="0" xfId="0" applyFont="1"/>
    <xf numFmtId="0" fontId="22" fillId="0" borderId="0" xfId="0" applyFont="1"/>
    <xf numFmtId="0" fontId="20" fillId="0" borderId="0" xfId="0" applyFont="1" applyFill="1"/>
    <xf numFmtId="0" fontId="20" fillId="0" borderId="1" xfId="0" applyFont="1" applyFill="1" applyBorder="1"/>
    <xf numFmtId="165" fontId="20" fillId="0" borderId="0" xfId="43" applyNumberFormat="1" applyFont="1"/>
    <xf numFmtId="165" fontId="20" fillId="0" borderId="1" xfId="43" applyNumberFormat="1" applyFont="1" applyBorder="1"/>
    <xf numFmtId="166" fontId="23" fillId="0" borderId="0" xfId="42" applyNumberFormat="1" applyFont="1"/>
    <xf numFmtId="165" fontId="1" fillId="0" borderId="0" xfId="43" applyNumberFormat="1" applyFont="1" applyFill="1"/>
    <xf numFmtId="165" fontId="20" fillId="0" borderId="2" xfId="43" applyNumberFormat="1" applyFont="1" applyFill="1" applyBorder="1"/>
    <xf numFmtId="165" fontId="20" fillId="0" borderId="0" xfId="43" applyNumberFormat="1" applyFont="1" applyFill="1"/>
    <xf numFmtId="165" fontId="23" fillId="0" borderId="0" xfId="43" applyNumberFormat="1" applyFont="1"/>
    <xf numFmtId="166" fontId="20" fillId="0" borderId="0" xfId="42" applyNumberFormat="1" applyFont="1" applyAlignment="1">
      <alignment horizontal="center"/>
    </xf>
    <xf numFmtId="165" fontId="20" fillId="0" borderId="2" xfId="43" applyNumberFormat="1" applyFont="1" applyBorder="1" applyAlignment="1">
      <alignment horizontal="right" indent="11"/>
    </xf>
    <xf numFmtId="165" fontId="20" fillId="0" borderId="0" xfId="43" applyNumberFormat="1" applyFont="1" applyAlignment="1">
      <alignment horizontal="right" indent="11"/>
    </xf>
    <xf numFmtId="166" fontId="20" fillId="0" borderId="0" xfId="42" applyNumberFormat="1" applyFont="1"/>
    <xf numFmtId="166" fontId="26" fillId="0" borderId="0" xfId="42" applyNumberFormat="1" applyFont="1"/>
    <xf numFmtId="166" fontId="23" fillId="0" borderId="0" xfId="42" applyNumberFormat="1" applyFont="1" applyAlignment="1">
      <alignment horizontal="right"/>
    </xf>
    <xf numFmtId="165" fontId="23" fillId="0" borderId="0" xfId="43" applyNumberFormat="1" applyFont="1" applyAlignment="1">
      <alignment horizontal="right"/>
    </xf>
    <xf numFmtId="166" fontId="20" fillId="0" borderId="1" xfId="42" applyNumberFormat="1" applyFont="1" applyBorder="1"/>
    <xf numFmtId="166" fontId="1" fillId="0" borderId="0" xfId="42" applyNumberFormat="1" applyFont="1" applyFill="1"/>
    <xf numFmtId="10" fontId="20" fillId="0" borderId="0" xfId="42" applyNumberFormat="1" applyFont="1"/>
    <xf numFmtId="165" fontId="20" fillId="0" borderId="1" xfId="43" applyNumberFormat="1" applyFont="1" applyFill="1" applyBorder="1"/>
    <xf numFmtId="1" fontId="20" fillId="2" borderId="0" xfId="42" applyNumberFormat="1" applyFont="1" applyFill="1"/>
    <xf numFmtId="165" fontId="23" fillId="0" borderId="2" xfId="43" applyNumberFormat="1" applyFont="1" applyBorder="1"/>
    <xf numFmtId="166" fontId="23" fillId="0" borderId="2" xfId="42" applyNumberFormat="1" applyFont="1" applyBorder="1"/>
    <xf numFmtId="166" fontId="20" fillId="0" borderId="0" xfId="42" applyNumberFormat="1" applyFont="1" applyFill="1"/>
    <xf numFmtId="165" fontId="20" fillId="0" borderId="2" xfId="43" applyNumberFormat="1" applyFont="1" applyBorder="1"/>
    <xf numFmtId="166" fontId="20" fillId="0" borderId="2" xfId="42" applyNumberFormat="1" applyFont="1" applyBorder="1"/>
    <xf numFmtId="166" fontId="20" fillId="0" borderId="2" xfId="42" applyNumberFormat="1" applyFont="1" applyBorder="1" applyAlignment="1">
      <alignment horizontal="center"/>
    </xf>
    <xf numFmtId="166" fontId="20" fillId="0" borderId="2" xfId="42" applyNumberFormat="1" applyFont="1" applyBorder="1" applyAlignment="1">
      <alignment horizontal="right" indent="1"/>
    </xf>
    <xf numFmtId="166" fontId="20" fillId="0" borderId="2" xfId="42" applyNumberFormat="1" applyFont="1" applyBorder="1" applyAlignment="1">
      <alignment horizontal="right" indent="2"/>
    </xf>
    <xf numFmtId="166" fontId="20" fillId="0" borderId="0" xfId="42" applyNumberFormat="1" applyFont="1" applyAlignment="1">
      <alignment horizontal="right" indent="1"/>
    </xf>
    <xf numFmtId="166" fontId="20" fillId="0" borderId="0" xfId="42" applyNumberFormat="1" applyFont="1" applyAlignment="1">
      <alignment horizontal="right" indent="2"/>
    </xf>
    <xf numFmtId="165" fontId="20" fillId="0" borderId="2" xfId="43" applyNumberFormat="1" applyFont="1" applyFill="1" applyBorder="1" applyAlignment="1">
      <alignment horizontal="center"/>
    </xf>
    <xf numFmtId="165" fontId="20" fillId="0" borderId="0" xfId="43" applyNumberFormat="1" applyFont="1" applyFill="1" applyAlignment="1">
      <alignment horizontal="center"/>
    </xf>
    <xf numFmtId="166" fontId="20" fillId="0" borderId="0" xfId="42" applyNumberFormat="1" applyFont="1" applyAlignment="1">
      <alignment horizontal="right" wrapText="1"/>
    </xf>
    <xf numFmtId="165" fontId="20" fillId="0" borderId="0" xfId="43" applyNumberFormat="1" applyFont="1" applyAlignment="1">
      <alignment horizontal="right" wrapText="1"/>
    </xf>
    <xf numFmtId="165" fontId="20" fillId="0" borderId="0" xfId="43" applyNumberFormat="1" applyFont="1" applyFill="1" applyAlignment="1">
      <alignment horizontal="right" wrapText="1"/>
    </xf>
    <xf numFmtId="0" fontId="1" fillId="2" borderId="0" xfId="0" applyFont="1" applyFill="1" applyBorder="1"/>
    <xf numFmtId="0" fontId="20" fillId="0" borderId="0" xfId="0" applyFont="1" applyAlignment="1">
      <alignment horizontal="centerContinuous" wrapText="1"/>
    </xf>
    <xf numFmtId="0" fontId="23" fillId="0" borderId="0" xfId="0" applyFont="1" applyAlignment="1">
      <alignment wrapText="1"/>
    </xf>
    <xf numFmtId="165" fontId="23" fillId="0" borderId="0" xfId="43" applyNumberFormat="1" applyFont="1" applyAlignment="1">
      <alignment horizontal="right" wrapText="1"/>
    </xf>
    <xf numFmtId="166" fontId="23" fillId="0" borderId="0" xfId="42" applyNumberFormat="1" applyFont="1" applyAlignment="1">
      <alignment horizontal="right" wrapText="1"/>
    </xf>
    <xf numFmtId="9" fontId="23" fillId="0" borderId="0" xfId="42" applyFont="1" applyAlignment="1">
      <alignment horizontal="right"/>
    </xf>
    <xf numFmtId="165" fontId="20" fillId="0" borderId="0" xfId="43" applyNumberFormat="1" applyFont="1" applyFill="1" applyBorder="1"/>
    <xf numFmtId="0" fontId="20" fillId="0" borderId="0" xfId="0" applyFont="1"/>
    <xf numFmtId="0" fontId="20" fillId="0" borderId="2" xfId="0" applyFont="1" applyBorder="1"/>
    <xf numFmtId="166" fontId="23" fillId="0" borderId="0" xfId="42" applyNumberFormat="1" applyFont="1" applyFill="1"/>
    <xf numFmtId="165" fontId="23" fillId="0" borderId="0" xfId="43" applyNumberFormat="1" applyFont="1" applyFill="1"/>
    <xf numFmtId="0" fontId="23" fillId="0" borderId="0" xfId="0" applyFont="1"/>
    <xf numFmtId="165" fontId="26" fillId="0" borderId="0" xfId="43" applyNumberFormat="1" applyFont="1" applyFill="1"/>
    <xf numFmtId="0" fontId="23" fillId="0" borderId="2" xfId="0" applyFont="1" applyBorder="1"/>
    <xf numFmtId="165" fontId="23" fillId="0" borderId="2" xfId="43" applyNumberFormat="1" applyFont="1" applyFill="1" applyBorder="1"/>
    <xf numFmtId="165" fontId="23" fillId="0" borderId="0" xfId="43" applyNumberFormat="1" applyFont="1" applyFill="1" applyAlignment="1">
      <alignment horizontal="right" wrapText="1"/>
    </xf>
    <xf numFmtId="165" fontId="23" fillId="0" borderId="0" xfId="43" applyNumberFormat="1" applyFont="1" applyFill="1" applyAlignment="1">
      <alignment horizontal="right"/>
    </xf>
    <xf numFmtId="9" fontId="23" fillId="0" borderId="0" xfId="42" applyFont="1" applyFill="1" applyAlignment="1">
      <alignment horizontal="right"/>
    </xf>
    <xf numFmtId="0" fontId="20" fillId="0" borderId="0" xfId="0" applyFont="1" applyAlignment="1">
      <alignment horizontal="right" wrapText="1"/>
    </xf>
    <xf numFmtId="0" fontId="20" fillId="0" borderId="0" xfId="0" applyNumberFormat="1" applyFont="1"/>
    <xf numFmtId="43" fontId="23" fillId="0" borderId="0" xfId="43" applyNumberFormat="1" applyFont="1"/>
    <xf numFmtId="165" fontId="26" fillId="0" borderId="0" xfId="43" applyNumberFormat="1" applyFont="1"/>
    <xf numFmtId="168" fontId="20" fillId="0" borderId="0" xfId="0" applyNumberFormat="1" applyFont="1"/>
    <xf numFmtId="10" fontId="20" fillId="0" borderId="0" xfId="0" applyNumberFormat="1" applyFont="1" applyFill="1" applyAlignment="1">
      <alignment horizontal="left"/>
    </xf>
    <xf numFmtId="10" fontId="20" fillId="0" borderId="0" xfId="42" applyNumberFormat="1" applyFont="1" applyFill="1"/>
    <xf numFmtId="9" fontId="20" fillId="0" borderId="0" xfId="0" applyNumberFormat="1" applyFont="1" applyFill="1"/>
    <xf numFmtId="9" fontId="20" fillId="0" borderId="0" xfId="0" applyNumberFormat="1" applyFont="1" applyFill="1" applyAlignment="1">
      <alignment horizontal="left"/>
    </xf>
    <xf numFmtId="0" fontId="20" fillId="0" borderId="0" xfId="0" applyFont="1" applyFill="1" applyAlignment="1">
      <alignment horizontal="right" wrapText="1"/>
    </xf>
    <xf numFmtId="0" fontId="20" fillId="0" borderId="2" xfId="0" applyFont="1" applyFill="1" applyBorder="1"/>
    <xf numFmtId="37" fontId="23" fillId="0" borderId="0" xfId="43" applyNumberFormat="1" applyFont="1"/>
    <xf numFmtId="0" fontId="22" fillId="0" borderId="0" xfId="0" applyFont="1" applyFill="1"/>
    <xf numFmtId="166" fontId="20" fillId="0" borderId="0" xfId="0" applyNumberFormat="1" applyFont="1"/>
    <xf numFmtId="166" fontId="20" fillId="0" borderId="0" xfId="0" applyNumberFormat="1" applyFont="1" applyFill="1"/>
    <xf numFmtId="0" fontId="23" fillId="0" borderId="0" xfId="0" applyFont="1" applyFill="1"/>
    <xf numFmtId="0" fontId="23" fillId="0" borderId="0" xfId="0" applyFont="1"/>
    <xf numFmtId="0" fontId="0" fillId="0" borderId="0" xfId="0" applyFont="1" applyFill="1"/>
    <xf numFmtId="0" fontId="0" fillId="0" borderId="0" xfId="0" applyFont="1" applyBorder="1" applyAlignment="1">
      <alignment horizontal="left"/>
    </xf>
    <xf numFmtId="0" fontId="0" fillId="0" borderId="0" xfId="0" applyFont="1"/>
    <xf numFmtId="43" fontId="0" fillId="0" borderId="0" xfId="0" applyNumberFormat="1" applyFont="1"/>
    <xf numFmtId="0" fontId="0" fillId="0" borderId="0" xfId="0" applyFont="1" applyFill="1"/>
    <xf numFmtId="0" fontId="1" fillId="0" borderId="0" xfId="0" applyFont="1"/>
    <xf numFmtId="166" fontId="20" fillId="0" borderId="0" xfId="42" applyNumberFormat="1" applyFont="1"/>
    <xf numFmtId="43" fontId="0" fillId="0" borderId="0" xfId="0" applyNumberFormat="1" applyFont="1"/>
    <xf numFmtId="0" fontId="0" fillId="0" borderId="0" xfId="0" applyFont="1" applyFill="1"/>
    <xf numFmtId="0" fontId="23" fillId="0" borderId="0" xfId="0" applyFont="1" applyAlignment="1">
      <alignment horizontal="centerContinuous" wrapText="1"/>
    </xf>
    <xf numFmtId="0" fontId="23" fillId="0" borderId="0" xfId="0" applyFont="1" applyAlignment="1">
      <alignment horizontal="centerContinuous"/>
    </xf>
    <xf numFmtId="0" fontId="0" fillId="0" borderId="0" xfId="0" applyFont="1" applyFill="1" applyAlignment="1">
      <alignment horizontal="centerContinuous"/>
    </xf>
    <xf numFmtId="0" fontId="23" fillId="0" borderId="0" xfId="0" applyFont="1" applyAlignment="1">
      <alignment vertical="top"/>
    </xf>
    <xf numFmtId="0" fontId="23" fillId="0" borderId="0" xfId="0" applyFont="1" applyFill="1" applyAlignment="1">
      <alignment horizontal="centerContinuous" wrapText="1"/>
    </xf>
    <xf numFmtId="0" fontId="24" fillId="0" borderId="0" xfId="0" applyFont="1" applyFill="1" applyAlignment="1">
      <alignment horizontal="centerContinuous"/>
    </xf>
    <xf numFmtId="165" fontId="24" fillId="0" borderId="0" xfId="43" applyNumberFormat="1" applyFont="1" applyFill="1" applyAlignment="1">
      <alignment horizontal="centerContinuous"/>
    </xf>
    <xf numFmtId="0" fontId="23" fillId="0" borderId="0" xfId="0" applyFont="1" applyFill="1" applyAlignment="1">
      <alignment horizontal="centerContinuous"/>
    </xf>
    <xf numFmtId="0" fontId="0" fillId="0" borderId="0" xfId="0" applyFont="1" applyFill="1" applyAlignment="1">
      <alignment horizontal="centerContinuous" wrapText="1"/>
    </xf>
    <xf numFmtId="43" fontId="0" fillId="0" borderId="0" xfId="0" applyNumberFormat="1" applyFont="1" applyAlignment="1">
      <alignment horizontal="centerContinuous"/>
    </xf>
  </cellXfs>
  <cellStyles count="7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omma 10 2" xfId="46"/>
    <cellStyle name="Comma 14" xfId="55"/>
    <cellStyle name="Comma 15" xfId="5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1" xfId="45"/>
    <cellStyle name="Normal 102 2" xfId="54"/>
    <cellStyle name="Normal 103" xfId="48"/>
    <cellStyle name="Normal 105 2" xfId="44"/>
    <cellStyle name="Normal 107" xfId="47"/>
    <cellStyle name="Normal 108" xfId="68"/>
    <cellStyle name="Normal 109" xfId="69"/>
    <cellStyle name="Normal 110" xfId="70"/>
    <cellStyle name="Normal 111" xfId="71"/>
    <cellStyle name="Normal 118" xfId="57"/>
    <cellStyle name="Normal 119" xfId="58"/>
    <cellStyle name="Normal 120" xfId="59"/>
    <cellStyle name="Normal 121" xfId="60"/>
    <cellStyle name="Normal 122" xfId="61"/>
    <cellStyle name="Normal 123" xfId="62"/>
    <cellStyle name="Normal 124" xfId="63"/>
    <cellStyle name="Normal 137" xfId="56"/>
    <cellStyle name="Normal 139" xfId="64"/>
    <cellStyle name="Normal 192" xfId="77"/>
    <cellStyle name="Normal 198" xfId="53"/>
    <cellStyle name="Normal 26" xfId="49"/>
    <cellStyle name="Normal 27" xfId="50"/>
    <cellStyle name="Normal 28" xfId="52"/>
    <cellStyle name="Normal 30" xfId="65"/>
    <cellStyle name="Normal 32 4" xfId="66"/>
    <cellStyle name="Normal 41 2" xfId="67"/>
    <cellStyle name="Normal 44 2" xfId="73"/>
    <cellStyle name="Normal 74" xfId="72"/>
    <cellStyle name="Normal 79" xfId="74"/>
    <cellStyle name="Normal 83" xfId="75"/>
    <cellStyle name="Normal 87" xfId="76"/>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9" formatCode="&quot;-&quot;"/>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0000CC"/>
      <color rgb="FF0046FA"/>
      <color rgb="FF509AA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Brattle 2015">
  <a:themeElements>
    <a:clrScheme name="Brattle 2015">
      <a:dk1>
        <a:srgbClr val="000000"/>
      </a:dk1>
      <a:lt1>
        <a:srgbClr val="FFFFFF"/>
      </a:lt1>
      <a:dk2>
        <a:srgbClr val="FFFFFF"/>
      </a:dk2>
      <a:lt2>
        <a:srgbClr val="00467F"/>
      </a:lt2>
      <a:accent1>
        <a:srgbClr val="002B54"/>
      </a:accent1>
      <a:accent2>
        <a:srgbClr val="7FB9C2"/>
      </a:accent2>
      <a:accent3>
        <a:srgbClr val="6A7277"/>
      </a:accent3>
      <a:accent4>
        <a:srgbClr val="EF4623"/>
      </a:accent4>
      <a:accent5>
        <a:srgbClr val="00467F"/>
      </a:accent5>
      <a:accent6>
        <a:srgbClr val="CCCDC3"/>
      </a:accent6>
      <a:hlink>
        <a:srgbClr val="7FB9C2"/>
      </a:hlink>
      <a:folHlink>
        <a:srgbClr val="00467F"/>
      </a:folHlink>
    </a:clrScheme>
    <a:fontScheme name="Brattle 2015">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51"/>
  <sheetViews>
    <sheetView showGridLines="0" tabSelected="1" view="pageBreakPreview" topLeftCell="B3" zoomScale="85" zoomScaleNormal="90" zoomScaleSheetLayoutView="85" workbookViewId="0">
      <selection activeCell="B3" sqref="B3"/>
    </sheetView>
  </sheetViews>
  <sheetFormatPr defaultRowHeight="15" outlineLevelRow="1" outlineLevelCol="1" x14ac:dyDescent="0.25"/>
  <cols>
    <col min="1" max="1" width="9.140625" style="153" hidden="1" customWidth="1" outlineLevel="1"/>
    <col min="2" max="2" width="4.42578125" style="44" customWidth="1" collapsed="1"/>
    <col min="3" max="3" width="47.140625" style="44" customWidth="1"/>
    <col min="4" max="4" width="4.7109375" style="44" bestFit="1" customWidth="1"/>
    <col min="5" max="5" width="9.140625" style="44"/>
    <col min="6" max="6" width="3.42578125" style="44" bestFit="1" customWidth="1"/>
    <col min="7" max="7" width="10.85546875" style="44" customWidth="1"/>
    <col min="8" max="8" width="1.7109375" style="44" customWidth="1"/>
    <col min="9" max="9" width="16" style="44" bestFit="1" customWidth="1"/>
    <col min="10" max="11" width="1.7109375" style="44" customWidth="1"/>
    <col min="12" max="12" width="9.140625" style="44"/>
    <col min="13" max="13" width="72.140625" style="44" customWidth="1"/>
    <col min="14" max="14" width="10.85546875" style="44" bestFit="1" customWidth="1"/>
    <col min="15" max="15" width="15.42578125" style="44" customWidth="1"/>
    <col min="16" max="16" width="16.85546875" style="44" bestFit="1" customWidth="1"/>
    <col min="17" max="18" width="1.7109375" style="44" customWidth="1"/>
    <col min="19" max="19" width="9.140625" style="44"/>
    <col min="20" max="20" width="72.140625" style="44" customWidth="1"/>
    <col min="21" max="21" width="10.85546875" style="44" bestFit="1" customWidth="1"/>
    <col min="22" max="22" width="15.42578125" style="44" customWidth="1"/>
    <col min="23" max="23" width="14.28515625" style="44" bestFit="1" customWidth="1"/>
    <col min="24" max="16384" width="9.140625" style="44"/>
  </cols>
  <sheetData>
    <row r="1" spans="1:23" s="139" customFormat="1" hidden="1" outlineLevel="1" x14ac:dyDescent="0.25">
      <c r="A1" s="153"/>
      <c r="E1" s="139" t="s">
        <v>37</v>
      </c>
      <c r="G1" s="139" t="s">
        <v>36</v>
      </c>
      <c r="I1" s="139" t="s">
        <v>49</v>
      </c>
      <c r="O1" s="140" t="s">
        <v>37</v>
      </c>
      <c r="P1" s="139" t="s">
        <v>48</v>
      </c>
      <c r="V1" s="140" t="s">
        <v>37</v>
      </c>
      <c r="W1" s="139" t="s">
        <v>48</v>
      </c>
    </row>
    <row r="2" spans="1:23" s="139" customFormat="1" hidden="1" outlineLevel="1" x14ac:dyDescent="0.25">
      <c r="A2" s="153"/>
      <c r="E2" s="139" t="s">
        <v>18</v>
      </c>
      <c r="G2" s="139" t="s">
        <v>78</v>
      </c>
    </row>
    <row r="3" spans="1:23" collapsed="1" x14ac:dyDescent="0.25">
      <c r="B3" s="105" t="s">
        <v>145</v>
      </c>
      <c r="C3" s="106"/>
      <c r="D3" s="106"/>
      <c r="E3" s="106"/>
      <c r="F3" s="106"/>
      <c r="G3" s="106"/>
      <c r="H3" s="106"/>
      <c r="I3" s="106"/>
      <c r="L3" s="105" t="s">
        <v>144</v>
      </c>
      <c r="M3" s="106"/>
      <c r="N3" s="106"/>
      <c r="O3" s="106"/>
      <c r="P3" s="106"/>
      <c r="Q3" s="106"/>
      <c r="S3" s="105" t="s">
        <v>143</v>
      </c>
      <c r="T3" s="106"/>
      <c r="U3" s="106"/>
      <c r="V3" s="106"/>
      <c r="W3" s="106"/>
    </row>
    <row r="4" spans="1:23" ht="6" customHeight="1" thickBot="1" x14ac:dyDescent="0.3">
      <c r="B4" s="107"/>
      <c r="C4" s="107"/>
      <c r="D4" s="108"/>
      <c r="E4" s="107"/>
      <c r="F4" s="107"/>
      <c r="G4" s="107"/>
      <c r="H4" s="107"/>
      <c r="I4" s="107"/>
      <c r="L4" s="82"/>
      <c r="M4" s="82"/>
      <c r="N4" s="85"/>
      <c r="O4" s="82"/>
      <c r="P4" s="107"/>
      <c r="Q4" s="133"/>
      <c r="S4" s="82"/>
      <c r="T4" s="82"/>
      <c r="U4" s="85"/>
      <c r="V4" s="82"/>
      <c r="W4" s="107"/>
    </row>
    <row r="5" spans="1:23" ht="6" customHeight="1" thickTop="1" x14ac:dyDescent="0.25">
      <c r="D5" s="109"/>
      <c r="L5" s="77"/>
      <c r="M5" s="77"/>
      <c r="N5" s="86"/>
      <c r="O5" s="77"/>
      <c r="S5" s="77"/>
      <c r="T5" s="77"/>
      <c r="U5" s="86"/>
      <c r="V5" s="77"/>
    </row>
    <row r="6" spans="1:23" x14ac:dyDescent="0.25">
      <c r="B6" s="110"/>
      <c r="C6" s="110"/>
      <c r="D6" s="110"/>
      <c r="E6" s="110" t="s">
        <v>81</v>
      </c>
      <c r="F6" s="111" t="s">
        <v>78</v>
      </c>
      <c r="G6" s="111"/>
      <c r="H6" s="110"/>
      <c r="I6" s="110" t="s">
        <v>82</v>
      </c>
      <c r="L6" s="87"/>
      <c r="M6" s="87"/>
      <c r="N6" s="87"/>
      <c r="O6" s="112" t="s">
        <v>26</v>
      </c>
      <c r="P6" s="113" t="s">
        <v>110</v>
      </c>
      <c r="Q6" s="133"/>
      <c r="S6" s="87"/>
      <c r="T6" s="87"/>
      <c r="U6" s="87"/>
      <c r="V6" s="112" t="s">
        <v>26</v>
      </c>
      <c r="W6" s="113" t="s">
        <v>110</v>
      </c>
    </row>
    <row r="7" spans="1:23" ht="6" customHeight="1" x14ac:dyDescent="0.25">
      <c r="D7" s="109"/>
      <c r="L7" s="77"/>
      <c r="M7" s="77"/>
      <c r="N7" s="86"/>
      <c r="O7" s="77"/>
      <c r="S7" s="77"/>
      <c r="T7" s="77"/>
      <c r="U7" s="86"/>
      <c r="V7" s="77"/>
    </row>
    <row r="8" spans="1:23" x14ac:dyDescent="0.25">
      <c r="A8" s="153">
        <v>1</v>
      </c>
      <c r="B8" s="77" t="s">
        <v>83</v>
      </c>
      <c r="C8" s="77"/>
      <c r="D8" s="86" t="str">
        <f t="shared" ref="D8:D16" si="0">"["&amp;A8&amp;"]"</f>
        <v>[1]</v>
      </c>
      <c r="E8" s="74">
        <f>INDEX('2020 CAISO+PAC'!$E:$E,MATCH(E$2,'2020 CAISO+PAC'!$B:$B,0))</f>
        <v>1.1499999999999999</v>
      </c>
      <c r="F8" s="74"/>
      <c r="G8" s="74">
        <f>INDEX('2020 CAISO+PAC'!$E:$E,MATCH(G$2,'2020 CAISO+PAC'!$B:$B,0))</f>
        <v>1.1299999999999999</v>
      </c>
      <c r="H8" s="76"/>
      <c r="I8" s="32"/>
      <c r="L8" s="77" t="s">
        <v>89</v>
      </c>
      <c r="M8" s="77"/>
      <c r="N8" s="86" t="str">
        <f t="shared" ref="N8:N16" si="1">"["&amp;A8&amp;"]"</f>
        <v>[1]</v>
      </c>
      <c r="O8" s="103" t="s">
        <v>98</v>
      </c>
      <c r="P8" s="114" t="s">
        <v>99</v>
      </c>
      <c r="Q8" s="114"/>
      <c r="S8" s="77" t="s">
        <v>89</v>
      </c>
      <c r="T8" s="77"/>
      <c r="U8" s="86" t="str">
        <f t="shared" ref="U8:U16" si="2">"["&amp;A8&amp;"]"</f>
        <v>[1]</v>
      </c>
      <c r="V8" s="103" t="s">
        <v>98</v>
      </c>
      <c r="W8" s="114" t="s">
        <v>99</v>
      </c>
    </row>
    <row r="9" spans="1:23" ht="15" customHeight="1" x14ac:dyDescent="0.25">
      <c r="A9" s="153">
        <f>MAX($A$3:$A8)+1</f>
        <v>2</v>
      </c>
      <c r="B9" s="77" t="s">
        <v>68</v>
      </c>
      <c r="C9" s="77"/>
      <c r="D9" s="86" t="str">
        <f t="shared" si="0"/>
        <v>[2]</v>
      </c>
      <c r="E9" s="75">
        <f>SUMIFS('2020 CAISO+PAC'!$F:$F,'2020 CAISO+PAC'!$D:$D,Summary!E$1)</f>
        <v>47009.573416528947</v>
      </c>
      <c r="F9" s="75"/>
      <c r="G9" s="75">
        <f>SUMIFS('2020 CAISO+PAC'!$F:$F,'2020 CAISO+PAC'!$D:$D,Summary!G$1)</f>
        <v>13234</v>
      </c>
      <c r="H9" s="76"/>
      <c r="I9" s="61">
        <f>SUM(E9:G9)</f>
        <v>60243.573416528947</v>
      </c>
      <c r="L9" s="83" t="s">
        <v>90</v>
      </c>
      <c r="M9" s="83"/>
      <c r="N9" s="112" t="str">
        <f t="shared" si="1"/>
        <v>[2]</v>
      </c>
      <c r="O9" s="93">
        <f>SUMIFS('2030 Regional ISO'!$I:$I,'2030 Regional ISO'!$B:$B,Summary!O$1)</f>
        <v>57187.793435409614</v>
      </c>
      <c r="P9" s="93">
        <f>SUMIFS('2030 Regional ISO'!$I:$I,'2030 Regional ISO'!$B:$B,Summary!P$1)</f>
        <v>85302.411698038733</v>
      </c>
      <c r="Q9" s="138"/>
      <c r="S9" s="83" t="s">
        <v>90</v>
      </c>
      <c r="T9" s="83"/>
      <c r="U9" s="112" t="str">
        <f t="shared" si="2"/>
        <v>[2]</v>
      </c>
      <c r="V9" s="93">
        <f>SUMIFS('2020 Regional ISO'!$I:$I,'2020 Regional ISO'!$B:$B,Summary!V$1)</f>
        <v>59688.317087729149</v>
      </c>
      <c r="W9" s="93">
        <f>SUMIFS('2020 Regional ISO'!$I:$I,'2020 Regional ISO'!$B:$B,Summary!W$1)</f>
        <v>75829</v>
      </c>
    </row>
    <row r="10" spans="1:23" ht="15" customHeight="1" x14ac:dyDescent="0.25">
      <c r="A10" s="153">
        <f>MAX($A$3:$A9)+1</f>
        <v>3</v>
      </c>
      <c r="B10" s="77" t="s">
        <v>151</v>
      </c>
      <c r="C10" s="77"/>
      <c r="D10" s="86" t="str">
        <f t="shared" si="0"/>
        <v>[3]</v>
      </c>
      <c r="E10" s="74">
        <f>IFERROR(SUMIFS('2020 CAISO+PAC'!$Q:$Q,'2020 CAISO+PAC'!$D:$D,Summary!E$1)/SUMIFS('2020 CAISO+PAC'!$F:$F,'2020 CAISO+PAC'!$D:$D,Summary!E$1),"-")</f>
        <v>0.99659090909090908</v>
      </c>
      <c r="F10" s="74"/>
      <c r="G10" s="74">
        <f>IFERROR(SUMIFS('2020 CAISO+PAC'!$Q:$Q,'2020 CAISO+PAC'!$D:$D,Summary!G$1)/SUMIFS('2020 CAISO+PAC'!$F:$F,'2020 CAISO+PAC'!$D:$D,Summary!G$1),"-")</f>
        <v>0.92192466500519277</v>
      </c>
      <c r="H10" s="76"/>
      <c r="I10" s="32"/>
      <c r="L10" s="77" t="s">
        <v>101</v>
      </c>
      <c r="M10" s="77"/>
      <c r="N10" s="86" t="str">
        <f t="shared" si="1"/>
        <v>[3]</v>
      </c>
      <c r="O10" s="74">
        <f>O11/O9</f>
        <v>0.9922900718725115</v>
      </c>
      <c r="P10" s="74">
        <f>P11/P9</f>
        <v>0.94210534074477226</v>
      </c>
      <c r="Q10" s="74"/>
      <c r="S10" s="77" t="s">
        <v>101</v>
      </c>
      <c r="T10" s="77"/>
      <c r="U10" s="86" t="str">
        <f t="shared" si="2"/>
        <v>[3]</v>
      </c>
      <c r="V10" s="74">
        <f>V11/V9</f>
        <v>0.99286350169975468</v>
      </c>
      <c r="W10" s="74">
        <f>W11/W9</f>
        <v>0.94020439048448035</v>
      </c>
    </row>
    <row r="11" spans="1:23" ht="15" customHeight="1" x14ac:dyDescent="0.25">
      <c r="A11" s="153">
        <f>MAX($A$3:$A10)+1</f>
        <v>4</v>
      </c>
      <c r="B11" s="77" t="s">
        <v>84</v>
      </c>
      <c r="C11" s="77"/>
      <c r="D11" s="86" t="str">
        <f t="shared" si="0"/>
        <v>[4]</v>
      </c>
      <c r="E11" s="75">
        <f>IFERROR(E9*E10,"-")</f>
        <v>46849.313507154417</v>
      </c>
      <c r="F11" s="75"/>
      <c r="G11" s="75">
        <f t="shared" ref="G11" si="3">IFERROR(G9*G10,"-")</f>
        <v>12200.751016678721</v>
      </c>
      <c r="H11" s="76"/>
      <c r="I11" s="61">
        <f>SUM(E11:G11)</f>
        <v>59050.064523833134</v>
      </c>
      <c r="L11" s="77" t="s">
        <v>102</v>
      </c>
      <c r="M11" s="77"/>
      <c r="N11" s="86" t="str">
        <f t="shared" si="1"/>
        <v>[4]</v>
      </c>
      <c r="O11" s="75">
        <f>SUMIFS('2030 Regional ISO'!$T:$T,'2030 Regional ISO'!$B:$B,Summary!O$1)</f>
        <v>56746.879658252947</v>
      </c>
      <c r="P11" s="75">
        <f>SUMIFS('2030 Regional ISO'!$T:$T,'2030 Regional ISO'!$B:$B,Summary!P$1)</f>
        <v>80363.857639131631</v>
      </c>
      <c r="Q11" s="75"/>
      <c r="S11" s="77" t="s">
        <v>102</v>
      </c>
      <c r="T11" s="77"/>
      <c r="U11" s="86" t="str">
        <f t="shared" si="2"/>
        <v>[4]</v>
      </c>
      <c r="V11" s="75">
        <f>SUMIFS('2020 Regional ISO'!$T:$T,'2020 Regional ISO'!$B:$B,Summary!V$1)</f>
        <v>59262.351514288064</v>
      </c>
      <c r="W11" s="75">
        <f>SUMIFS('2020 Regional ISO'!$T:$T,'2020 Regional ISO'!$B:$B,Summary!W$1)</f>
        <v>71294.758726047658</v>
      </c>
    </row>
    <row r="12" spans="1:23" ht="15" customHeight="1" x14ac:dyDescent="0.25">
      <c r="A12" s="153">
        <f>MAX($A$3:$A11)+1</f>
        <v>5</v>
      </c>
      <c r="B12" s="77" t="s">
        <v>85</v>
      </c>
      <c r="C12" s="77"/>
      <c r="D12" s="86" t="str">
        <f t="shared" si="0"/>
        <v>[5]</v>
      </c>
      <c r="E12" s="75">
        <f>IFERROR((E8)*(E9-E11),"-")</f>
        <v>184.29889578070978</v>
      </c>
      <c r="F12" s="75"/>
      <c r="G12" s="75">
        <f>IFERROR((G8)*(G9-G11),"-")</f>
        <v>1167.5713511530446</v>
      </c>
      <c r="H12" s="76"/>
      <c r="I12" s="61">
        <f>SUM(E12:G12)</f>
        <v>1351.8702469337543</v>
      </c>
      <c r="J12" s="115"/>
      <c r="K12" s="115"/>
      <c r="L12" s="77" t="s">
        <v>139</v>
      </c>
      <c r="M12" s="77"/>
      <c r="N12" s="86" t="str">
        <f t="shared" si="1"/>
        <v>[5]</v>
      </c>
      <c r="O12" s="75">
        <f>SUMIFS('2030 Regional ISO'!$U:$U,'2030 Regional ISO'!$B:$B,Summary!O$1)</f>
        <v>507.9695603651906</v>
      </c>
      <c r="P12" s="75">
        <f>SUMIFS('2030 Regional ISO'!$U:$U,'2030 Regional ISO'!$B:$B,Summary!P$1)</f>
        <v>5702.5700615213136</v>
      </c>
      <c r="Q12" s="75"/>
      <c r="S12" s="77" t="s">
        <v>139</v>
      </c>
      <c r="T12" s="77"/>
      <c r="U12" s="86" t="str">
        <f t="shared" si="2"/>
        <v>[5]</v>
      </c>
      <c r="V12" s="75">
        <f>SUMIFS('2020 Regional ISO'!$U:$U,'2020 Regional ISO'!$B:$B,Summary!V$1)</f>
        <v>490.70919441841806</v>
      </c>
      <c r="W12" s="75">
        <f>SUMIFS('2020 Regional ISO'!$U:$U,'2020 Regional ISO'!$B:$B,Summary!W$1)</f>
        <v>5235.6054082614964</v>
      </c>
    </row>
    <row r="13" spans="1:23" ht="15" customHeight="1" x14ac:dyDescent="0.25">
      <c r="A13" s="153">
        <f>MAX($A$3:$A12)+1</f>
        <v>6</v>
      </c>
      <c r="B13" s="77" t="s">
        <v>87</v>
      </c>
      <c r="D13" s="86" t="str">
        <f t="shared" si="0"/>
        <v>[6]</v>
      </c>
      <c r="E13" s="44">
        <f>INDEX('2020 CAISO+PAC'!$S:$S,MATCH(Summary!E$2,'2020 CAISO+PAC'!$B:$B,0))</f>
        <v>982</v>
      </c>
      <c r="G13" s="44">
        <f>INDEX('2020 CAISO+PAC'!$S:$S,MATCH(Summary!G$2,'2020 CAISO+PAC'!$B:$B,0))</f>
        <v>776</v>
      </c>
      <c r="L13" s="116" t="s">
        <v>71</v>
      </c>
      <c r="M13" s="77"/>
      <c r="N13" s="86" t="str">
        <f t="shared" si="1"/>
        <v>[6]</v>
      </c>
      <c r="O13" s="75">
        <f>SUMIFS('2030 Regional ISO'!$W:$W,'2030 Regional ISO'!$B:$B,Summary!O$1)</f>
        <v>0</v>
      </c>
      <c r="P13" s="75">
        <f>SUMIFS('2030 Regional ISO'!$W:$W,'2030 Regional ISO'!$B:$B,Summary!P$1)</f>
        <v>4480.5614896790439</v>
      </c>
      <c r="Q13" s="75"/>
      <c r="S13" s="116" t="s">
        <v>71</v>
      </c>
      <c r="T13" s="77"/>
      <c r="U13" s="86" t="str">
        <f t="shared" si="2"/>
        <v>[6]</v>
      </c>
      <c r="V13" s="75">
        <f>SUMIFS('2020 Regional ISO'!$W:$W,'2020 Regional ISO'!$B:$B,Summary!V$1)</f>
        <v>0</v>
      </c>
      <c r="W13" s="75">
        <f>SUMIFS('2020 Regional ISO'!$W:$W,'2020 Regional ISO'!$B:$B,Summary!W$1)</f>
        <v>4136.1659081169601</v>
      </c>
    </row>
    <row r="14" spans="1:23" ht="15" customHeight="1" x14ac:dyDescent="0.25">
      <c r="A14" s="153">
        <f>MAX($A$3:$A13)+1</f>
        <v>7</v>
      </c>
      <c r="B14" s="117" t="s">
        <v>70</v>
      </c>
      <c r="C14" s="88"/>
      <c r="D14" s="118" t="str">
        <f t="shared" si="0"/>
        <v>[7]</v>
      </c>
      <c r="E14" s="78">
        <f>MIN(E12:E13)</f>
        <v>184.29889578070978</v>
      </c>
      <c r="F14" s="78"/>
      <c r="G14" s="78">
        <f t="shared" ref="G14" si="4">MIN(G12:G13)</f>
        <v>776</v>
      </c>
      <c r="H14" s="78"/>
      <c r="I14" s="94">
        <f>SUM(E14:G14)</f>
        <v>960.29889578070981</v>
      </c>
      <c r="L14" s="117" t="s">
        <v>140</v>
      </c>
      <c r="M14" s="88"/>
      <c r="N14" s="118" t="str">
        <f t="shared" si="1"/>
        <v>[7]</v>
      </c>
      <c r="O14" s="78">
        <f>SUMIFS('2030 Regional ISO'!$Z:$Z,'2030 Regional ISO'!$B:$B,Summary!O$1)</f>
        <v>362.86330333527815</v>
      </c>
      <c r="P14" s="78">
        <f>SUMIFS('2030 Regional ISO'!$Z:$Z,'2030 Regional ISO'!$B:$B,Summary!P$1)</f>
        <v>604.19500415879088</v>
      </c>
      <c r="Q14" s="78"/>
      <c r="S14" s="117" t="s">
        <v>140</v>
      </c>
      <c r="T14" s="88"/>
      <c r="U14" s="86" t="str">
        <f t="shared" si="2"/>
        <v>[7]</v>
      </c>
      <c r="V14" s="78">
        <f>SUMIFS('2020 Regional ISO'!$Z:$Z,'2020 Regional ISO'!$B:$B,Summary!V$1)</f>
        <v>353.06654423369548</v>
      </c>
      <c r="W14" s="78">
        <f>SUMIFS('2020 Regional ISO'!$Z:$Z,'2020 Regional ISO'!$B:$B,Summary!W$1)</f>
        <v>532.55912159997945</v>
      </c>
    </row>
    <row r="15" spans="1:23" ht="15" customHeight="1" x14ac:dyDescent="0.25">
      <c r="A15" s="153">
        <f>MAX($A$3:$A14)+1</f>
        <v>8</v>
      </c>
      <c r="B15" s="77" t="s">
        <v>106</v>
      </c>
      <c r="D15" s="86" t="str">
        <f t="shared" si="0"/>
        <v>[8]</v>
      </c>
      <c r="E15" s="96">
        <f>E14/E9</f>
        <v>3.9204545454545395E-3</v>
      </c>
      <c r="F15" s="96"/>
      <c r="G15" s="96">
        <f t="shared" ref="G15" si="5">G14/G9</f>
        <v>5.8636844491461386E-2</v>
      </c>
      <c r="L15" s="119" t="s">
        <v>69</v>
      </c>
      <c r="M15" s="83"/>
      <c r="N15" s="112" t="str">
        <f t="shared" si="1"/>
        <v>[8]</v>
      </c>
      <c r="O15" s="93">
        <f>SUMIFS('2030 Regional ISO'!$AA:$AA,'2030 Regional ISO'!$B:$B,Summary!O$1)</f>
        <v>145.10625702991243</v>
      </c>
      <c r="P15" s="93">
        <f>SUMIFS('2030 Regional ISO'!$AA:$AA,'2030 Regional ISO'!$B:$B,Summary!P$1)</f>
        <v>617.81356768348019</v>
      </c>
      <c r="Q15" s="138"/>
      <c r="S15" s="119" t="s">
        <v>69</v>
      </c>
      <c r="T15" s="83"/>
      <c r="U15" s="112" t="str">
        <f t="shared" si="2"/>
        <v>[8]</v>
      </c>
      <c r="V15" s="93">
        <f>SUMIFS('2020 Regional ISO'!$AA:$AA,'2020 Regional ISO'!$B:$B,Summary!V$1)</f>
        <v>137.64265018472258</v>
      </c>
      <c r="W15" s="93">
        <f>SUMIFS('2020 Regional ISO'!$AA:$AA,'2020 Regional ISO'!$B:$B,Summary!W$1)</f>
        <v>566.88037854455797</v>
      </c>
    </row>
    <row r="16" spans="1:23" ht="15" customHeight="1" x14ac:dyDescent="0.25">
      <c r="A16" s="153">
        <f>MAX($A$3:$A15)+1</f>
        <v>9</v>
      </c>
      <c r="B16" s="117" t="s">
        <v>69</v>
      </c>
      <c r="C16" s="88"/>
      <c r="D16" s="118" t="str">
        <f t="shared" si="0"/>
        <v>[9]</v>
      </c>
      <c r="E16" s="78">
        <f>E12-E14</f>
        <v>0</v>
      </c>
      <c r="F16" s="78"/>
      <c r="G16" s="78">
        <f>G12-G14</f>
        <v>391.57135115304459</v>
      </c>
      <c r="H16" s="81"/>
      <c r="I16" s="94">
        <f>SUM(E16:G16)</f>
        <v>391.57135115304459</v>
      </c>
      <c r="L16" s="120" t="s">
        <v>103</v>
      </c>
      <c r="M16" s="77"/>
      <c r="N16" s="86" t="str">
        <f t="shared" si="1"/>
        <v>[9]</v>
      </c>
      <c r="O16" s="74">
        <f>O17/O11</f>
        <v>0.98113587018876625</v>
      </c>
      <c r="P16" s="74">
        <f>P17/P11</f>
        <v>0.96330470599714735</v>
      </c>
      <c r="Q16" s="74"/>
      <c r="S16" s="120" t="s">
        <v>103</v>
      </c>
      <c r="T16" s="77"/>
      <c r="U16" s="86" t="str">
        <f t="shared" si="2"/>
        <v>[9]</v>
      </c>
      <c r="V16" s="74">
        <f>V17/V11</f>
        <v>0.98087273048721246</v>
      </c>
      <c r="W16" s="74">
        <f>W17/W11</f>
        <v>0.96344633482155773</v>
      </c>
    </row>
    <row r="17" spans="1:23" ht="15" customHeight="1" x14ac:dyDescent="0.25">
      <c r="B17" s="77" t="s">
        <v>106</v>
      </c>
      <c r="D17" s="86" t="str">
        <f>"["&amp;A18&amp;"]"</f>
        <v>[10]</v>
      </c>
      <c r="E17" s="96">
        <f>E16/E9</f>
        <v>0</v>
      </c>
      <c r="F17" s="96"/>
      <c r="G17" s="96">
        <f t="shared" ref="G17" si="6">G16/G9</f>
        <v>2.9588284052670742E-2</v>
      </c>
      <c r="L17" s="77" t="s">
        <v>104</v>
      </c>
      <c r="M17" s="77"/>
      <c r="N17" s="86" t="str">
        <f t="shared" ref="N17:N22" si="7">"["&amp;A18&amp;"]"</f>
        <v>[10]</v>
      </c>
      <c r="O17" s="75">
        <f>'2030 Regional ISO'!T39+'2030 Regional ISO'!T14+'2030 Regional ISO'!T26+'2030 Regional ISO'!T30</f>
        <v>55676.399153997205</v>
      </c>
      <c r="P17" s="121">
        <f>'2030 Regional ISO'!T45-Summary!O17</f>
        <v>77414.882255860299</v>
      </c>
      <c r="Q17" s="121"/>
      <c r="S17" s="77" t="s">
        <v>104</v>
      </c>
      <c r="T17" s="77"/>
      <c r="U17" s="86" t="str">
        <f t="shared" ref="U17:U22" si="8">"["&amp;A18&amp;"]"</f>
        <v>[10]</v>
      </c>
      <c r="V17" s="75">
        <f>'2020 Regional ISO'!T39+'2020 Regional ISO'!T14+'2020 Regional ISO'!T26+'2020 Regional ISO'!T30</f>
        <v>58128.824544912721</v>
      </c>
      <c r="W17" s="75">
        <f>'2020 Regional ISO'!T45-Summary!V17</f>
        <v>68688.673986597889</v>
      </c>
    </row>
    <row r="18" spans="1:23" ht="15" customHeight="1" x14ac:dyDescent="0.25">
      <c r="A18" s="153">
        <f>MAX($A$3:$A16)+1</f>
        <v>10</v>
      </c>
      <c r="B18" s="88" t="s">
        <v>86</v>
      </c>
      <c r="C18" s="43"/>
      <c r="D18" s="118" t="str">
        <f>"["&amp;A19&amp;"]"</f>
        <v>[11]</v>
      </c>
      <c r="E18" s="90">
        <v>35</v>
      </c>
      <c r="F18" s="95"/>
      <c r="G18" s="90">
        <v>39</v>
      </c>
      <c r="J18" s="122"/>
      <c r="K18" s="122"/>
      <c r="L18" s="77" t="s">
        <v>141</v>
      </c>
      <c r="M18" s="77"/>
      <c r="N18" s="86" t="str">
        <f t="shared" si="7"/>
        <v>[11]</v>
      </c>
      <c r="O18" s="75">
        <f>SUMIFS('2030 Regional ISO'!$U:$U,'2030 Regional ISO'!$C:$C,Summary!O$1)</f>
        <v>1231.0525798941067</v>
      </c>
      <c r="P18" s="75">
        <f>SUMIFS('2030 Regional ISO'!$U:$U,'2030 Regional ISO'!$C:$C,Summary!P$1)</f>
        <v>3384.781055868953</v>
      </c>
      <c r="Q18" s="75"/>
      <c r="S18" s="77" t="s">
        <v>141</v>
      </c>
      <c r="T18" s="77"/>
      <c r="U18" s="86" t="str">
        <f t="shared" si="8"/>
        <v>[11]</v>
      </c>
      <c r="V18" s="75">
        <f>SUMIFS('2020 Regional ISO'!$U:$U,'2020 Regional ISO'!$C:$C,Summary!V$1)</f>
        <v>1303.5560147816416</v>
      </c>
      <c r="W18" s="75">
        <f>SUMIFS('2020 Regional ISO'!$U:$U,'2020 Regional ISO'!$C:$C,Summary!W$1)</f>
        <v>2990.6332759491938</v>
      </c>
    </row>
    <row r="19" spans="1:23" ht="15" customHeight="1" x14ac:dyDescent="0.25">
      <c r="A19" s="153">
        <f>MAX($A$3:$A18)+1</f>
        <v>11</v>
      </c>
      <c r="F19" s="123"/>
      <c r="J19" s="122"/>
      <c r="K19" s="122"/>
      <c r="L19" s="117" t="s">
        <v>142</v>
      </c>
      <c r="M19" s="88"/>
      <c r="N19" s="118" t="str">
        <f t="shared" si="7"/>
        <v>[12]</v>
      </c>
      <c r="O19" s="78">
        <f>SUMIFS('2030 Regional ISO'!$Z:$Z,'2030 Regional ISO'!$C:$C,Summary!O$1)</f>
        <v>1231.0525798941085</v>
      </c>
      <c r="P19" s="78">
        <f>SUMIFS('2030 Regional ISO'!$Z:$Z,'2030 Regional ISO'!$C:$C,Summary!P$1)</f>
        <v>2060.3653594930565</v>
      </c>
      <c r="Q19" s="78"/>
      <c r="S19" s="117" t="s">
        <v>142</v>
      </c>
      <c r="T19" s="88"/>
      <c r="U19" s="86" t="str">
        <f t="shared" si="8"/>
        <v>[12]</v>
      </c>
      <c r="V19" s="78">
        <f>SUMIFS('2020 Regional ISO'!$Z:$Z,'2020 Regional ISO'!$C:$C,Summary!V$1)</f>
        <v>1303.5560147816434</v>
      </c>
      <c r="W19" s="78">
        <f>SUMIFS('2020 Regional ISO'!$Z:$Z,'2020 Regional ISO'!$C:$C,Summary!W$1)</f>
        <v>1855.8176687763485</v>
      </c>
    </row>
    <row r="20" spans="1:23" ht="15" customHeight="1" x14ac:dyDescent="0.25">
      <c r="A20" s="153">
        <f>MAX($A$3:$A19)+1</f>
        <v>12</v>
      </c>
      <c r="B20" s="81" t="s">
        <v>108</v>
      </c>
      <c r="C20" s="122"/>
      <c r="D20" s="124" t="str">
        <f>"["&amp;A20&amp;"]"</f>
        <v>[12]</v>
      </c>
      <c r="E20" s="69">
        <f>(E18*E14)/1000</f>
        <v>6.4504613523248429</v>
      </c>
      <c r="F20" s="70"/>
      <c r="G20" s="69">
        <f>(G18*G14)/1000</f>
        <v>30.263999999999999</v>
      </c>
      <c r="H20" s="69"/>
      <c r="I20" s="69">
        <f>SUM(D20:G20)</f>
        <v>36.71446135232484</v>
      </c>
      <c r="J20" s="122"/>
      <c r="K20" s="122"/>
      <c r="L20" s="119" t="s">
        <v>69</v>
      </c>
      <c r="M20" s="83"/>
      <c r="N20" s="112" t="str">
        <f t="shared" si="7"/>
        <v>[13]</v>
      </c>
      <c r="O20" s="93">
        <f>SUMIFS('2030 Regional ISO'!$AA:$AA,'2030 Regional ISO'!$C:$C,Summary!O1)</f>
        <v>0</v>
      </c>
      <c r="P20" s="93">
        <f>SUMIFS('2030 Regional ISO'!$AA:$AA,'2030 Regional ISO'!$C:$C,Summary!P1)</f>
        <v>1324.4156963758983</v>
      </c>
      <c r="Q20" s="138"/>
      <c r="S20" s="119" t="s">
        <v>69</v>
      </c>
      <c r="T20" s="83"/>
      <c r="U20" s="112" t="str">
        <f t="shared" si="8"/>
        <v>[13]</v>
      </c>
      <c r="V20" s="93">
        <f>SUMIFS('2020 Regional ISO'!$AA:$AA,'2020 Regional ISO'!$C:$C,Summary!V1)</f>
        <v>0</v>
      </c>
      <c r="W20" s="93">
        <f>SUMIFS('2020 Regional ISO'!$AA:$AA,'2020 Regional ISO'!$C:$C,Summary!W1)</f>
        <v>1134.815607172847</v>
      </c>
    </row>
    <row r="21" spans="1:23" ht="15" customHeight="1" thickBot="1" x14ac:dyDescent="0.3">
      <c r="A21" s="153">
        <f>MAX($A$3:$A20)+1</f>
        <v>13</v>
      </c>
      <c r="B21" s="107" t="s">
        <v>109</v>
      </c>
      <c r="C21" s="107"/>
      <c r="D21" s="125" t="str">
        <f>"["&amp;A21&amp;"]"</f>
        <v>[13]</v>
      </c>
      <c r="E21" s="126">
        <f>(E16*E18)/1000</f>
        <v>0</v>
      </c>
      <c r="F21" s="126"/>
      <c r="G21" s="127">
        <f>(G16*G18)/1000</f>
        <v>15.271282694968738</v>
      </c>
      <c r="H21" s="128"/>
      <c r="I21" s="97">
        <f>SUM(D21:G21)</f>
        <v>15.271282694968738</v>
      </c>
      <c r="J21" s="122"/>
      <c r="K21" s="122"/>
      <c r="L21" s="117" t="str">
        <f>"Total Savings Requiring Transmission Upgrades ( ="&amp;N15&amp;" + "&amp;N20&amp;") (MW)"</f>
        <v>Total Savings Requiring Transmission Upgrades ( =[8] + [13]) (MW)</v>
      </c>
      <c r="M21" s="88"/>
      <c r="N21" s="118" t="str">
        <f t="shared" si="7"/>
        <v>[14]</v>
      </c>
      <c r="O21" s="78">
        <f>O15+O20</f>
        <v>145.10625702991243</v>
      </c>
      <c r="P21" s="78">
        <f>P15+P20</f>
        <v>1942.2292640593785</v>
      </c>
      <c r="Q21" s="78"/>
      <c r="S21" s="117" t="str">
        <f>"Total Savings Requiring Transmission Upgrades ( ="&amp;U15&amp;" + "&amp;U20&amp;") (MW)"</f>
        <v>Total Savings Requiring Transmission Upgrades ( =[8] + [13]) (MW)</v>
      </c>
      <c r="T21" s="88"/>
      <c r="U21" s="86" t="str">
        <f t="shared" si="8"/>
        <v>[14]</v>
      </c>
      <c r="V21" s="78">
        <f>V15+V20</f>
        <v>137.64265018472258</v>
      </c>
      <c r="W21" s="78">
        <f>W15+W20</f>
        <v>1701.6959857174049</v>
      </c>
    </row>
    <row r="22" spans="1:23" ht="15" customHeight="1" thickTop="1" x14ac:dyDescent="0.25">
      <c r="A22" s="153">
        <f>MAX($A$3:$A21)+1</f>
        <v>14</v>
      </c>
      <c r="D22" s="129"/>
      <c r="E22" s="40"/>
      <c r="F22" s="40"/>
      <c r="G22" s="40"/>
      <c r="H22" s="122"/>
      <c r="I22" s="122"/>
      <c r="J22" s="122"/>
      <c r="K22" s="122"/>
      <c r="L22" s="44" t="s">
        <v>107</v>
      </c>
      <c r="N22" s="118" t="str">
        <f t="shared" si="7"/>
        <v>[15]</v>
      </c>
      <c r="O22" s="96">
        <f>O21/O9</f>
        <v>2.5373641526106748E-3</v>
      </c>
      <c r="P22" s="96">
        <f>P21/P9</f>
        <v>2.2768749738690378E-2</v>
      </c>
      <c r="Q22" s="96"/>
      <c r="S22" s="44" t="s">
        <v>107</v>
      </c>
      <c r="U22" s="86" t="str">
        <f t="shared" si="8"/>
        <v>[15]</v>
      </c>
      <c r="V22" s="96">
        <f>V21/V9</f>
        <v>2.3060233040649667E-3</v>
      </c>
      <c r="W22" s="96">
        <f>W21/W9</f>
        <v>2.244122942037222E-2</v>
      </c>
    </row>
    <row r="23" spans="1:23" ht="15" customHeight="1" x14ac:dyDescent="0.25">
      <c r="A23" s="153">
        <f>MAX($A$3:$A22)+1</f>
        <v>15</v>
      </c>
      <c r="B23" s="130" t="s">
        <v>23</v>
      </c>
      <c r="D23" s="129"/>
      <c r="E23" s="40"/>
      <c r="F23" s="40"/>
      <c r="G23" s="40"/>
      <c r="H23" s="122"/>
      <c r="I23" s="122"/>
      <c r="J23" s="122"/>
      <c r="K23" s="122"/>
      <c r="L23" s="88" t="str">
        <f>"Total Savings w/Current Transmission (="&amp;N14&amp;" + "&amp;N19&amp;") (MW)"</f>
        <v>Total Savings w/Current Transmission (=[7] + [12]) (MW)</v>
      </c>
      <c r="M23" s="88"/>
      <c r="N23" s="118" t="str">
        <f>"["&amp;A25&amp;"]"</f>
        <v>[16]</v>
      </c>
      <c r="O23" s="78">
        <f>O14+O19</f>
        <v>1593.9158832293865</v>
      </c>
      <c r="P23" s="78">
        <f>P14+P19</f>
        <v>2664.5603636518472</v>
      </c>
      <c r="Q23" s="78"/>
      <c r="S23" s="88" t="str">
        <f>"Total Savings w/Current Transmission (="&amp;U14&amp;" + "&amp;U19&amp;") (MW)"</f>
        <v>Total Savings w/Current Transmission (=[7] + [12]) (MW)</v>
      </c>
      <c r="T23" s="88"/>
      <c r="U23" s="86" t="str">
        <f>"["&amp;A25&amp;"]"</f>
        <v>[16]</v>
      </c>
      <c r="V23" s="78">
        <f>V14+V19</f>
        <v>1656.622559015339</v>
      </c>
      <c r="W23" s="78">
        <f>W14+W19</f>
        <v>2388.3767903763278</v>
      </c>
    </row>
    <row r="24" spans="1:23" ht="15" customHeight="1" x14ac:dyDescent="0.25">
      <c r="B24" s="273" t="str">
        <f t="shared" ref="B24:B31" si="9">D8</f>
        <v>[1]</v>
      </c>
      <c r="C24" s="77" t="str">
        <f>"Based on PacifiCorp 2014 IRP and CAISO published reserve margins."</f>
        <v>Based on PacifiCorp 2014 IRP and CAISO published reserve margins.</v>
      </c>
      <c r="D24" s="129"/>
      <c r="E24" s="40"/>
      <c r="F24" s="40"/>
      <c r="G24" s="260"/>
      <c r="H24" s="122"/>
      <c r="I24" s="122"/>
      <c r="J24" s="122"/>
      <c r="K24" s="122"/>
      <c r="L24" s="44" t="s">
        <v>107</v>
      </c>
      <c r="N24" s="118" t="str">
        <f>"["&amp;A27&amp;"]"</f>
        <v>[17]</v>
      </c>
      <c r="O24" s="96">
        <f>O23/O9</f>
        <v>2.78716101370413E-2</v>
      </c>
      <c r="P24" s="96">
        <f>P23/P9</f>
        <v>3.1236635759890368E-2</v>
      </c>
      <c r="Q24" s="96"/>
      <c r="S24" s="44" t="s">
        <v>107</v>
      </c>
      <c r="U24" s="86" t="str">
        <f>"["&amp;A27&amp;"]"</f>
        <v>[17]</v>
      </c>
      <c r="V24" s="96">
        <f>V23/V9</f>
        <v>2.775455298195886E-2</v>
      </c>
      <c r="W24" s="96">
        <f>W23/W9</f>
        <v>3.1496878376034598E-2</v>
      </c>
    </row>
    <row r="25" spans="1:23" ht="30" x14ac:dyDescent="0.25">
      <c r="A25" s="153">
        <f>MAX($A$3:$A24)+1</f>
        <v>16</v>
      </c>
      <c r="B25" s="273" t="str">
        <f t="shared" si="9"/>
        <v>[2]</v>
      </c>
      <c r="C25" s="274" t="str">
        <f>"Forecast 2020 Non-Coincident Peak Loads. ISO from 2015 IEPR, equal to CEC 'Mid Baseline Case.' PacifiCorp from 2015 LAR Peak and Energy forecast, PACE + PACW coincident peak."</f>
        <v>Forecast 2020 Non-Coincident Peak Loads. ISO from 2015 IEPR, equal to CEC 'Mid Baseline Case.' PacifiCorp from 2015 LAR Peak and Energy forecast, PACE + PACW coincident peak.</v>
      </c>
      <c r="D25" s="275"/>
      <c r="E25" s="276"/>
      <c r="F25" s="276"/>
      <c r="G25" s="277"/>
      <c r="H25" s="272"/>
      <c r="I25" s="272"/>
      <c r="J25" s="122"/>
      <c r="K25" s="122"/>
      <c r="L25" s="43" t="s">
        <v>86</v>
      </c>
      <c r="N25" s="118" t="str">
        <f>"["&amp;A28&amp;"]"</f>
        <v>[18]</v>
      </c>
      <c r="O25" s="90">
        <v>75</v>
      </c>
      <c r="P25" s="90">
        <v>100</v>
      </c>
      <c r="Q25" s="90"/>
      <c r="S25" s="43" t="s">
        <v>86</v>
      </c>
      <c r="U25" s="86" t="str">
        <f>"["&amp;A28&amp;"]"</f>
        <v>[18]</v>
      </c>
      <c r="V25" s="90">
        <v>35</v>
      </c>
      <c r="W25" s="90">
        <v>35</v>
      </c>
    </row>
    <row r="26" spans="1:23" ht="15" customHeight="1" x14ac:dyDescent="0.25">
      <c r="B26" s="273" t="str">
        <f t="shared" si="9"/>
        <v>[3]</v>
      </c>
      <c r="C26" s="76" t="str">
        <f>"Median of annual coincidence factors calculated based on 4CP of hourly load profiles from 2006 to 2014."</f>
        <v>Median of annual coincidence factors calculated based on 4CP of hourly load profiles from 2006 to 2014.</v>
      </c>
      <c r="D26" s="129"/>
      <c r="E26" s="40"/>
      <c r="F26" s="40"/>
      <c r="G26" s="259"/>
      <c r="H26" s="122"/>
      <c r="I26" s="261"/>
      <c r="J26" s="122"/>
      <c r="K26" s="122"/>
      <c r="N26" s="118"/>
      <c r="U26" s="118"/>
    </row>
    <row r="27" spans="1:23" ht="15" customHeight="1" x14ac:dyDescent="0.25">
      <c r="A27" s="153">
        <f>MAX($A$3:$A26)+1</f>
        <v>17</v>
      </c>
      <c r="B27" s="273" t="str">
        <f t="shared" si="9"/>
        <v>[4]</v>
      </c>
      <c r="C27" s="76" t="str">
        <f>D9&amp;" * "&amp;D10</f>
        <v>[2] * [3]</v>
      </c>
      <c r="D27" s="129"/>
      <c r="E27" s="40"/>
      <c r="F27" s="40"/>
      <c r="G27" s="259"/>
      <c r="H27" s="122"/>
      <c r="I27" s="261"/>
      <c r="J27" s="122"/>
      <c r="K27" s="122"/>
      <c r="L27" s="81" t="s">
        <v>91</v>
      </c>
      <c r="M27" s="81"/>
      <c r="N27" s="118" t="str">
        <f>"["&amp;A30&amp;"]"</f>
        <v>[19]</v>
      </c>
      <c r="O27" s="92">
        <f>(O23*O25)/1000</f>
        <v>119.54369124220399</v>
      </c>
      <c r="P27" s="92">
        <f>(P23*P25)/1000</f>
        <v>266.45603636518467</v>
      </c>
      <c r="Q27" s="92"/>
      <c r="S27" s="81" t="s">
        <v>91</v>
      </c>
      <c r="T27" s="81"/>
      <c r="U27" s="118" t="str">
        <f>"["&amp;A30&amp;"]"</f>
        <v>[19]</v>
      </c>
      <c r="V27" s="92">
        <f>(V23*V25)/1000</f>
        <v>57.981789565536864</v>
      </c>
      <c r="W27" s="92">
        <f>(W23*W25)/1000</f>
        <v>83.593187663171463</v>
      </c>
    </row>
    <row r="28" spans="1:23" ht="15" customHeight="1" x14ac:dyDescent="0.25">
      <c r="A28" s="153">
        <f>MAX($A$3:$A27)+1</f>
        <v>18</v>
      </c>
      <c r="B28" s="273" t="str">
        <f t="shared" si="9"/>
        <v>[5]</v>
      </c>
      <c r="C28" s="76" t="str">
        <f>D8&amp;" * ("&amp;D9&amp;" - "&amp;D11&amp;")"</f>
        <v>[1] * ([2] - [4])</v>
      </c>
      <c r="D28" s="129"/>
      <c r="E28" s="40"/>
      <c r="F28" s="40"/>
      <c r="G28" s="259"/>
      <c r="H28" s="122"/>
      <c r="I28" s="261"/>
      <c r="L28" s="44" t="s">
        <v>105</v>
      </c>
      <c r="N28" s="118" t="str">
        <f>"["&amp;A31&amp;"]"</f>
        <v>[20]</v>
      </c>
      <c r="O28" s="131">
        <f>(O21*O25)/1000</f>
        <v>10.882969277243431</v>
      </c>
      <c r="P28" s="131">
        <f>(P21*P25)/1000</f>
        <v>194.22292640593784</v>
      </c>
      <c r="Q28" s="131"/>
      <c r="S28" s="44" t="s">
        <v>105</v>
      </c>
      <c r="U28" s="118" t="str">
        <f>"["&amp;A31&amp;"]"</f>
        <v>[20]</v>
      </c>
      <c r="V28" s="131">
        <f>(V21*V25)/1000</f>
        <v>4.817492756465291</v>
      </c>
      <c r="W28" s="131">
        <f>(W21*W25)/1000</f>
        <v>59.559359500109174</v>
      </c>
    </row>
    <row r="29" spans="1:23" ht="15" customHeight="1" thickBot="1" x14ac:dyDescent="0.3">
      <c r="B29" s="273" t="str">
        <f t="shared" si="9"/>
        <v>[6]</v>
      </c>
      <c r="C29" s="76" t="str">
        <f>"Contracted import capability for the ISO and PacifiCorp."</f>
        <v>Contracted import capability for the ISO and PacifiCorp.</v>
      </c>
      <c r="D29" s="129"/>
      <c r="E29" s="40"/>
      <c r="F29" s="40"/>
      <c r="G29" s="259"/>
      <c r="H29" s="122"/>
      <c r="I29" s="261"/>
      <c r="L29" s="89"/>
      <c r="M29" s="89"/>
      <c r="N29" s="91"/>
      <c r="O29" s="89"/>
      <c r="P29" s="107"/>
      <c r="Q29" s="133"/>
      <c r="S29" s="89"/>
      <c r="T29" s="89"/>
      <c r="U29" s="91"/>
      <c r="V29" s="89"/>
      <c r="W29" s="107"/>
    </row>
    <row r="30" spans="1:23" ht="15" customHeight="1" thickTop="1" x14ac:dyDescent="0.25">
      <c r="A30" s="153">
        <f>MAX($A$3:$A29)+1</f>
        <v>19</v>
      </c>
      <c r="B30" s="273" t="str">
        <f t="shared" si="9"/>
        <v>[7]</v>
      </c>
      <c r="C30" s="76" t="str">
        <f>"Minimum of "&amp;D12&amp;" and "&amp;D13</f>
        <v>Minimum of [5] and [6]</v>
      </c>
      <c r="D30" s="132"/>
      <c r="E30" s="133"/>
      <c r="F30" s="133"/>
      <c r="G30" s="259"/>
      <c r="H30" s="133"/>
      <c r="I30" s="261"/>
      <c r="L30" s="84"/>
      <c r="N30" s="134"/>
      <c r="O30" s="135"/>
      <c r="P30" s="135"/>
      <c r="Q30" s="135"/>
      <c r="S30" s="84"/>
      <c r="U30" s="134"/>
      <c r="V30" s="135"/>
      <c r="W30" s="135"/>
    </row>
    <row r="31" spans="1:23" x14ac:dyDescent="0.25">
      <c r="A31" s="153">
        <f>MAX($A$3:$A30)+1</f>
        <v>20</v>
      </c>
      <c r="B31" s="273" t="str">
        <f t="shared" si="9"/>
        <v>[8]</v>
      </c>
      <c r="C31" s="137" t="str">
        <f>D14&amp;" / "&amp;D9</f>
        <v>[7] / [2]</v>
      </c>
      <c r="G31" s="262"/>
      <c r="I31" s="261"/>
      <c r="L31" s="136" t="s">
        <v>23</v>
      </c>
      <c r="N31" s="134"/>
      <c r="O31" s="115"/>
      <c r="P31" s="115"/>
      <c r="Q31" s="115"/>
      <c r="S31" s="136" t="s">
        <v>23</v>
      </c>
      <c r="U31" s="134"/>
      <c r="V31" s="115"/>
      <c r="W31" s="115"/>
    </row>
    <row r="32" spans="1:23" x14ac:dyDescent="0.25">
      <c r="B32" s="273" t="str">
        <f>D16</f>
        <v>[9]</v>
      </c>
      <c r="C32" s="77" t="str">
        <f>D12&amp;" - "&amp;D14</f>
        <v>[5] - [7]</v>
      </c>
      <c r="G32" s="260"/>
      <c r="I32" s="261"/>
      <c r="L32" s="76" t="str">
        <f t="shared" ref="L32:L49" si="10">N8</f>
        <v>[1]</v>
      </c>
      <c r="M32" s="122" t="s">
        <v>92</v>
      </c>
      <c r="N32" s="265"/>
      <c r="O32" s="115"/>
      <c r="P32" s="115"/>
      <c r="Q32" s="115"/>
      <c r="S32" s="76" t="str">
        <f t="shared" ref="S32:S49" si="11">U8</f>
        <v>[1]</v>
      </c>
      <c r="T32" s="122" t="s">
        <v>92</v>
      </c>
      <c r="U32" s="269"/>
      <c r="V32" s="115"/>
      <c r="W32" s="115"/>
    </row>
    <row r="33" spans="2:23" x14ac:dyDescent="0.25">
      <c r="B33" s="273" t="str">
        <f>D17</f>
        <v>[10]</v>
      </c>
      <c r="C33" s="77" t="str">
        <f>D16&amp;" / "&amp;D9</f>
        <v>[9] / [2]</v>
      </c>
      <c r="G33" s="260"/>
      <c r="I33" s="261"/>
      <c r="L33" s="76" t="str">
        <f t="shared" si="10"/>
        <v>[2]</v>
      </c>
      <c r="M33" s="122" t="s">
        <v>146</v>
      </c>
      <c r="N33" s="265"/>
      <c r="O33" s="264"/>
      <c r="S33" s="76" t="str">
        <f t="shared" si="11"/>
        <v>[2]</v>
      </c>
      <c r="T33" s="122" t="s">
        <v>148</v>
      </c>
      <c r="U33" s="269"/>
      <c r="V33" s="268"/>
    </row>
    <row r="34" spans="2:23" ht="45" x14ac:dyDescent="0.25">
      <c r="B34" s="273" t="str">
        <f>D18</f>
        <v>[11]</v>
      </c>
      <c r="C34" s="270" t="s">
        <v>88</v>
      </c>
      <c r="D34" s="106"/>
      <c r="E34" s="106"/>
      <c r="F34" s="106"/>
      <c r="G34" s="271"/>
      <c r="H34" s="106"/>
      <c r="I34" s="272"/>
      <c r="L34" s="76" t="str">
        <f t="shared" si="10"/>
        <v>[3]</v>
      </c>
      <c r="M34" s="122" t="str">
        <f>N11&amp;" / "&amp;N9</f>
        <v>[4] / [2]</v>
      </c>
      <c r="N34" s="265"/>
      <c r="O34" s="264"/>
      <c r="S34" s="76" t="str">
        <f t="shared" si="11"/>
        <v>[3]</v>
      </c>
      <c r="T34" s="122" t="str">
        <f>U11&amp;" / "&amp;U9</f>
        <v>[4] / [2]</v>
      </c>
      <c r="U34" s="269"/>
      <c r="V34" s="268"/>
    </row>
    <row r="35" spans="2:23" x14ac:dyDescent="0.25">
      <c r="B35" s="273" t="str">
        <f>D20</f>
        <v>[12]</v>
      </c>
      <c r="C35" s="77" t="str">
        <f>D18&amp;" * "&amp;D14</f>
        <v>[11] * [7]</v>
      </c>
      <c r="G35" s="260"/>
      <c r="I35" s="261"/>
      <c r="L35" s="76" t="str">
        <f t="shared" si="10"/>
        <v>[4]</v>
      </c>
      <c r="M35" s="122" t="s">
        <v>147</v>
      </c>
      <c r="N35" s="265"/>
      <c r="O35" s="264"/>
      <c r="S35" s="76" t="str">
        <f t="shared" si="11"/>
        <v>[4]</v>
      </c>
      <c r="T35" s="122" t="s">
        <v>149</v>
      </c>
      <c r="U35" s="269"/>
      <c r="V35" s="268"/>
    </row>
    <row r="36" spans="2:23" x14ac:dyDescent="0.25">
      <c r="L36" s="76" t="str">
        <f t="shared" si="10"/>
        <v>[5]</v>
      </c>
      <c r="M36" s="122" t="str">
        <f>"Sum of potential savings from sharing within subregions [Approximately "&amp;N8&amp;" * ("&amp;N9&amp;" - "&amp;N11&amp;")]"</f>
        <v>Sum of potential savings from sharing within subregions [Approximately [1] * ([2] - [4])]</v>
      </c>
      <c r="N36" s="265"/>
      <c r="O36" s="264"/>
      <c r="S36" s="76" t="str">
        <f t="shared" si="11"/>
        <v>[5]</v>
      </c>
      <c r="T36" s="122" t="str">
        <f>"Sum of potential savings from sharing within subregions [Approximately "&amp;U8&amp;" * ("&amp;U9&amp;" - "&amp;U11&amp;")]"</f>
        <v>Sum of potential savings from sharing within subregions [Approximately [1] * ([2] - [4])]</v>
      </c>
      <c r="U36" s="269"/>
      <c r="V36" s="268"/>
    </row>
    <row r="37" spans="2:23" x14ac:dyDescent="0.25">
      <c r="B37" s="34"/>
      <c r="L37" s="76" t="str">
        <f t="shared" si="10"/>
        <v>[6]</v>
      </c>
      <c r="M37" s="122" t="s">
        <v>93</v>
      </c>
      <c r="N37" s="265"/>
      <c r="O37" s="264"/>
      <c r="S37" s="76" t="str">
        <f t="shared" si="11"/>
        <v>[6]</v>
      </c>
      <c r="T37" s="122" t="s">
        <v>93</v>
      </c>
      <c r="U37" s="269"/>
      <c r="V37" s="268"/>
    </row>
    <row r="38" spans="2:23" x14ac:dyDescent="0.25">
      <c r="B38" s="34"/>
      <c r="L38" s="76" t="str">
        <f t="shared" si="10"/>
        <v>[7]</v>
      </c>
      <c r="M38" s="122" t="s">
        <v>94</v>
      </c>
      <c r="N38" s="265"/>
      <c r="O38" s="264"/>
      <c r="S38" s="76" t="str">
        <f t="shared" si="11"/>
        <v>[7]</v>
      </c>
      <c r="T38" s="122" t="s">
        <v>94</v>
      </c>
      <c r="U38" s="269"/>
      <c r="V38" s="268"/>
    </row>
    <row r="39" spans="2:23" x14ac:dyDescent="0.25">
      <c r="B39" s="34"/>
      <c r="C39" s="122"/>
      <c r="L39" s="76" t="str">
        <f t="shared" si="10"/>
        <v>[8]</v>
      </c>
      <c r="M39" s="122" t="s">
        <v>95</v>
      </c>
      <c r="N39" s="265"/>
      <c r="O39" s="264"/>
      <c r="S39" s="76" t="str">
        <f t="shared" si="11"/>
        <v>[8]</v>
      </c>
      <c r="T39" s="122" t="s">
        <v>95</v>
      </c>
      <c r="U39" s="269"/>
      <c r="V39" s="268"/>
    </row>
    <row r="40" spans="2:23" x14ac:dyDescent="0.25">
      <c r="L40" s="76" t="str">
        <f t="shared" si="10"/>
        <v>[9]</v>
      </c>
      <c r="M40" s="44" t="str">
        <f>N17&amp;" / "&amp;N11</f>
        <v>[10] / [4]</v>
      </c>
      <c r="N40" s="263"/>
      <c r="O40" s="264"/>
      <c r="S40" s="76" t="str">
        <f t="shared" si="11"/>
        <v>[9]</v>
      </c>
      <c r="T40" s="44" t="str">
        <f>U17&amp;" / "&amp;U11</f>
        <v>[10] / [4]</v>
      </c>
      <c r="U40" s="269"/>
      <c r="V40" s="268"/>
    </row>
    <row r="41" spans="2:23" x14ac:dyDescent="0.25">
      <c r="L41" s="76" t="str">
        <f t="shared" si="10"/>
        <v>[10]</v>
      </c>
      <c r="M41" s="122" t="str">
        <f>"Sum of shares of the coincident peak [Approximately "&amp;N11&amp;" * "&amp;N16&amp;"]."</f>
        <v>Sum of shares of the coincident peak [Approximately [4] * [9]].</v>
      </c>
      <c r="N41" s="265"/>
      <c r="O41" s="264"/>
      <c r="S41" s="76" t="str">
        <f t="shared" si="11"/>
        <v>[10]</v>
      </c>
      <c r="T41" s="122" t="str">
        <f>"Sum of shares of the coincident peak [Approximately "&amp;U11&amp;" * "&amp;U16&amp;"]."</f>
        <v>Sum of shares of the coincident peak [Approximately [4] * [9]].</v>
      </c>
      <c r="U41" s="269"/>
      <c r="V41" s="268"/>
    </row>
    <row r="42" spans="2:23" ht="30" x14ac:dyDescent="0.25">
      <c r="C42" s="100"/>
      <c r="D42" s="100"/>
      <c r="E42" s="100"/>
      <c r="F42" s="100"/>
      <c r="G42" s="100"/>
      <c r="H42" s="100"/>
      <c r="I42" s="100"/>
      <c r="L42" s="76" t="str">
        <f t="shared" si="10"/>
        <v>[11]</v>
      </c>
      <c r="M42" s="278" t="str">
        <f>"Sum of potential savings from sharing across subregions [Approximately "&amp;N8&amp;" * ("&amp;N11&amp;" - "&amp;N17&amp;")]. California savings California subregion savings."</f>
        <v>Sum of potential savings from sharing across subregions [Approximately [1] * ([4] - [10])]. California savings California subregion savings.</v>
      </c>
      <c r="N42" s="272"/>
      <c r="O42" s="279"/>
      <c r="P42" s="106"/>
      <c r="S42" s="76" t="str">
        <f t="shared" si="11"/>
        <v>[11]</v>
      </c>
      <c r="T42" s="278" t="str">
        <f>"Sum of potential savings from sharing across subregions [Approximately "&amp;U8&amp;" * ("&amp;U11&amp;" - "&amp;U17&amp;")]. California savings California subregion savings."</f>
        <v>Sum of potential savings from sharing across subregions [Approximately [1] * ([4] - [10])]. California savings California subregion savings.</v>
      </c>
      <c r="U42" s="272"/>
      <c r="V42" s="279"/>
      <c r="W42" s="106"/>
    </row>
    <row r="43" spans="2:23" x14ac:dyDescent="0.25">
      <c r="L43" s="76" t="str">
        <f t="shared" si="10"/>
        <v>[12]</v>
      </c>
      <c r="M43" s="122" t="s">
        <v>96</v>
      </c>
      <c r="N43" s="265"/>
      <c r="O43" s="264"/>
      <c r="S43" s="76" t="str">
        <f t="shared" si="11"/>
        <v>[12]</v>
      </c>
      <c r="T43" s="122" t="s">
        <v>96</v>
      </c>
      <c r="U43" s="269"/>
      <c r="V43" s="268"/>
    </row>
    <row r="44" spans="2:23" x14ac:dyDescent="0.25">
      <c r="L44" s="76" t="str">
        <f t="shared" si="10"/>
        <v>[13]</v>
      </c>
      <c r="M44" s="122" t="s">
        <v>97</v>
      </c>
      <c r="N44" s="265"/>
      <c r="O44" s="264"/>
      <c r="S44" s="76" t="str">
        <f t="shared" si="11"/>
        <v>[13]</v>
      </c>
      <c r="T44" s="122" t="s">
        <v>97</v>
      </c>
      <c r="U44" s="269"/>
      <c r="V44" s="268"/>
    </row>
    <row r="45" spans="2:23" x14ac:dyDescent="0.25">
      <c r="L45" s="76" t="str">
        <f t="shared" si="10"/>
        <v>[14]</v>
      </c>
      <c r="M45" s="122" t="str">
        <f>N15&amp;" + "&amp;N20</f>
        <v>[8] + [13]</v>
      </c>
      <c r="N45" s="265"/>
      <c r="O45" s="264"/>
      <c r="S45" s="76" t="str">
        <f t="shared" si="11"/>
        <v>[14]</v>
      </c>
      <c r="T45" s="122" t="str">
        <f>U15&amp;" + "&amp;U20</f>
        <v>[8] + [13]</v>
      </c>
      <c r="U45" s="269"/>
      <c r="V45" s="268"/>
    </row>
    <row r="46" spans="2:23" x14ac:dyDescent="0.25">
      <c r="L46" s="76" t="str">
        <f t="shared" si="10"/>
        <v>[15]</v>
      </c>
      <c r="M46" s="44" t="str">
        <f>N21&amp;" / "&amp;N9</f>
        <v>[14] / [2]</v>
      </c>
      <c r="N46" s="263"/>
      <c r="O46" s="264"/>
      <c r="S46" s="76" t="str">
        <f t="shared" si="11"/>
        <v>[15]</v>
      </c>
      <c r="T46" s="44" t="str">
        <f>U21&amp;" / "&amp;U9</f>
        <v>[14] / [2]</v>
      </c>
      <c r="U46" s="269"/>
      <c r="V46" s="268"/>
    </row>
    <row r="47" spans="2:23" x14ac:dyDescent="0.25">
      <c r="L47" s="76" t="str">
        <f t="shared" si="10"/>
        <v>[16]</v>
      </c>
      <c r="M47" s="44" t="str">
        <f>N14&amp;" + "&amp;N19</f>
        <v>[7] + [12]</v>
      </c>
      <c r="N47" s="263"/>
      <c r="O47" s="264"/>
      <c r="S47" s="76" t="str">
        <f t="shared" si="11"/>
        <v>[16]</v>
      </c>
      <c r="T47" s="44" t="str">
        <f>U14&amp;" + "&amp;U19</f>
        <v>[7] + [12]</v>
      </c>
      <c r="U47" s="269"/>
      <c r="V47" s="268"/>
    </row>
    <row r="48" spans="2:23" x14ac:dyDescent="0.25">
      <c r="L48" s="76" t="str">
        <f t="shared" si="10"/>
        <v>[17]</v>
      </c>
      <c r="M48" s="44" t="str">
        <f>N23&amp;" / "&amp;N9</f>
        <v>[16] / [2]</v>
      </c>
      <c r="N48" s="263"/>
      <c r="O48" s="264"/>
      <c r="S48" s="76" t="str">
        <f t="shared" si="11"/>
        <v>[17]</v>
      </c>
      <c r="T48" s="44" t="str">
        <f>U23&amp;" / "&amp;U9</f>
        <v>[16] / [2]</v>
      </c>
      <c r="U48" s="269"/>
      <c r="V48" s="268"/>
    </row>
    <row r="49" spans="12:22" x14ac:dyDescent="0.25">
      <c r="L49" s="76" t="str">
        <f t="shared" si="10"/>
        <v>[18]</v>
      </c>
      <c r="M49" s="122" t="str">
        <f>"Assumed avoided cost of $"&amp;O25&amp;"/kW-yr in California and $"&amp;P25&amp;"/kW-yr in Rest of Region"</f>
        <v>Assumed avoided cost of $75/kW-yr in California and $100/kW-yr in Rest of Region</v>
      </c>
      <c r="N49" s="265"/>
      <c r="O49" s="264"/>
      <c r="S49" s="76" t="str">
        <f t="shared" si="11"/>
        <v>[18]</v>
      </c>
      <c r="T49" s="122" t="str">
        <f>"Assumed avoided cost of $"&amp;V25&amp;"/kW-yr in California and $"&amp;W25&amp;"/kW-yr in Rest of Region"</f>
        <v>Assumed avoided cost of $35/kW-yr in California and $35/kW-yr in Rest of Region</v>
      </c>
      <c r="U49" s="269"/>
      <c r="V49" s="268"/>
    </row>
    <row r="50" spans="12:22" x14ac:dyDescent="0.25">
      <c r="L50" s="76" t="str">
        <f>N27</f>
        <v>[19]</v>
      </c>
      <c r="M50" s="122" t="str">
        <f>N23&amp;" * "&amp;N25</f>
        <v>[16] * [18]</v>
      </c>
      <c r="N50" s="265"/>
      <c r="O50" s="264"/>
      <c r="S50" s="76" t="str">
        <f>U27</f>
        <v>[19]</v>
      </c>
      <c r="T50" s="122" t="str">
        <f>U23&amp;" * "&amp;U25</f>
        <v>[16] * [18]</v>
      </c>
      <c r="U50" s="269"/>
      <c r="V50" s="268"/>
    </row>
    <row r="51" spans="12:22" x14ac:dyDescent="0.25">
      <c r="L51" s="76" t="str">
        <f>N28</f>
        <v>[20]</v>
      </c>
      <c r="M51" s="44" t="str">
        <f>N21&amp;" * "&amp;N25</f>
        <v>[14] * [18]</v>
      </c>
      <c r="N51" s="263"/>
      <c r="O51" s="264"/>
      <c r="S51" s="76" t="str">
        <f>U28</f>
        <v>[20]</v>
      </c>
      <c r="T51" s="44" t="str">
        <f>U21&amp;" * "&amp;U25</f>
        <v>[14] * [18]</v>
      </c>
      <c r="U51" s="269"/>
      <c r="V51" s="268"/>
    </row>
  </sheetData>
  <printOptions horizontalCentered="1" verticalCentered="1"/>
  <pageMargins left="0.7" right="0.7" top="0.75" bottom="0.75" header="0.3" footer="0.3"/>
  <pageSetup scale="67" orientation="landscape" horizontalDpi="1200" verticalDpi="1200" r:id="rId1"/>
  <headerFooter scaleWithDoc="0">
    <oddFooter>&amp;R&amp;F&amp;", "&amp;"  ,Regular"&amp;A&amp;", "&amp;" ,Regular"&amp;P</oddFooter>
  </headerFooter>
  <colBreaks count="2" manualBreakCount="2">
    <brk id="10" min="2" max="50" man="1"/>
    <brk id="17" min="2" max="50" man="1"/>
  </colBreaks>
  <ignoredErrors>
    <ignoredError sqref="G16 E16 O15:P15 P23"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G68"/>
  <sheetViews>
    <sheetView view="pageBreakPreview" zoomScale="60" zoomScaleNormal="80" workbookViewId="0"/>
  </sheetViews>
  <sheetFormatPr defaultRowHeight="15.75" outlineLevelRow="1" outlineLevelCol="1" x14ac:dyDescent="0.25"/>
  <cols>
    <col min="1" max="1" width="38.42578125" style="8" customWidth="1" outlineLevel="1"/>
    <col min="2" max="2" width="40.85546875" style="5" customWidth="1"/>
    <col min="3" max="3" width="11.42578125" style="5" bestFit="1" customWidth="1"/>
    <col min="4" max="4" width="33.42578125" style="5" bestFit="1" customWidth="1"/>
    <col min="5" max="5" width="25" style="5" bestFit="1" customWidth="1"/>
    <col min="6" max="6" width="24.42578125" style="5" bestFit="1" customWidth="1"/>
    <col min="7" max="7" width="18.85546875" style="233" bestFit="1" customWidth="1"/>
    <col min="8" max="16384" width="9.140625" style="5"/>
  </cols>
  <sheetData>
    <row r="1" spans="1:7" s="8" customFormat="1" outlineLevel="1" x14ac:dyDescent="0.25">
      <c r="D1" s="8">
        <v>1</v>
      </c>
      <c r="E1" s="8">
        <f t="shared" ref="E1:G1" si="0">D1+1</f>
        <v>2</v>
      </c>
      <c r="F1" s="8">
        <f t="shared" si="0"/>
        <v>3</v>
      </c>
      <c r="G1" s="28">
        <f t="shared" si="0"/>
        <v>4</v>
      </c>
    </row>
    <row r="3" spans="1:7" ht="18.75" x14ac:dyDescent="0.3">
      <c r="B3" s="3" t="s">
        <v>50</v>
      </c>
      <c r="C3" s="10"/>
      <c r="D3" s="10"/>
      <c r="E3" s="10"/>
      <c r="F3" s="10"/>
      <c r="G3" s="157"/>
    </row>
    <row r="4" spans="1:7" ht="6" customHeight="1" thickBot="1" x14ac:dyDescent="0.3">
      <c r="B4" s="6"/>
      <c r="C4" s="6"/>
      <c r="D4" s="6"/>
      <c r="E4" s="6"/>
      <c r="F4" s="6"/>
      <c r="G4" s="187"/>
    </row>
    <row r="5" spans="1:7" ht="6" customHeight="1" thickTop="1" x14ac:dyDescent="0.25"/>
    <row r="6" spans="1:7" x14ac:dyDescent="0.25">
      <c r="B6" s="10"/>
      <c r="C6" s="9" t="s">
        <v>34</v>
      </c>
      <c r="D6" s="9" t="s">
        <v>60</v>
      </c>
      <c r="E6" s="9" t="s">
        <v>32</v>
      </c>
      <c r="F6" s="9" t="s">
        <v>24</v>
      </c>
      <c r="G6" s="162" t="s">
        <v>25</v>
      </c>
    </row>
    <row r="7" spans="1:7" x14ac:dyDescent="0.25">
      <c r="B7" s="9"/>
      <c r="C7" s="9"/>
      <c r="D7" s="9" t="s">
        <v>22</v>
      </c>
      <c r="E7" s="9" t="s">
        <v>22</v>
      </c>
      <c r="F7" s="9" t="s">
        <v>22</v>
      </c>
    </row>
    <row r="8" spans="1:7" x14ac:dyDescent="0.25">
      <c r="B8" s="9"/>
      <c r="C8" s="9"/>
      <c r="D8" s="9" t="str">
        <f>"["&amp;D$1&amp;"]"</f>
        <v>[1]</v>
      </c>
      <c r="E8" s="9" t="str">
        <f t="shared" ref="E8:G8" si="1">"["&amp;E$1&amp;"]"</f>
        <v>[2]</v>
      </c>
      <c r="F8" s="9" t="str">
        <f t="shared" si="1"/>
        <v>[3]</v>
      </c>
      <c r="G8" s="162" t="str">
        <f t="shared" si="1"/>
        <v>[4]</v>
      </c>
    </row>
    <row r="9" spans="1:7" ht="6" customHeight="1" x14ac:dyDescent="0.25">
      <c r="B9" s="7"/>
      <c r="C9" s="7"/>
      <c r="D9" s="7"/>
      <c r="E9" s="7"/>
      <c r="F9" s="7"/>
      <c r="G9" s="234"/>
    </row>
    <row r="10" spans="1:7" ht="6" customHeight="1" x14ac:dyDescent="0.25"/>
    <row r="11" spans="1:7" x14ac:dyDescent="0.25">
      <c r="A11" s="8" t="s">
        <v>26</v>
      </c>
      <c r="B11" s="1" t="s">
        <v>18</v>
      </c>
      <c r="C11" s="1" t="s">
        <v>37</v>
      </c>
      <c r="D11" s="14">
        <v>44883.25</v>
      </c>
      <c r="E11" s="15">
        <v>53326.11</v>
      </c>
      <c r="F11" s="16">
        <v>44669</v>
      </c>
      <c r="G11" s="176">
        <f>IFERROR(F11/D11,"")</f>
        <v>0.99522650431954018</v>
      </c>
    </row>
    <row r="12" spans="1:7" x14ac:dyDescent="0.25">
      <c r="A12" s="8" t="s">
        <v>27</v>
      </c>
      <c r="B12" s="1" t="s">
        <v>78</v>
      </c>
      <c r="C12" s="1" t="s">
        <v>36</v>
      </c>
      <c r="D12" s="14">
        <v>9390.2574999999997</v>
      </c>
      <c r="E12" s="15">
        <v>53326.11</v>
      </c>
      <c r="F12" s="16">
        <v>8657.1099999999988</v>
      </c>
      <c r="G12" s="176">
        <f t="shared" ref="G12" si="2">IFERROR(F12/D12,"")</f>
        <v>0.92192466500519277</v>
      </c>
    </row>
    <row r="13" spans="1:7" ht="6" customHeight="1" thickBot="1" x14ac:dyDescent="0.3">
      <c r="B13" s="6"/>
      <c r="C13" s="6"/>
      <c r="D13" s="6"/>
      <c r="E13" s="6"/>
      <c r="F13" s="6"/>
      <c r="G13" s="187"/>
    </row>
    <row r="14" spans="1:7" ht="6" customHeight="1" thickTop="1" x14ac:dyDescent="0.25"/>
    <row r="17" spans="1:7" ht="18.75" x14ac:dyDescent="0.3">
      <c r="B17" s="3" t="s">
        <v>51</v>
      </c>
      <c r="C17" s="3"/>
      <c r="D17" s="4"/>
      <c r="E17" s="4"/>
      <c r="F17" s="4"/>
      <c r="G17" s="171"/>
    </row>
    <row r="18" spans="1:7" ht="6" customHeight="1" thickBot="1" x14ac:dyDescent="0.3">
      <c r="B18" s="6"/>
      <c r="C18" s="6"/>
      <c r="D18" s="6"/>
      <c r="E18" s="6"/>
      <c r="F18" s="6"/>
      <c r="G18" s="187"/>
    </row>
    <row r="19" spans="1:7" ht="6" customHeight="1" thickTop="1" x14ac:dyDescent="0.25"/>
    <row r="20" spans="1:7" x14ac:dyDescent="0.25">
      <c r="B20" s="10"/>
      <c r="C20" s="9" t="s">
        <v>34</v>
      </c>
      <c r="D20" s="9" t="s">
        <v>60</v>
      </c>
      <c r="E20" s="9" t="s">
        <v>32</v>
      </c>
      <c r="F20" s="9" t="s">
        <v>24</v>
      </c>
      <c r="G20" s="162" t="s">
        <v>25</v>
      </c>
    </row>
    <row r="21" spans="1:7" x14ac:dyDescent="0.25">
      <c r="B21" s="9"/>
      <c r="C21" s="9"/>
      <c r="D21" s="9" t="s">
        <v>22</v>
      </c>
      <c r="E21" s="9" t="s">
        <v>22</v>
      </c>
      <c r="F21" s="9" t="s">
        <v>22</v>
      </c>
    </row>
    <row r="22" spans="1:7" x14ac:dyDescent="0.25">
      <c r="B22" s="9"/>
      <c r="C22" s="9"/>
      <c r="D22" s="9" t="str">
        <f>"["&amp;D$1&amp;"]"</f>
        <v>[1]</v>
      </c>
      <c r="E22" s="9" t="str">
        <f t="shared" ref="E22:G22" si="3">"["&amp;E$1&amp;"]"</f>
        <v>[2]</v>
      </c>
      <c r="F22" s="9" t="str">
        <f t="shared" si="3"/>
        <v>[3]</v>
      </c>
      <c r="G22" s="162" t="str">
        <f t="shared" si="3"/>
        <v>[4]</v>
      </c>
    </row>
    <row r="23" spans="1:7" ht="6" customHeight="1" x14ac:dyDescent="0.25">
      <c r="B23" s="7"/>
      <c r="C23" s="7"/>
      <c r="D23" s="7"/>
      <c r="E23" s="7"/>
      <c r="F23" s="7"/>
      <c r="G23" s="234"/>
    </row>
    <row r="24" spans="1:7" ht="6" customHeight="1" x14ac:dyDescent="0.25"/>
    <row r="25" spans="1:7" x14ac:dyDescent="0.25">
      <c r="A25" s="8" t="s">
        <v>26</v>
      </c>
      <c r="B25" s="20" t="s">
        <v>18</v>
      </c>
      <c r="C25" s="20" t="s">
        <v>37</v>
      </c>
      <c r="D25" s="21">
        <v>44883.25</v>
      </c>
      <c r="E25" s="22">
        <v>50438.3825</v>
      </c>
      <c r="F25" s="23">
        <v>44883.25</v>
      </c>
      <c r="G25" s="176">
        <f t="shared" ref="G25:G47" si="4">IFERROR(F25/D25,"")</f>
        <v>1</v>
      </c>
    </row>
    <row r="26" spans="1:7" x14ac:dyDescent="0.25">
      <c r="A26" s="8" t="s">
        <v>26</v>
      </c>
      <c r="B26" s="20" t="s">
        <v>4</v>
      </c>
      <c r="C26" s="20" t="s">
        <v>37</v>
      </c>
      <c r="D26" s="21">
        <v>5816.6350000000002</v>
      </c>
      <c r="E26" s="22">
        <v>50438.3825</v>
      </c>
      <c r="F26" s="23">
        <v>5555.1325000000006</v>
      </c>
      <c r="G26" s="176">
        <f t="shared" si="4"/>
        <v>0.95504230538790902</v>
      </c>
    </row>
    <row r="27" spans="1:7" x14ac:dyDescent="0.25">
      <c r="A27" s="8" t="s">
        <v>27</v>
      </c>
      <c r="B27" s="20" t="s">
        <v>1</v>
      </c>
      <c r="C27" s="20" t="s">
        <v>36</v>
      </c>
      <c r="D27" s="21">
        <v>2134.75</v>
      </c>
      <c r="E27" s="22">
        <v>34230.527499999997</v>
      </c>
      <c r="F27" s="23">
        <v>1834.5</v>
      </c>
      <c r="G27" s="176">
        <f t="shared" si="4"/>
        <v>0.85935121208572429</v>
      </c>
    </row>
    <row r="28" spans="1:7" x14ac:dyDescent="0.25">
      <c r="A28" s="8" t="s">
        <v>27</v>
      </c>
      <c r="B28" s="20" t="s">
        <v>17</v>
      </c>
      <c r="C28" s="20" t="s">
        <v>36</v>
      </c>
      <c r="D28" s="21">
        <v>2799.5</v>
      </c>
      <c r="E28" s="22">
        <v>34230.527499999997</v>
      </c>
      <c r="F28" s="23">
        <v>2324</v>
      </c>
      <c r="G28" s="176">
        <f t="shared" si="4"/>
        <v>0.83014824075727811</v>
      </c>
    </row>
    <row r="29" spans="1:7" x14ac:dyDescent="0.25">
      <c r="A29" s="8" t="s">
        <v>27</v>
      </c>
      <c r="B29" s="20" t="s">
        <v>2</v>
      </c>
      <c r="C29" s="20" t="s">
        <v>36</v>
      </c>
      <c r="D29" s="21">
        <v>3293</v>
      </c>
      <c r="E29" s="22">
        <v>34230.527499999997</v>
      </c>
      <c r="F29" s="23">
        <v>3150.25</v>
      </c>
      <c r="G29" s="176">
        <f t="shared" si="4"/>
        <v>0.95665047069541453</v>
      </c>
    </row>
    <row r="30" spans="1:7" x14ac:dyDescent="0.25">
      <c r="A30" s="8" t="s">
        <v>27</v>
      </c>
      <c r="B30" s="20" t="s">
        <v>5</v>
      </c>
      <c r="C30" s="20" t="s">
        <v>36</v>
      </c>
      <c r="D30" s="21">
        <v>5917.25</v>
      </c>
      <c r="E30" s="22">
        <v>34230.527499999997</v>
      </c>
      <c r="F30" s="23">
        <v>5917.25</v>
      </c>
      <c r="G30" s="176">
        <f t="shared" si="4"/>
        <v>1</v>
      </c>
    </row>
    <row r="31" spans="1:7" x14ac:dyDescent="0.25">
      <c r="A31" s="8" t="s">
        <v>27</v>
      </c>
      <c r="B31" s="20" t="s">
        <v>20</v>
      </c>
      <c r="C31" s="20" t="s">
        <v>36</v>
      </c>
      <c r="D31" s="21">
        <v>1666.5</v>
      </c>
      <c r="E31" s="22">
        <v>34230.527499999997</v>
      </c>
      <c r="F31" s="23">
        <v>1542.25</v>
      </c>
      <c r="G31" s="176">
        <f t="shared" si="4"/>
        <v>0.9254425442544254</v>
      </c>
    </row>
    <row r="32" spans="1:7" x14ac:dyDescent="0.25">
      <c r="A32" s="8" t="s">
        <v>27</v>
      </c>
      <c r="B32" s="20" t="s">
        <v>78</v>
      </c>
      <c r="C32" s="20" t="s">
        <v>36</v>
      </c>
      <c r="D32" s="21">
        <v>9390.2574999999997</v>
      </c>
      <c r="E32" s="22">
        <v>34230.527499999997</v>
      </c>
      <c r="F32" s="23">
        <v>9348.0275000000001</v>
      </c>
      <c r="G32" s="176">
        <f t="shared" si="4"/>
        <v>0.99550278573297912</v>
      </c>
    </row>
    <row r="33" spans="1:7" x14ac:dyDescent="0.25">
      <c r="A33" s="8" t="s">
        <v>27</v>
      </c>
      <c r="B33" s="20" t="s">
        <v>21</v>
      </c>
      <c r="C33" s="20" t="s">
        <v>36</v>
      </c>
      <c r="D33" s="21">
        <v>3563.25</v>
      </c>
      <c r="E33" s="22">
        <v>34230.527499999997</v>
      </c>
      <c r="F33" s="23">
        <v>3280.5</v>
      </c>
      <c r="G33" s="176">
        <f t="shared" si="4"/>
        <v>0.92064828457166914</v>
      </c>
    </row>
    <row r="34" spans="1:7" x14ac:dyDescent="0.25">
      <c r="A34" s="8" t="s">
        <v>27</v>
      </c>
      <c r="B34" s="20" t="s">
        <v>6</v>
      </c>
      <c r="C34" s="20" t="s">
        <v>36</v>
      </c>
      <c r="D34" s="21">
        <v>626.25</v>
      </c>
      <c r="E34" s="22">
        <v>34230.527499999997</v>
      </c>
      <c r="F34" s="23">
        <v>468</v>
      </c>
      <c r="G34" s="176">
        <f t="shared" si="4"/>
        <v>0.74730538922155687</v>
      </c>
    </row>
    <row r="35" spans="1:7" x14ac:dyDescent="0.25">
      <c r="A35" s="8" t="s">
        <v>27</v>
      </c>
      <c r="B35" s="20" t="s">
        <v>7</v>
      </c>
      <c r="C35" s="20" t="s">
        <v>36</v>
      </c>
      <c r="D35" s="21">
        <v>338</v>
      </c>
      <c r="E35" s="22">
        <v>34230.527499999997</v>
      </c>
      <c r="F35" s="23">
        <v>205.5</v>
      </c>
      <c r="G35" s="176">
        <f t="shared" si="4"/>
        <v>0.60798816568047342</v>
      </c>
    </row>
    <row r="36" spans="1:7" x14ac:dyDescent="0.25">
      <c r="A36" s="8" t="s">
        <v>27</v>
      </c>
      <c r="B36" s="20" t="s">
        <v>8</v>
      </c>
      <c r="C36" s="20" t="s">
        <v>36</v>
      </c>
      <c r="D36" s="21">
        <v>662.5</v>
      </c>
      <c r="E36" s="22">
        <v>34230.527499999997</v>
      </c>
      <c r="F36" s="23">
        <v>656.25</v>
      </c>
      <c r="G36" s="176">
        <f t="shared" si="4"/>
        <v>0.99056603773584906</v>
      </c>
    </row>
    <row r="37" spans="1:7" x14ac:dyDescent="0.25">
      <c r="A37" s="8" t="s">
        <v>27</v>
      </c>
      <c r="B37" s="20" t="s">
        <v>11</v>
      </c>
      <c r="C37" s="20" t="s">
        <v>36</v>
      </c>
      <c r="D37" s="21">
        <v>4559.5</v>
      </c>
      <c r="E37" s="22">
        <v>34230.527499999997</v>
      </c>
      <c r="F37" s="23">
        <v>3130.75</v>
      </c>
      <c r="G37" s="176">
        <f t="shared" si="4"/>
        <v>0.68664327228862809</v>
      </c>
    </row>
    <row r="38" spans="1:7" x14ac:dyDescent="0.25">
      <c r="A38" s="8" t="s">
        <v>27</v>
      </c>
      <c r="B38" s="20" t="s">
        <v>13</v>
      </c>
      <c r="C38" s="20" t="s">
        <v>36</v>
      </c>
      <c r="D38" s="21">
        <v>1737.5</v>
      </c>
      <c r="E38" s="22">
        <v>34230.527499999997</v>
      </c>
      <c r="F38" s="23">
        <v>1255</v>
      </c>
      <c r="G38" s="176">
        <f t="shared" si="4"/>
        <v>0.72230215827338129</v>
      </c>
    </row>
    <row r="39" spans="1:7" x14ac:dyDescent="0.25">
      <c r="A39" s="8" t="s">
        <v>27</v>
      </c>
      <c r="B39" s="20" t="s">
        <v>14</v>
      </c>
      <c r="C39" s="20" t="s">
        <v>36</v>
      </c>
      <c r="D39" s="21">
        <v>925.25</v>
      </c>
      <c r="E39" s="22">
        <v>34230.527499999997</v>
      </c>
      <c r="F39" s="23">
        <v>592.25</v>
      </c>
      <c r="G39" s="176">
        <f t="shared" si="4"/>
        <v>0.64009727100783576</v>
      </c>
    </row>
    <row r="40" spans="1:7" x14ac:dyDescent="0.25">
      <c r="A40" s="8" t="s">
        <v>27</v>
      </c>
      <c r="B40" s="20" t="s">
        <v>16</v>
      </c>
      <c r="C40" s="20" t="s">
        <v>36</v>
      </c>
      <c r="D40" s="21">
        <v>574.75</v>
      </c>
      <c r="E40" s="22">
        <v>34230.527499999997</v>
      </c>
      <c r="F40" s="23">
        <v>526</v>
      </c>
      <c r="G40" s="176">
        <f t="shared" si="4"/>
        <v>0.91518051326663763</v>
      </c>
    </row>
    <row r="41" spans="1:7" x14ac:dyDescent="0.25">
      <c r="A41" s="8" t="s">
        <v>28</v>
      </c>
      <c r="B41" s="20" t="s">
        <v>9</v>
      </c>
      <c r="C41" s="20" t="s">
        <v>38</v>
      </c>
      <c r="D41" s="21">
        <v>7764.75</v>
      </c>
      <c r="E41" s="22">
        <v>7764.75</v>
      </c>
      <c r="F41" s="23">
        <v>7764.75</v>
      </c>
      <c r="G41" s="176">
        <f t="shared" si="4"/>
        <v>1</v>
      </c>
    </row>
    <row r="42" spans="1:7" x14ac:dyDescent="0.25">
      <c r="A42" s="8" t="s">
        <v>29</v>
      </c>
      <c r="B42" s="20" t="s">
        <v>0</v>
      </c>
      <c r="C42" s="20" t="s">
        <v>35</v>
      </c>
      <c r="D42" s="21">
        <v>7165.5</v>
      </c>
      <c r="E42" s="22">
        <v>21051.5</v>
      </c>
      <c r="F42" s="23">
        <v>7165.5</v>
      </c>
      <c r="G42" s="176">
        <f t="shared" si="4"/>
        <v>1</v>
      </c>
    </row>
    <row r="43" spans="1:7" x14ac:dyDescent="0.25">
      <c r="A43" s="8" t="s">
        <v>29</v>
      </c>
      <c r="B43" s="20" t="s">
        <v>19</v>
      </c>
      <c r="C43" s="20" t="s">
        <v>35</v>
      </c>
      <c r="D43" s="21">
        <v>1695</v>
      </c>
      <c r="E43" s="22">
        <v>21051.5</v>
      </c>
      <c r="F43" s="23">
        <v>1599.75</v>
      </c>
      <c r="G43" s="176">
        <f t="shared" si="4"/>
        <v>0.94380530973451326</v>
      </c>
    </row>
    <row r="44" spans="1:7" x14ac:dyDescent="0.25">
      <c r="A44" s="8" t="s">
        <v>29</v>
      </c>
      <c r="B44" s="20" t="s">
        <v>3</v>
      </c>
      <c r="C44" s="20" t="s">
        <v>35</v>
      </c>
      <c r="D44" s="21">
        <v>987.25</v>
      </c>
      <c r="E44" s="22">
        <v>21051.5</v>
      </c>
      <c r="F44" s="23">
        <v>983.75</v>
      </c>
      <c r="G44" s="176">
        <f t="shared" si="4"/>
        <v>0.99645479868321096</v>
      </c>
    </row>
    <row r="45" spans="1:7" x14ac:dyDescent="0.25">
      <c r="A45" s="8" t="s">
        <v>29</v>
      </c>
      <c r="B45" s="20" t="s">
        <v>10</v>
      </c>
      <c r="C45" s="20" t="s">
        <v>35</v>
      </c>
      <c r="D45" s="21">
        <v>1982</v>
      </c>
      <c r="E45" s="22">
        <v>21051.5</v>
      </c>
      <c r="F45" s="23">
        <v>1777.5</v>
      </c>
      <c r="G45" s="176">
        <f t="shared" si="4"/>
        <v>0.89682139253279514</v>
      </c>
    </row>
    <row r="46" spans="1:7" x14ac:dyDescent="0.25">
      <c r="A46" s="8" t="s">
        <v>29</v>
      </c>
      <c r="B46" s="20" t="s">
        <v>12</v>
      </c>
      <c r="C46" s="20" t="s">
        <v>35</v>
      </c>
      <c r="D46" s="21">
        <v>6560.75</v>
      </c>
      <c r="E46" s="22">
        <v>21051.5</v>
      </c>
      <c r="F46" s="23">
        <v>6544.5</v>
      </c>
      <c r="G46" s="176">
        <f t="shared" si="4"/>
        <v>0.99752314903021755</v>
      </c>
    </row>
    <row r="47" spans="1:7" x14ac:dyDescent="0.25">
      <c r="A47" s="8" t="s">
        <v>29</v>
      </c>
      <c r="B47" s="20" t="s">
        <v>15</v>
      </c>
      <c r="C47" s="20" t="s">
        <v>35</v>
      </c>
      <c r="D47" s="21">
        <v>3022</v>
      </c>
      <c r="E47" s="22">
        <v>21051.5</v>
      </c>
      <c r="F47" s="23">
        <v>2980.5</v>
      </c>
      <c r="G47" s="176">
        <f t="shared" si="4"/>
        <v>0.98626737260092656</v>
      </c>
    </row>
    <row r="48" spans="1:7" ht="6" customHeight="1" x14ac:dyDescent="0.25">
      <c r="A48" s="11"/>
      <c r="B48" s="24"/>
      <c r="C48" s="24"/>
      <c r="D48" s="25"/>
      <c r="E48" s="26"/>
      <c r="F48" s="27"/>
      <c r="G48" s="169"/>
    </row>
    <row r="49" spans="1:7" ht="6" customHeight="1" x14ac:dyDescent="0.25">
      <c r="B49" s="20"/>
      <c r="C49" s="20"/>
      <c r="D49" s="21"/>
      <c r="E49" s="22"/>
      <c r="F49" s="23"/>
      <c r="G49" s="176"/>
    </row>
    <row r="50" spans="1:7" x14ac:dyDescent="0.25">
      <c r="A50" s="8" t="s">
        <v>26</v>
      </c>
      <c r="B50" s="20" t="s">
        <v>37</v>
      </c>
      <c r="C50" s="20" t="s">
        <v>48</v>
      </c>
      <c r="D50" s="21">
        <v>50438.3825</v>
      </c>
      <c r="E50" s="22">
        <v>109188.17750000001</v>
      </c>
      <c r="F50" s="23">
        <v>47240.427500000005</v>
      </c>
      <c r="G50" s="176">
        <f>IFERROR(F50/D50,"")</f>
        <v>0.93659679709197663</v>
      </c>
    </row>
    <row r="51" spans="1:7" x14ac:dyDescent="0.25">
      <c r="A51" s="8" t="s">
        <v>27</v>
      </c>
      <c r="B51" s="20" t="s">
        <v>36</v>
      </c>
      <c r="C51" s="20" t="s">
        <v>48</v>
      </c>
      <c r="D51" s="21">
        <v>34230.527499999997</v>
      </c>
      <c r="E51" s="22">
        <v>109188.17750000001</v>
      </c>
      <c r="F51" s="23">
        <v>34020.5</v>
      </c>
      <c r="G51" s="176">
        <f t="shared" ref="G51:G53" si="5">IFERROR(F51/D51,"")</f>
        <v>0.99386432183962115</v>
      </c>
    </row>
    <row r="52" spans="1:7" x14ac:dyDescent="0.25">
      <c r="A52" s="8" t="s">
        <v>28</v>
      </c>
      <c r="B52" s="20" t="s">
        <v>38</v>
      </c>
      <c r="C52" s="20" t="s">
        <v>48</v>
      </c>
      <c r="D52" s="21">
        <v>7764.75</v>
      </c>
      <c r="E52" s="22">
        <v>109188.17750000001</v>
      </c>
      <c r="F52" s="23">
        <v>7040</v>
      </c>
      <c r="G52" s="176">
        <f t="shared" si="5"/>
        <v>0.90666151518078497</v>
      </c>
    </row>
    <row r="53" spans="1:7" x14ac:dyDescent="0.25">
      <c r="A53" s="8" t="s">
        <v>29</v>
      </c>
      <c r="B53" s="20" t="s">
        <v>35</v>
      </c>
      <c r="C53" s="20" t="s">
        <v>48</v>
      </c>
      <c r="D53" s="21">
        <v>21051.5</v>
      </c>
      <c r="E53" s="22">
        <v>109188.17750000001</v>
      </c>
      <c r="F53" s="23">
        <v>20887.25</v>
      </c>
      <c r="G53" s="176">
        <f t="shared" si="5"/>
        <v>0.99219770562667742</v>
      </c>
    </row>
    <row r="54" spans="1:7" ht="6" customHeight="1" thickBot="1" x14ac:dyDescent="0.3">
      <c r="B54" s="6"/>
      <c r="C54" s="2"/>
      <c r="D54" s="6"/>
      <c r="E54" s="6"/>
      <c r="F54" s="6"/>
      <c r="G54" s="187"/>
    </row>
    <row r="55" spans="1:7" ht="6" customHeight="1" thickTop="1" x14ac:dyDescent="0.25">
      <c r="C55" s="1"/>
    </row>
    <row r="56" spans="1:7" x14ac:dyDescent="0.25">
      <c r="B56" s="188" t="s">
        <v>152</v>
      </c>
    </row>
    <row r="57" spans="1:7" x14ac:dyDescent="0.25">
      <c r="B57" s="35"/>
      <c r="D57" s="12"/>
      <c r="F57" s="12"/>
      <c r="G57" s="174"/>
    </row>
    <row r="58" spans="1:7" x14ac:dyDescent="0.25">
      <c r="B58" s="35"/>
      <c r="F58" s="12"/>
    </row>
    <row r="59" spans="1:7" x14ac:dyDescent="0.25">
      <c r="B59" s="35"/>
    </row>
    <row r="60" spans="1:7" x14ac:dyDescent="0.25">
      <c r="B60" s="35"/>
    </row>
    <row r="61" spans="1:7" x14ac:dyDescent="0.25">
      <c r="B61" s="35"/>
      <c r="G61" s="174"/>
    </row>
    <row r="62" spans="1:7" x14ac:dyDescent="0.25">
      <c r="B62" s="35"/>
    </row>
    <row r="63" spans="1:7" x14ac:dyDescent="0.25">
      <c r="B63" s="35"/>
    </row>
    <row r="64" spans="1:7" x14ac:dyDescent="0.25">
      <c r="B64" s="35"/>
    </row>
    <row r="68" ht="6" customHeight="1" x14ac:dyDescent="0.25"/>
  </sheetData>
  <sortState ref="B11:J37">
    <sortCondition ref="C11:C37"/>
    <sortCondition ref="B11:B37"/>
  </sortState>
  <printOptions horizontalCentered="1" verticalCentered="1"/>
  <pageMargins left="0.7" right="0.7" top="0.75" bottom="0.75" header="0.3" footer="0.3"/>
  <pageSetup scale="73" orientation="landscape" horizontalDpi="1200" verticalDpi="1200" r:id="rId1"/>
  <headerFooter scaleWithDoc="0">
    <oddFooter>&amp;R&amp;F&amp;A&amp;P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G68"/>
  <sheetViews>
    <sheetView view="pageBreakPreview" zoomScale="60" zoomScaleNormal="80" workbookViewId="0"/>
  </sheetViews>
  <sheetFormatPr defaultRowHeight="15.75" outlineLevelRow="1" outlineLevelCol="1" x14ac:dyDescent="0.25"/>
  <cols>
    <col min="1" max="1" width="38.42578125" style="8" customWidth="1" outlineLevel="1"/>
    <col min="2" max="2" width="40.85546875" style="5" customWidth="1"/>
    <col min="3" max="3" width="11.42578125" style="5" bestFit="1" customWidth="1"/>
    <col min="4" max="4" width="33.42578125" style="5" bestFit="1" customWidth="1"/>
    <col min="5" max="5" width="25" style="5" bestFit="1" customWidth="1"/>
    <col min="6" max="6" width="24.42578125" style="5" bestFit="1" customWidth="1"/>
    <col min="7" max="7" width="18.85546875" style="233" bestFit="1" customWidth="1"/>
    <col min="8" max="16384" width="9.140625" style="5"/>
  </cols>
  <sheetData>
    <row r="1" spans="1:7" s="8" customFormat="1" outlineLevel="1" x14ac:dyDescent="0.25">
      <c r="D1" s="8">
        <v>1</v>
      </c>
      <c r="E1" s="8">
        <f t="shared" ref="E1:G1" si="0">D1+1</f>
        <v>2</v>
      </c>
      <c r="F1" s="8">
        <f t="shared" si="0"/>
        <v>3</v>
      </c>
      <c r="G1" s="28">
        <f t="shared" si="0"/>
        <v>4</v>
      </c>
    </row>
    <row r="3" spans="1:7" ht="18.75" x14ac:dyDescent="0.3">
      <c r="B3" s="3" t="s">
        <v>50</v>
      </c>
      <c r="C3" s="10"/>
      <c r="D3" s="10"/>
      <c r="E3" s="10"/>
      <c r="F3" s="10"/>
      <c r="G3" s="157"/>
    </row>
    <row r="4" spans="1:7" ht="6" customHeight="1" thickBot="1" x14ac:dyDescent="0.3">
      <c r="B4" s="6"/>
      <c r="C4" s="6"/>
      <c r="D4" s="6"/>
      <c r="E4" s="6"/>
      <c r="F4" s="6"/>
      <c r="G4" s="187"/>
    </row>
    <row r="5" spans="1:7" ht="6" customHeight="1" thickTop="1" x14ac:dyDescent="0.25"/>
    <row r="6" spans="1:7" x14ac:dyDescent="0.25">
      <c r="B6" s="10"/>
      <c r="C6" s="9" t="s">
        <v>34</v>
      </c>
      <c r="D6" s="9" t="s">
        <v>59</v>
      </c>
      <c r="E6" s="9" t="s">
        <v>32</v>
      </c>
      <c r="F6" s="9" t="s">
        <v>24</v>
      </c>
      <c r="G6" s="162" t="s">
        <v>25</v>
      </c>
    </row>
    <row r="7" spans="1:7" x14ac:dyDescent="0.25">
      <c r="B7" s="9"/>
      <c r="C7" s="9"/>
      <c r="D7" s="9" t="s">
        <v>22</v>
      </c>
      <c r="E7" s="9" t="s">
        <v>22</v>
      </c>
      <c r="F7" s="9" t="s">
        <v>22</v>
      </c>
    </row>
    <row r="8" spans="1:7" x14ac:dyDescent="0.25">
      <c r="B8" s="9"/>
      <c r="C8" s="9"/>
      <c r="D8" s="9" t="str">
        <f>"["&amp;D$1&amp;"]"</f>
        <v>[1]</v>
      </c>
      <c r="E8" s="9" t="str">
        <f t="shared" ref="E8:G8" si="1">"["&amp;E$1&amp;"]"</f>
        <v>[2]</v>
      </c>
      <c r="F8" s="9" t="str">
        <f t="shared" si="1"/>
        <v>[3]</v>
      </c>
      <c r="G8" s="162" t="str">
        <f t="shared" si="1"/>
        <v>[4]</v>
      </c>
    </row>
    <row r="9" spans="1:7" ht="6" customHeight="1" x14ac:dyDescent="0.25">
      <c r="B9" s="7"/>
      <c r="C9" s="7"/>
      <c r="D9" s="7"/>
      <c r="E9" s="7"/>
      <c r="F9" s="7"/>
      <c r="G9" s="234"/>
    </row>
    <row r="10" spans="1:7" ht="6" customHeight="1" x14ac:dyDescent="0.25"/>
    <row r="11" spans="1:7" x14ac:dyDescent="0.25">
      <c r="A11" s="8" t="s">
        <v>26</v>
      </c>
      <c r="B11" s="1" t="s">
        <v>18</v>
      </c>
      <c r="C11" s="1" t="s">
        <v>37</v>
      </c>
      <c r="D11" s="14">
        <v>46860</v>
      </c>
      <c r="E11" s="15">
        <v>55720.2575</v>
      </c>
      <c r="F11" s="16">
        <v>46700.25</v>
      </c>
      <c r="G11" s="176">
        <f>IFERROR(F11/D11,"")</f>
        <v>0.99659090909090908</v>
      </c>
    </row>
    <row r="12" spans="1:7" x14ac:dyDescent="0.25">
      <c r="A12" s="8" t="s">
        <v>27</v>
      </c>
      <c r="B12" s="1" t="s">
        <v>78</v>
      </c>
      <c r="C12" s="1" t="s">
        <v>36</v>
      </c>
      <c r="D12" s="14">
        <v>9405.0275000000001</v>
      </c>
      <c r="E12" s="15">
        <v>55720.2575</v>
      </c>
      <c r="F12" s="16">
        <v>9020.0074999999997</v>
      </c>
      <c r="G12" s="176">
        <f t="shared" ref="G12" si="2">IFERROR(F12/D12,"")</f>
        <v>0.95906232065775454</v>
      </c>
    </row>
    <row r="13" spans="1:7" ht="6" customHeight="1" thickBot="1" x14ac:dyDescent="0.3">
      <c r="B13" s="6"/>
      <c r="C13" s="6"/>
      <c r="D13" s="6"/>
      <c r="E13" s="6"/>
      <c r="F13" s="6"/>
      <c r="G13" s="187"/>
    </row>
    <row r="14" spans="1:7" ht="6" customHeight="1" thickTop="1" x14ac:dyDescent="0.25"/>
    <row r="17" spans="1:7" ht="18.75" x14ac:dyDescent="0.3">
      <c r="B17" s="3" t="s">
        <v>51</v>
      </c>
      <c r="C17" s="3"/>
      <c r="D17" s="4"/>
      <c r="E17" s="4"/>
      <c r="F17" s="4"/>
      <c r="G17" s="171"/>
    </row>
    <row r="18" spans="1:7" ht="6" customHeight="1" thickBot="1" x14ac:dyDescent="0.3">
      <c r="B18" s="6"/>
      <c r="C18" s="6"/>
      <c r="D18" s="6"/>
      <c r="E18" s="6"/>
      <c r="F18" s="6"/>
      <c r="G18" s="187"/>
    </row>
    <row r="19" spans="1:7" ht="6" customHeight="1" thickTop="1" x14ac:dyDescent="0.25"/>
    <row r="20" spans="1:7" x14ac:dyDescent="0.25">
      <c r="B20" s="10"/>
      <c r="C20" s="9" t="s">
        <v>34</v>
      </c>
      <c r="D20" s="9" t="s">
        <v>59</v>
      </c>
      <c r="E20" s="9" t="s">
        <v>32</v>
      </c>
      <c r="F20" s="9" t="s">
        <v>24</v>
      </c>
      <c r="G20" s="162" t="s">
        <v>25</v>
      </c>
    </row>
    <row r="21" spans="1:7" x14ac:dyDescent="0.25">
      <c r="B21" s="9"/>
      <c r="C21" s="9"/>
      <c r="D21" s="9" t="s">
        <v>22</v>
      </c>
      <c r="E21" s="9" t="s">
        <v>22</v>
      </c>
      <c r="F21" s="9" t="s">
        <v>22</v>
      </c>
    </row>
    <row r="22" spans="1:7" x14ac:dyDescent="0.25">
      <c r="B22" s="9"/>
      <c r="C22" s="9"/>
      <c r="D22" s="9" t="str">
        <f>"["&amp;D$1&amp;"]"</f>
        <v>[1]</v>
      </c>
      <c r="E22" s="9" t="str">
        <f t="shared" ref="E22:G22" si="3">"["&amp;E$1&amp;"]"</f>
        <v>[2]</v>
      </c>
      <c r="F22" s="9" t="str">
        <f t="shared" si="3"/>
        <v>[3]</v>
      </c>
      <c r="G22" s="162" t="str">
        <f t="shared" si="3"/>
        <v>[4]</v>
      </c>
    </row>
    <row r="23" spans="1:7" ht="6" customHeight="1" x14ac:dyDescent="0.25">
      <c r="B23" s="7"/>
      <c r="C23" s="7"/>
      <c r="D23" s="7"/>
      <c r="E23" s="7"/>
      <c r="F23" s="7"/>
      <c r="G23" s="234"/>
    </row>
    <row r="24" spans="1:7" ht="6" customHeight="1" x14ac:dyDescent="0.25"/>
    <row r="25" spans="1:7" x14ac:dyDescent="0.25">
      <c r="A25" s="8" t="s">
        <v>26</v>
      </c>
      <c r="B25" s="20" t="s">
        <v>18</v>
      </c>
      <c r="C25" s="20" t="s">
        <v>37</v>
      </c>
      <c r="D25" s="21">
        <v>46860</v>
      </c>
      <c r="E25" s="22">
        <v>52422.75</v>
      </c>
      <c r="F25" s="23">
        <v>46860</v>
      </c>
      <c r="G25" s="176">
        <f t="shared" ref="G25:G47" si="4">IFERROR(F25/D25,"")</f>
        <v>1</v>
      </c>
    </row>
    <row r="26" spans="1:7" x14ac:dyDescent="0.25">
      <c r="A26" s="8" t="s">
        <v>26</v>
      </c>
      <c r="B26" s="20" t="s">
        <v>4</v>
      </c>
      <c r="C26" s="20" t="s">
        <v>37</v>
      </c>
      <c r="D26" s="21">
        <v>6057.25</v>
      </c>
      <c r="E26" s="22">
        <v>52422.75</v>
      </c>
      <c r="F26" s="23">
        <v>5562.75</v>
      </c>
      <c r="G26" s="176">
        <f t="shared" si="4"/>
        <v>0.9183622931198151</v>
      </c>
    </row>
    <row r="27" spans="1:7" x14ac:dyDescent="0.25">
      <c r="A27" s="8" t="s">
        <v>27</v>
      </c>
      <c r="B27" s="20" t="s">
        <v>1</v>
      </c>
      <c r="C27" s="20" t="s">
        <v>36</v>
      </c>
      <c r="D27" s="21">
        <v>2170</v>
      </c>
      <c r="E27" s="22">
        <v>34013.7425</v>
      </c>
      <c r="F27" s="23">
        <v>1800.5</v>
      </c>
      <c r="G27" s="176">
        <f t="shared" si="4"/>
        <v>0.82972350230414749</v>
      </c>
    </row>
    <row r="28" spans="1:7" x14ac:dyDescent="0.25">
      <c r="A28" s="8" t="s">
        <v>27</v>
      </c>
      <c r="B28" s="20" t="s">
        <v>17</v>
      </c>
      <c r="C28" s="20" t="s">
        <v>36</v>
      </c>
      <c r="D28" s="21">
        <v>2931.75</v>
      </c>
      <c r="E28" s="22">
        <v>34013.7425</v>
      </c>
      <c r="F28" s="23">
        <v>2554</v>
      </c>
      <c r="G28" s="176">
        <f t="shared" si="4"/>
        <v>0.87115204229555732</v>
      </c>
    </row>
    <row r="29" spans="1:7" x14ac:dyDescent="0.25">
      <c r="A29" s="8" t="s">
        <v>27</v>
      </c>
      <c r="B29" s="20" t="s">
        <v>2</v>
      </c>
      <c r="C29" s="20" t="s">
        <v>36</v>
      </c>
      <c r="D29" s="21">
        <v>3226.25</v>
      </c>
      <c r="E29" s="22">
        <v>34013.7425</v>
      </c>
      <c r="F29" s="23">
        <v>3018.5</v>
      </c>
      <c r="G29" s="176">
        <f t="shared" si="4"/>
        <v>0.93560635412630766</v>
      </c>
    </row>
    <row r="30" spans="1:7" x14ac:dyDescent="0.25">
      <c r="A30" s="8" t="s">
        <v>27</v>
      </c>
      <c r="B30" s="20" t="s">
        <v>5</v>
      </c>
      <c r="C30" s="20" t="s">
        <v>36</v>
      </c>
      <c r="D30" s="21">
        <v>6027.75</v>
      </c>
      <c r="E30" s="22">
        <v>34013.7425</v>
      </c>
      <c r="F30" s="23">
        <v>5621</v>
      </c>
      <c r="G30" s="176">
        <f t="shared" si="4"/>
        <v>0.93252042636141186</v>
      </c>
    </row>
    <row r="31" spans="1:7" x14ac:dyDescent="0.25">
      <c r="A31" s="8" t="s">
        <v>27</v>
      </c>
      <c r="B31" s="20" t="s">
        <v>20</v>
      </c>
      <c r="C31" s="20" t="s">
        <v>36</v>
      </c>
      <c r="D31" s="21">
        <v>1691</v>
      </c>
      <c r="E31" s="22">
        <v>34013.7425</v>
      </c>
      <c r="F31" s="23">
        <v>1452.5</v>
      </c>
      <c r="G31" s="176">
        <f t="shared" si="4"/>
        <v>0.85895919574216439</v>
      </c>
    </row>
    <row r="32" spans="1:7" x14ac:dyDescent="0.25">
      <c r="A32" s="8" t="s">
        <v>27</v>
      </c>
      <c r="B32" s="20" t="s">
        <v>78</v>
      </c>
      <c r="C32" s="20" t="s">
        <v>36</v>
      </c>
      <c r="D32" s="21">
        <v>9405.0275000000001</v>
      </c>
      <c r="E32" s="22">
        <v>34013.7425</v>
      </c>
      <c r="F32" s="23">
        <v>9264.2425000000003</v>
      </c>
      <c r="G32" s="176">
        <f t="shared" si="4"/>
        <v>0.98503087843177495</v>
      </c>
    </row>
    <row r="33" spans="1:7" x14ac:dyDescent="0.25">
      <c r="A33" s="8" t="s">
        <v>27</v>
      </c>
      <c r="B33" s="20" t="s">
        <v>21</v>
      </c>
      <c r="C33" s="20" t="s">
        <v>36</v>
      </c>
      <c r="D33" s="21">
        <v>3601.75</v>
      </c>
      <c r="E33" s="22">
        <v>34013.7425</v>
      </c>
      <c r="F33" s="23">
        <v>3405.25</v>
      </c>
      <c r="G33" s="176">
        <f t="shared" si="4"/>
        <v>0.94544318733948773</v>
      </c>
    </row>
    <row r="34" spans="1:7" x14ac:dyDescent="0.25">
      <c r="A34" s="8" t="s">
        <v>27</v>
      </c>
      <c r="B34" s="20" t="s">
        <v>6</v>
      </c>
      <c r="C34" s="20" t="s">
        <v>36</v>
      </c>
      <c r="D34" s="21">
        <v>585</v>
      </c>
      <c r="E34" s="22">
        <v>34013.7425</v>
      </c>
      <c r="F34" s="23">
        <v>388.75</v>
      </c>
      <c r="G34" s="176">
        <f t="shared" si="4"/>
        <v>0.6645299145299145</v>
      </c>
    </row>
    <row r="35" spans="1:7" x14ac:dyDescent="0.25">
      <c r="A35" s="8" t="s">
        <v>27</v>
      </c>
      <c r="B35" s="20" t="s">
        <v>7</v>
      </c>
      <c r="C35" s="20" t="s">
        <v>36</v>
      </c>
      <c r="D35" s="21">
        <v>352.5</v>
      </c>
      <c r="E35" s="22">
        <v>34013.7425</v>
      </c>
      <c r="F35" s="23">
        <v>206.25</v>
      </c>
      <c r="G35" s="176">
        <f t="shared" si="4"/>
        <v>0.58510638297872342</v>
      </c>
    </row>
    <row r="36" spans="1:7" x14ac:dyDescent="0.25">
      <c r="A36" s="8" t="s">
        <v>27</v>
      </c>
      <c r="B36" s="20" t="s">
        <v>8</v>
      </c>
      <c r="C36" s="20" t="s">
        <v>36</v>
      </c>
      <c r="D36" s="21">
        <v>661.25</v>
      </c>
      <c r="E36" s="22">
        <v>34013.7425</v>
      </c>
      <c r="F36" s="23">
        <v>635</v>
      </c>
      <c r="G36" s="176">
        <f t="shared" si="4"/>
        <v>0.96030245746691867</v>
      </c>
    </row>
    <row r="37" spans="1:7" x14ac:dyDescent="0.25">
      <c r="A37" s="8" t="s">
        <v>27</v>
      </c>
      <c r="B37" s="20" t="s">
        <v>11</v>
      </c>
      <c r="C37" s="20" t="s">
        <v>36</v>
      </c>
      <c r="D37" s="21">
        <v>4766.25</v>
      </c>
      <c r="E37" s="22">
        <v>34013.7425</v>
      </c>
      <c r="F37" s="23">
        <v>3251.5</v>
      </c>
      <c r="G37" s="176">
        <f t="shared" si="4"/>
        <v>0.68219249934434834</v>
      </c>
    </row>
    <row r="38" spans="1:7" x14ac:dyDescent="0.25">
      <c r="A38" s="8" t="s">
        <v>27</v>
      </c>
      <c r="B38" s="20" t="s">
        <v>13</v>
      </c>
      <c r="C38" s="20" t="s">
        <v>36</v>
      </c>
      <c r="D38" s="21">
        <v>1817.5</v>
      </c>
      <c r="E38" s="22">
        <v>34013.7425</v>
      </c>
      <c r="F38" s="23">
        <v>1287.5</v>
      </c>
      <c r="G38" s="176">
        <f t="shared" si="4"/>
        <v>0.70839064649243466</v>
      </c>
    </row>
    <row r="39" spans="1:7" x14ac:dyDescent="0.25">
      <c r="A39" s="8" t="s">
        <v>27</v>
      </c>
      <c r="B39" s="20" t="s">
        <v>14</v>
      </c>
      <c r="C39" s="20" t="s">
        <v>36</v>
      </c>
      <c r="D39" s="21">
        <v>979.25</v>
      </c>
      <c r="E39" s="22">
        <v>34013.7425</v>
      </c>
      <c r="F39" s="23">
        <v>596</v>
      </c>
      <c r="G39" s="176">
        <f t="shared" si="4"/>
        <v>0.60862905284656621</v>
      </c>
    </row>
    <row r="40" spans="1:7" x14ac:dyDescent="0.25">
      <c r="A40" s="8" t="s">
        <v>27</v>
      </c>
      <c r="B40" s="20" t="s">
        <v>16</v>
      </c>
      <c r="C40" s="20" t="s">
        <v>36</v>
      </c>
      <c r="D40" s="21">
        <v>578.75</v>
      </c>
      <c r="E40" s="22">
        <v>34013.7425</v>
      </c>
      <c r="F40" s="23">
        <v>532.75</v>
      </c>
      <c r="G40" s="176">
        <f t="shared" si="4"/>
        <v>0.92051835853131747</v>
      </c>
    </row>
    <row r="41" spans="1:7" x14ac:dyDescent="0.25">
      <c r="A41" s="8" t="s">
        <v>28</v>
      </c>
      <c r="B41" s="20" t="s">
        <v>9</v>
      </c>
      <c r="C41" s="20" t="s">
        <v>38</v>
      </c>
      <c r="D41" s="21">
        <v>7539.75</v>
      </c>
      <c r="E41" s="22">
        <v>7539.75</v>
      </c>
      <c r="F41" s="23">
        <v>7539.75</v>
      </c>
      <c r="G41" s="176">
        <f t="shared" si="4"/>
        <v>1</v>
      </c>
    </row>
    <row r="42" spans="1:7" x14ac:dyDescent="0.25">
      <c r="A42" s="8" t="s">
        <v>29</v>
      </c>
      <c r="B42" s="20" t="s">
        <v>0</v>
      </c>
      <c r="C42" s="20" t="s">
        <v>35</v>
      </c>
      <c r="D42" s="21">
        <v>6996</v>
      </c>
      <c r="E42" s="22">
        <v>20699</v>
      </c>
      <c r="F42" s="23">
        <v>6926.5</v>
      </c>
      <c r="G42" s="176">
        <f t="shared" si="4"/>
        <v>0.99006575185820467</v>
      </c>
    </row>
    <row r="43" spans="1:7" x14ac:dyDescent="0.25">
      <c r="A43" s="8" t="s">
        <v>29</v>
      </c>
      <c r="B43" s="20" t="s">
        <v>19</v>
      </c>
      <c r="C43" s="20" t="s">
        <v>35</v>
      </c>
      <c r="D43" s="21">
        <v>1611.75</v>
      </c>
      <c r="E43" s="22">
        <v>20699</v>
      </c>
      <c r="F43" s="23">
        <v>1507.75</v>
      </c>
      <c r="G43" s="176">
        <f t="shared" si="4"/>
        <v>0.93547386381262598</v>
      </c>
    </row>
    <row r="44" spans="1:7" x14ac:dyDescent="0.25">
      <c r="A44" s="8" t="s">
        <v>29</v>
      </c>
      <c r="B44" s="20" t="s">
        <v>3</v>
      </c>
      <c r="C44" s="20" t="s">
        <v>35</v>
      </c>
      <c r="D44" s="21">
        <v>991</v>
      </c>
      <c r="E44" s="22">
        <v>20699</v>
      </c>
      <c r="F44" s="23">
        <v>890.5</v>
      </c>
      <c r="G44" s="176">
        <f t="shared" si="4"/>
        <v>0.89858728557013123</v>
      </c>
    </row>
    <row r="45" spans="1:7" x14ac:dyDescent="0.25">
      <c r="A45" s="8" t="s">
        <v>29</v>
      </c>
      <c r="B45" s="20" t="s">
        <v>10</v>
      </c>
      <c r="C45" s="20" t="s">
        <v>35</v>
      </c>
      <c r="D45" s="21">
        <v>1982</v>
      </c>
      <c r="E45" s="22">
        <v>20699</v>
      </c>
      <c r="F45" s="23">
        <v>1942.25</v>
      </c>
      <c r="G45" s="176">
        <f t="shared" si="4"/>
        <v>0.97994450050454085</v>
      </c>
    </row>
    <row r="46" spans="1:7" x14ac:dyDescent="0.25">
      <c r="A46" s="8" t="s">
        <v>29</v>
      </c>
      <c r="B46" s="20" t="s">
        <v>12</v>
      </c>
      <c r="C46" s="20" t="s">
        <v>35</v>
      </c>
      <c r="D46" s="21">
        <v>6478</v>
      </c>
      <c r="E46" s="22">
        <v>20699</v>
      </c>
      <c r="F46" s="23">
        <v>6425.5</v>
      </c>
      <c r="G46" s="176">
        <f t="shared" si="4"/>
        <v>0.99189564680456932</v>
      </c>
    </row>
    <row r="47" spans="1:7" x14ac:dyDescent="0.25">
      <c r="A47" s="8" t="s">
        <v>29</v>
      </c>
      <c r="B47" s="20" t="s">
        <v>15</v>
      </c>
      <c r="C47" s="20" t="s">
        <v>35</v>
      </c>
      <c r="D47" s="21">
        <v>3020.25</v>
      </c>
      <c r="E47" s="22">
        <v>20699</v>
      </c>
      <c r="F47" s="23">
        <v>3006.5</v>
      </c>
      <c r="G47" s="176">
        <f t="shared" si="4"/>
        <v>0.99544739673868055</v>
      </c>
    </row>
    <row r="48" spans="1:7" ht="6" customHeight="1" x14ac:dyDescent="0.25">
      <c r="A48" s="11"/>
      <c r="B48" s="24"/>
      <c r="C48" s="24"/>
      <c r="D48" s="25"/>
      <c r="E48" s="26"/>
      <c r="F48" s="27"/>
      <c r="G48" s="169"/>
    </row>
    <row r="49" spans="1:7" ht="6" customHeight="1" x14ac:dyDescent="0.25">
      <c r="B49" s="20"/>
      <c r="C49" s="20"/>
      <c r="D49" s="21"/>
      <c r="E49" s="22"/>
      <c r="F49" s="23"/>
      <c r="G49" s="176"/>
    </row>
    <row r="50" spans="1:7" x14ac:dyDescent="0.25">
      <c r="A50" s="8" t="s">
        <v>26</v>
      </c>
      <c r="B50" s="20" t="s">
        <v>37</v>
      </c>
      <c r="C50" s="20" t="s">
        <v>48</v>
      </c>
      <c r="D50" s="21">
        <v>52422.75</v>
      </c>
      <c r="E50" s="22">
        <v>111463.12</v>
      </c>
      <c r="F50" s="23">
        <v>51272.25</v>
      </c>
      <c r="G50" s="176">
        <f>IFERROR(F50/D50,"")</f>
        <v>0.97805342146300989</v>
      </c>
    </row>
    <row r="51" spans="1:7" x14ac:dyDescent="0.25">
      <c r="A51" s="8" t="s">
        <v>27</v>
      </c>
      <c r="B51" s="20" t="s">
        <v>36</v>
      </c>
      <c r="C51" s="20" t="s">
        <v>48</v>
      </c>
      <c r="D51" s="21">
        <v>34013.7425</v>
      </c>
      <c r="E51" s="22">
        <v>111463.12</v>
      </c>
      <c r="F51" s="23">
        <v>33709.620000000003</v>
      </c>
      <c r="G51" s="176">
        <f t="shared" ref="G51:G53" si="5">IFERROR(F51/D51,"")</f>
        <v>0.99105883452842636</v>
      </c>
    </row>
    <row r="52" spans="1:7" x14ac:dyDescent="0.25">
      <c r="A52" s="8" t="s">
        <v>28</v>
      </c>
      <c r="B52" s="20" t="s">
        <v>38</v>
      </c>
      <c r="C52" s="20" t="s">
        <v>48</v>
      </c>
      <c r="D52" s="21">
        <v>7539.75</v>
      </c>
      <c r="E52" s="22">
        <v>111463.12</v>
      </c>
      <c r="F52" s="23">
        <v>7012.5</v>
      </c>
      <c r="G52" s="176">
        <f t="shared" si="5"/>
        <v>0.93007062568387544</v>
      </c>
    </row>
    <row r="53" spans="1:7" x14ac:dyDescent="0.25">
      <c r="A53" s="8" t="s">
        <v>29</v>
      </c>
      <c r="B53" s="20" t="s">
        <v>35</v>
      </c>
      <c r="C53" s="20" t="s">
        <v>48</v>
      </c>
      <c r="D53" s="21">
        <v>20699</v>
      </c>
      <c r="E53" s="22">
        <v>111463.12</v>
      </c>
      <c r="F53" s="23">
        <v>19468.75</v>
      </c>
      <c r="G53" s="176">
        <f t="shared" si="5"/>
        <v>0.9405647615826852</v>
      </c>
    </row>
    <row r="54" spans="1:7" ht="6" customHeight="1" thickBot="1" x14ac:dyDescent="0.3">
      <c r="B54" s="6"/>
      <c r="C54" s="2"/>
      <c r="D54" s="6"/>
      <c r="E54" s="6"/>
      <c r="F54" s="6"/>
      <c r="G54" s="187"/>
    </row>
    <row r="55" spans="1:7" ht="6" customHeight="1" thickTop="1" x14ac:dyDescent="0.25">
      <c r="C55" s="1"/>
    </row>
    <row r="56" spans="1:7" x14ac:dyDescent="0.25">
      <c r="B56" s="188" t="s">
        <v>152</v>
      </c>
    </row>
    <row r="57" spans="1:7" x14ac:dyDescent="0.25">
      <c r="B57" s="35"/>
      <c r="D57" s="12"/>
      <c r="F57" s="12"/>
      <c r="G57" s="174"/>
    </row>
    <row r="58" spans="1:7" x14ac:dyDescent="0.25">
      <c r="B58" s="35"/>
      <c r="F58" s="12"/>
    </row>
    <row r="59" spans="1:7" x14ac:dyDescent="0.25">
      <c r="B59" s="35"/>
    </row>
    <row r="60" spans="1:7" x14ac:dyDescent="0.25">
      <c r="B60" s="35"/>
    </row>
    <row r="61" spans="1:7" x14ac:dyDescent="0.25">
      <c r="B61" s="35"/>
      <c r="G61" s="174"/>
    </row>
    <row r="62" spans="1:7" x14ac:dyDescent="0.25">
      <c r="B62" s="35"/>
    </row>
    <row r="63" spans="1:7" x14ac:dyDescent="0.25">
      <c r="B63" s="35"/>
    </row>
    <row r="64" spans="1:7" x14ac:dyDescent="0.25">
      <c r="B64" s="35"/>
    </row>
    <row r="68" ht="6" customHeight="1" x14ac:dyDescent="0.25"/>
  </sheetData>
  <sortState ref="B11:J37">
    <sortCondition ref="C11:C37"/>
    <sortCondition ref="B11:B37"/>
  </sortState>
  <printOptions horizontalCentered="1" verticalCentered="1"/>
  <pageMargins left="0.7" right="0.7" top="0.75" bottom="0.75" header="0.3" footer="0.3"/>
  <pageSetup scale="73" orientation="landscape" horizontalDpi="1200" verticalDpi="1200" r:id="rId1"/>
  <headerFooter scaleWithDoc="0">
    <oddFooter>&amp;R&amp;F&amp;A&amp;P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G68"/>
  <sheetViews>
    <sheetView view="pageBreakPreview" zoomScale="60" zoomScaleNormal="80" workbookViewId="0"/>
  </sheetViews>
  <sheetFormatPr defaultRowHeight="15.75" outlineLevelRow="1" outlineLevelCol="1" x14ac:dyDescent="0.25"/>
  <cols>
    <col min="1" max="1" width="38.42578125" style="72" customWidth="1" outlineLevel="1"/>
    <col min="2" max="2" width="40.85546875" style="5" customWidth="1"/>
    <col min="3" max="3" width="11.42578125" style="5" bestFit="1" customWidth="1"/>
    <col min="4" max="4" width="33.42578125" style="5" bestFit="1" customWidth="1"/>
    <col min="5" max="5" width="25" style="5" bestFit="1" customWidth="1"/>
    <col min="6" max="6" width="24.42578125" style="5" bestFit="1" customWidth="1"/>
    <col min="7" max="7" width="18.85546875" style="233" bestFit="1" customWidth="1"/>
    <col min="8" max="16384" width="9.140625" style="5"/>
  </cols>
  <sheetData>
    <row r="1" spans="1:7" s="8" customFormat="1" outlineLevel="1" x14ac:dyDescent="0.25">
      <c r="A1" s="72"/>
      <c r="D1" s="8">
        <v>1</v>
      </c>
      <c r="E1" s="8">
        <f t="shared" ref="E1:G1" si="0">D1+1</f>
        <v>2</v>
      </c>
      <c r="F1" s="8">
        <f t="shared" si="0"/>
        <v>3</v>
      </c>
      <c r="G1" s="28">
        <f t="shared" si="0"/>
        <v>4</v>
      </c>
    </row>
    <row r="3" spans="1:7" ht="18.75" x14ac:dyDescent="0.3">
      <c r="B3" s="3" t="s">
        <v>50</v>
      </c>
      <c r="C3" s="10"/>
      <c r="D3" s="10"/>
      <c r="E3" s="10"/>
      <c r="F3" s="10"/>
      <c r="G3" s="157"/>
    </row>
    <row r="4" spans="1:7" ht="6" customHeight="1" thickBot="1" x14ac:dyDescent="0.3">
      <c r="B4" s="6"/>
      <c r="C4" s="6"/>
      <c r="D4" s="6"/>
      <c r="E4" s="6"/>
      <c r="F4" s="6"/>
      <c r="G4" s="187"/>
    </row>
    <row r="5" spans="1:7" ht="6" customHeight="1" thickTop="1" x14ac:dyDescent="0.25"/>
    <row r="6" spans="1:7" x14ac:dyDescent="0.25">
      <c r="B6" s="10"/>
      <c r="C6" s="9" t="s">
        <v>34</v>
      </c>
      <c r="D6" s="9" t="s">
        <v>58</v>
      </c>
      <c r="E6" s="9" t="s">
        <v>32</v>
      </c>
      <c r="F6" s="9" t="s">
        <v>24</v>
      </c>
      <c r="G6" s="162" t="s">
        <v>25</v>
      </c>
    </row>
    <row r="7" spans="1:7" x14ac:dyDescent="0.25">
      <c r="B7" s="9"/>
      <c r="C7" s="9"/>
      <c r="D7" s="9" t="s">
        <v>22</v>
      </c>
      <c r="E7" s="9" t="s">
        <v>22</v>
      </c>
      <c r="F7" s="9" t="s">
        <v>22</v>
      </c>
    </row>
    <row r="8" spans="1:7" x14ac:dyDescent="0.25">
      <c r="B8" s="9"/>
      <c r="C8" s="9"/>
      <c r="D8" s="9" t="str">
        <f>"["&amp;D$1&amp;"]"</f>
        <v>[1]</v>
      </c>
      <c r="E8" s="9" t="str">
        <f t="shared" ref="E8:G8" si="1">"["&amp;E$1&amp;"]"</f>
        <v>[2]</v>
      </c>
      <c r="F8" s="9" t="str">
        <f t="shared" si="1"/>
        <v>[3]</v>
      </c>
      <c r="G8" s="162" t="str">
        <f t="shared" si="1"/>
        <v>[4]</v>
      </c>
    </row>
    <row r="9" spans="1:7" ht="6" customHeight="1" x14ac:dyDescent="0.25">
      <c r="B9" s="7"/>
      <c r="C9" s="7"/>
      <c r="D9" s="7"/>
      <c r="E9" s="7"/>
      <c r="F9" s="7"/>
      <c r="G9" s="234"/>
    </row>
    <row r="10" spans="1:7" ht="6" customHeight="1" x14ac:dyDescent="0.25"/>
    <row r="11" spans="1:7" x14ac:dyDescent="0.25">
      <c r="A11" s="72" t="s">
        <v>26</v>
      </c>
      <c r="B11" s="1" t="s">
        <v>18</v>
      </c>
      <c r="C11" s="1" t="s">
        <v>37</v>
      </c>
      <c r="D11" s="14">
        <v>45267.414999999994</v>
      </c>
      <c r="E11" s="15">
        <v>53540.535000000003</v>
      </c>
      <c r="F11" s="16">
        <v>45267.414999999994</v>
      </c>
      <c r="G11" s="176">
        <f>IFERROR(F11/D11,"")</f>
        <v>1</v>
      </c>
    </row>
    <row r="12" spans="1:7" x14ac:dyDescent="0.25">
      <c r="A12" s="72" t="s">
        <v>27</v>
      </c>
      <c r="B12" s="1" t="s">
        <v>78</v>
      </c>
      <c r="C12" s="1" t="s">
        <v>36</v>
      </c>
      <c r="D12" s="14">
        <v>9384.4524999999994</v>
      </c>
      <c r="E12" s="15">
        <v>53540.535000000003</v>
      </c>
      <c r="F12" s="16">
        <v>8273.119999999999</v>
      </c>
      <c r="G12" s="176">
        <f t="shared" ref="G12" si="2">IFERROR(F12/D12,"")</f>
        <v>0.8815772683595553</v>
      </c>
    </row>
    <row r="13" spans="1:7" ht="6" customHeight="1" thickBot="1" x14ac:dyDescent="0.3">
      <c r="B13" s="6"/>
      <c r="C13" s="6"/>
      <c r="D13" s="6"/>
      <c r="E13" s="6"/>
      <c r="F13" s="6"/>
      <c r="G13" s="187"/>
    </row>
    <row r="14" spans="1:7" ht="6" customHeight="1" thickTop="1" x14ac:dyDescent="0.25"/>
    <row r="17" spans="1:7" ht="18.75" x14ac:dyDescent="0.3">
      <c r="B17" s="3" t="s">
        <v>51</v>
      </c>
      <c r="C17" s="3"/>
      <c r="D17" s="4"/>
      <c r="E17" s="4"/>
      <c r="F17" s="4"/>
      <c r="G17" s="171"/>
    </row>
    <row r="18" spans="1:7" ht="6" customHeight="1" thickBot="1" x14ac:dyDescent="0.3">
      <c r="B18" s="6"/>
      <c r="C18" s="6"/>
      <c r="D18" s="6"/>
      <c r="E18" s="6"/>
      <c r="F18" s="6"/>
      <c r="G18" s="187"/>
    </row>
    <row r="19" spans="1:7" ht="6" customHeight="1" thickTop="1" x14ac:dyDescent="0.25"/>
    <row r="20" spans="1:7" x14ac:dyDescent="0.25">
      <c r="B20" s="10"/>
      <c r="C20" s="9" t="s">
        <v>34</v>
      </c>
      <c r="D20" s="9" t="s">
        <v>58</v>
      </c>
      <c r="E20" s="9" t="s">
        <v>32</v>
      </c>
      <c r="F20" s="9" t="s">
        <v>24</v>
      </c>
      <c r="G20" s="162" t="s">
        <v>25</v>
      </c>
    </row>
    <row r="21" spans="1:7" x14ac:dyDescent="0.25">
      <c r="B21" s="9"/>
      <c r="C21" s="9"/>
      <c r="D21" s="9" t="s">
        <v>22</v>
      </c>
      <c r="E21" s="9" t="s">
        <v>22</v>
      </c>
      <c r="F21" s="9" t="s">
        <v>22</v>
      </c>
    </row>
    <row r="22" spans="1:7" x14ac:dyDescent="0.25">
      <c r="B22" s="9"/>
      <c r="C22" s="9"/>
      <c r="D22" s="9" t="str">
        <f>"["&amp;D$1&amp;"]"</f>
        <v>[1]</v>
      </c>
      <c r="E22" s="9" t="str">
        <f t="shared" ref="E22:G22" si="3">"["&amp;E$1&amp;"]"</f>
        <v>[2]</v>
      </c>
      <c r="F22" s="9" t="str">
        <f t="shared" si="3"/>
        <v>[3]</v>
      </c>
      <c r="G22" s="162" t="str">
        <f t="shared" si="3"/>
        <v>[4]</v>
      </c>
    </row>
    <row r="23" spans="1:7" ht="6" customHeight="1" x14ac:dyDescent="0.25">
      <c r="B23" s="7"/>
      <c r="C23" s="7"/>
      <c r="D23" s="7"/>
      <c r="E23" s="7"/>
      <c r="F23" s="7"/>
      <c r="G23" s="234"/>
    </row>
    <row r="24" spans="1:7" ht="6" customHeight="1" x14ac:dyDescent="0.25"/>
    <row r="25" spans="1:7" x14ac:dyDescent="0.25">
      <c r="A25" s="72" t="s">
        <v>26</v>
      </c>
      <c r="B25" s="20" t="s">
        <v>18</v>
      </c>
      <c r="C25" s="20" t="s">
        <v>37</v>
      </c>
      <c r="D25" s="21">
        <v>45267.414999999994</v>
      </c>
      <c r="E25" s="22">
        <v>50908.202499999999</v>
      </c>
      <c r="F25" s="23">
        <v>45238.452499999999</v>
      </c>
      <c r="G25" s="176">
        <f t="shared" ref="G25:G47" si="4">IFERROR(F25/D25,"")</f>
        <v>0.99936019098947904</v>
      </c>
    </row>
    <row r="26" spans="1:7" x14ac:dyDescent="0.25">
      <c r="A26" s="72" t="s">
        <v>26</v>
      </c>
      <c r="B26" s="20" t="s">
        <v>4</v>
      </c>
      <c r="C26" s="20" t="s">
        <v>37</v>
      </c>
      <c r="D26" s="21">
        <v>5670.25</v>
      </c>
      <c r="E26" s="22">
        <v>50908.202499999999</v>
      </c>
      <c r="F26" s="23">
        <v>5669.75</v>
      </c>
      <c r="G26" s="176">
        <f t="shared" si="4"/>
        <v>0.99991182046646976</v>
      </c>
    </row>
    <row r="27" spans="1:7" x14ac:dyDescent="0.25">
      <c r="A27" s="72" t="s">
        <v>27</v>
      </c>
      <c r="B27" s="20" t="s">
        <v>1</v>
      </c>
      <c r="C27" s="20" t="s">
        <v>36</v>
      </c>
      <c r="D27" s="21">
        <v>2250</v>
      </c>
      <c r="E27" s="22">
        <v>35465.794999999998</v>
      </c>
      <c r="F27" s="23">
        <v>1801.25</v>
      </c>
      <c r="G27" s="176">
        <f t="shared" si="4"/>
        <v>0.80055555555555558</v>
      </c>
    </row>
    <row r="28" spans="1:7" x14ac:dyDescent="0.25">
      <c r="A28" s="72" t="s">
        <v>27</v>
      </c>
      <c r="B28" s="20" t="s">
        <v>17</v>
      </c>
      <c r="C28" s="20" t="s">
        <v>36</v>
      </c>
      <c r="D28" s="21">
        <v>2841</v>
      </c>
      <c r="E28" s="22">
        <v>35465.794999999998</v>
      </c>
      <c r="F28" s="23">
        <v>2656.5</v>
      </c>
      <c r="G28" s="176">
        <f t="shared" si="4"/>
        <v>0.93505807814149944</v>
      </c>
    </row>
    <row r="29" spans="1:7" x14ac:dyDescent="0.25">
      <c r="A29" s="72" t="s">
        <v>27</v>
      </c>
      <c r="B29" s="20" t="s">
        <v>2</v>
      </c>
      <c r="C29" s="20" t="s">
        <v>36</v>
      </c>
      <c r="D29" s="21">
        <v>3317.25</v>
      </c>
      <c r="E29" s="22">
        <v>35465.794999999998</v>
      </c>
      <c r="F29" s="23">
        <v>3025</v>
      </c>
      <c r="G29" s="176">
        <f t="shared" si="4"/>
        <v>0.91189991710000751</v>
      </c>
    </row>
    <row r="30" spans="1:7" x14ac:dyDescent="0.25">
      <c r="A30" s="72" t="s">
        <v>27</v>
      </c>
      <c r="B30" s="20" t="s">
        <v>5</v>
      </c>
      <c r="C30" s="20" t="s">
        <v>36</v>
      </c>
      <c r="D30" s="21">
        <v>5960.75</v>
      </c>
      <c r="E30" s="22">
        <v>35465.794999999998</v>
      </c>
      <c r="F30" s="23">
        <v>5919.5</v>
      </c>
      <c r="G30" s="176">
        <f t="shared" si="4"/>
        <v>0.9930797298997609</v>
      </c>
    </row>
    <row r="31" spans="1:7" x14ac:dyDescent="0.25">
      <c r="A31" s="72" t="s">
        <v>27</v>
      </c>
      <c r="B31" s="20" t="s">
        <v>20</v>
      </c>
      <c r="C31" s="20" t="s">
        <v>36</v>
      </c>
      <c r="D31" s="21">
        <v>1756.5</v>
      </c>
      <c r="E31" s="22">
        <v>35465.794999999998</v>
      </c>
      <c r="F31" s="23">
        <v>1398.75</v>
      </c>
      <c r="G31" s="176">
        <f t="shared" si="4"/>
        <v>0.79632792485055504</v>
      </c>
    </row>
    <row r="32" spans="1:7" x14ac:dyDescent="0.25">
      <c r="A32" s="72" t="s">
        <v>27</v>
      </c>
      <c r="B32" s="20" t="s">
        <v>78</v>
      </c>
      <c r="C32" s="20" t="s">
        <v>36</v>
      </c>
      <c r="D32" s="21">
        <v>9384.4524999999994</v>
      </c>
      <c r="E32" s="22">
        <v>35465.794999999998</v>
      </c>
      <c r="F32" s="23">
        <v>9366.2950000000001</v>
      </c>
      <c r="G32" s="176">
        <f t="shared" si="4"/>
        <v>0.99806515084390923</v>
      </c>
    </row>
    <row r="33" spans="1:7" x14ac:dyDescent="0.25">
      <c r="A33" s="72" t="s">
        <v>27</v>
      </c>
      <c r="B33" s="20" t="s">
        <v>21</v>
      </c>
      <c r="C33" s="20" t="s">
        <v>36</v>
      </c>
      <c r="D33" s="21">
        <v>3984</v>
      </c>
      <c r="E33" s="22">
        <v>35465.794999999998</v>
      </c>
      <c r="F33" s="23">
        <v>3834.75</v>
      </c>
      <c r="G33" s="176">
        <f t="shared" si="4"/>
        <v>0.96253765060240959</v>
      </c>
    </row>
    <row r="34" spans="1:7" x14ac:dyDescent="0.25">
      <c r="A34" s="72" t="s">
        <v>27</v>
      </c>
      <c r="B34" s="20" t="s">
        <v>6</v>
      </c>
      <c r="C34" s="20" t="s">
        <v>36</v>
      </c>
      <c r="D34" s="21">
        <v>609.25</v>
      </c>
      <c r="E34" s="22">
        <v>35465.794999999998</v>
      </c>
      <c r="F34" s="23">
        <v>405.5</v>
      </c>
      <c r="G34" s="176">
        <f t="shared" si="4"/>
        <v>0.66557242511284365</v>
      </c>
    </row>
    <row r="35" spans="1:7" x14ac:dyDescent="0.25">
      <c r="A35" s="72" t="s">
        <v>27</v>
      </c>
      <c r="B35" s="20" t="s">
        <v>7</v>
      </c>
      <c r="C35" s="20" t="s">
        <v>36</v>
      </c>
      <c r="D35" s="21">
        <v>349.5</v>
      </c>
      <c r="E35" s="22">
        <v>35465.794999999998</v>
      </c>
      <c r="F35" s="23">
        <v>221</v>
      </c>
      <c r="G35" s="176">
        <f t="shared" si="4"/>
        <v>0.63233190271816886</v>
      </c>
    </row>
    <row r="36" spans="1:7" x14ac:dyDescent="0.25">
      <c r="A36" s="72" t="s">
        <v>27</v>
      </c>
      <c r="B36" s="20" t="s">
        <v>8</v>
      </c>
      <c r="C36" s="20" t="s">
        <v>36</v>
      </c>
      <c r="D36" s="21">
        <v>650.5</v>
      </c>
      <c r="E36" s="22">
        <v>35465.794999999998</v>
      </c>
      <c r="F36" s="23">
        <v>614.25</v>
      </c>
      <c r="G36" s="176">
        <f t="shared" si="4"/>
        <v>0.94427363566487321</v>
      </c>
    </row>
    <row r="37" spans="1:7" x14ac:dyDescent="0.25">
      <c r="A37" s="72" t="s">
        <v>27</v>
      </c>
      <c r="B37" s="20" t="s">
        <v>11</v>
      </c>
      <c r="C37" s="20" t="s">
        <v>36</v>
      </c>
      <c r="D37" s="21">
        <v>5111.75</v>
      </c>
      <c r="E37" s="22">
        <v>35465.794999999998</v>
      </c>
      <c r="F37" s="23">
        <v>3612</v>
      </c>
      <c r="G37" s="176">
        <f t="shared" si="4"/>
        <v>0.70660732625813083</v>
      </c>
    </row>
    <row r="38" spans="1:7" x14ac:dyDescent="0.25">
      <c r="A38" s="72" t="s">
        <v>27</v>
      </c>
      <c r="B38" s="20" t="s">
        <v>13</v>
      </c>
      <c r="C38" s="20" t="s">
        <v>36</v>
      </c>
      <c r="D38" s="21">
        <v>1848.25</v>
      </c>
      <c r="E38" s="22">
        <v>35465.794999999998</v>
      </c>
      <c r="F38" s="23">
        <v>1421.5</v>
      </c>
      <c r="G38" s="176">
        <f t="shared" si="4"/>
        <v>0.76910591099688896</v>
      </c>
    </row>
    <row r="39" spans="1:7" x14ac:dyDescent="0.25">
      <c r="A39" s="72" t="s">
        <v>27</v>
      </c>
      <c r="B39" s="20" t="s">
        <v>14</v>
      </c>
      <c r="C39" s="20" t="s">
        <v>36</v>
      </c>
      <c r="D39" s="21">
        <v>1041</v>
      </c>
      <c r="E39" s="22">
        <v>35465.794999999998</v>
      </c>
      <c r="F39" s="23">
        <v>643.25</v>
      </c>
      <c r="G39" s="176">
        <f t="shared" si="4"/>
        <v>0.61791546589817481</v>
      </c>
    </row>
    <row r="40" spans="1:7" x14ac:dyDescent="0.25">
      <c r="A40" s="72" t="s">
        <v>27</v>
      </c>
      <c r="B40" s="20" t="s">
        <v>16</v>
      </c>
      <c r="C40" s="20" t="s">
        <v>36</v>
      </c>
      <c r="D40" s="21">
        <v>577</v>
      </c>
      <c r="E40" s="22">
        <v>35465.794999999998</v>
      </c>
      <c r="F40" s="23">
        <v>546.25</v>
      </c>
      <c r="G40" s="176">
        <f t="shared" si="4"/>
        <v>0.94670710571923744</v>
      </c>
    </row>
    <row r="41" spans="1:7" x14ac:dyDescent="0.25">
      <c r="A41" s="72" t="s">
        <v>28</v>
      </c>
      <c r="B41" s="20" t="s">
        <v>9</v>
      </c>
      <c r="C41" s="20" t="s">
        <v>38</v>
      </c>
      <c r="D41" s="21">
        <v>7225.25</v>
      </c>
      <c r="E41" s="22">
        <v>7225.25</v>
      </c>
      <c r="F41" s="23">
        <v>7225.25</v>
      </c>
      <c r="G41" s="176">
        <f t="shared" si="4"/>
        <v>1</v>
      </c>
    </row>
    <row r="42" spans="1:7" x14ac:dyDescent="0.25">
      <c r="A42" s="72" t="s">
        <v>29</v>
      </c>
      <c r="B42" s="20" t="s">
        <v>0</v>
      </c>
      <c r="C42" s="20" t="s">
        <v>35</v>
      </c>
      <c r="D42" s="21">
        <v>7242.1</v>
      </c>
      <c r="E42" s="22">
        <v>20932.2</v>
      </c>
      <c r="F42" s="23">
        <v>7230.95</v>
      </c>
      <c r="G42" s="176">
        <f t="shared" si="4"/>
        <v>0.99846039132295872</v>
      </c>
    </row>
    <row r="43" spans="1:7" x14ac:dyDescent="0.25">
      <c r="A43" s="72" t="s">
        <v>29</v>
      </c>
      <c r="B43" s="20" t="s">
        <v>19</v>
      </c>
      <c r="C43" s="20" t="s">
        <v>35</v>
      </c>
      <c r="D43" s="21">
        <v>1566.25</v>
      </c>
      <c r="E43" s="22">
        <v>20932.2</v>
      </c>
      <c r="F43" s="23">
        <v>1482.75</v>
      </c>
      <c r="G43" s="176">
        <f t="shared" si="4"/>
        <v>0.94668794892258579</v>
      </c>
    </row>
    <row r="44" spans="1:7" x14ac:dyDescent="0.25">
      <c r="A44" s="72" t="s">
        <v>29</v>
      </c>
      <c r="B44" s="20" t="s">
        <v>3</v>
      </c>
      <c r="C44" s="20" t="s">
        <v>35</v>
      </c>
      <c r="D44" s="21">
        <v>978.5</v>
      </c>
      <c r="E44" s="22">
        <v>20932.2</v>
      </c>
      <c r="F44" s="23">
        <v>976</v>
      </c>
      <c r="G44" s="176">
        <f t="shared" si="4"/>
        <v>0.99744506898313745</v>
      </c>
    </row>
    <row r="45" spans="1:7" x14ac:dyDescent="0.25">
      <c r="A45" s="72" t="s">
        <v>29</v>
      </c>
      <c r="B45" s="20" t="s">
        <v>10</v>
      </c>
      <c r="C45" s="20" t="s">
        <v>35</v>
      </c>
      <c r="D45" s="21">
        <v>1895.25</v>
      </c>
      <c r="E45" s="22">
        <v>20932.2</v>
      </c>
      <c r="F45" s="23">
        <v>1772.25</v>
      </c>
      <c r="G45" s="176">
        <f t="shared" si="4"/>
        <v>0.93510091017016228</v>
      </c>
    </row>
    <row r="46" spans="1:7" x14ac:dyDescent="0.25">
      <c r="A46" s="72" t="s">
        <v>29</v>
      </c>
      <c r="B46" s="20" t="s">
        <v>12</v>
      </c>
      <c r="C46" s="20" t="s">
        <v>35</v>
      </c>
      <c r="D46" s="21">
        <v>6620</v>
      </c>
      <c r="E46" s="22">
        <v>20932.2</v>
      </c>
      <c r="F46" s="23">
        <v>6577.5</v>
      </c>
      <c r="G46" s="176">
        <f t="shared" si="4"/>
        <v>0.99358006042296076</v>
      </c>
    </row>
    <row r="47" spans="1:7" x14ac:dyDescent="0.25">
      <c r="A47" s="72" t="s">
        <v>29</v>
      </c>
      <c r="B47" s="20" t="s">
        <v>15</v>
      </c>
      <c r="C47" s="20" t="s">
        <v>35</v>
      </c>
      <c r="D47" s="21">
        <v>2938.5</v>
      </c>
      <c r="E47" s="22">
        <v>20932.2</v>
      </c>
      <c r="F47" s="23">
        <v>2892.75</v>
      </c>
      <c r="G47" s="176">
        <f t="shared" si="4"/>
        <v>0.98443083205717208</v>
      </c>
    </row>
    <row r="48" spans="1:7" ht="6" customHeight="1" x14ac:dyDescent="0.25">
      <c r="A48" s="11"/>
      <c r="B48" s="24"/>
      <c r="C48" s="24"/>
      <c r="D48" s="25"/>
      <c r="E48" s="26"/>
      <c r="F48" s="27"/>
      <c r="G48" s="169"/>
    </row>
    <row r="49" spans="1:7" ht="6" customHeight="1" x14ac:dyDescent="0.25">
      <c r="B49" s="20"/>
      <c r="C49" s="20"/>
      <c r="D49" s="21"/>
      <c r="E49" s="22"/>
      <c r="F49" s="23"/>
      <c r="G49" s="176"/>
    </row>
    <row r="50" spans="1:7" x14ac:dyDescent="0.25">
      <c r="A50" s="72" t="s">
        <v>26</v>
      </c>
      <c r="B50" s="20" t="s">
        <v>37</v>
      </c>
      <c r="C50" s="20" t="s">
        <v>48</v>
      </c>
      <c r="D50" s="21">
        <v>50908.202499999999</v>
      </c>
      <c r="E50" s="22">
        <v>109769.26999999999</v>
      </c>
      <c r="F50" s="23">
        <v>47524.002500000002</v>
      </c>
      <c r="G50" s="176">
        <f>IFERROR(F50/D50,"")</f>
        <v>0.93352348278256347</v>
      </c>
    </row>
    <row r="51" spans="1:7" x14ac:dyDescent="0.25">
      <c r="A51" s="72" t="s">
        <v>27</v>
      </c>
      <c r="B51" s="20" t="s">
        <v>36</v>
      </c>
      <c r="C51" s="20" t="s">
        <v>48</v>
      </c>
      <c r="D51" s="21">
        <v>35465.794999999998</v>
      </c>
      <c r="E51" s="22">
        <v>109769.26999999999</v>
      </c>
      <c r="F51" s="23">
        <v>35197.692499999997</v>
      </c>
      <c r="G51" s="176">
        <f t="shared" ref="G51:G53" si="5">IFERROR(F51/D51,"")</f>
        <v>0.99244053319543524</v>
      </c>
    </row>
    <row r="52" spans="1:7" x14ac:dyDescent="0.25">
      <c r="A52" s="72" t="s">
        <v>28</v>
      </c>
      <c r="B52" s="20" t="s">
        <v>38</v>
      </c>
      <c r="C52" s="20" t="s">
        <v>48</v>
      </c>
      <c r="D52" s="21">
        <v>7225.25</v>
      </c>
      <c r="E52" s="22">
        <v>109769.26999999999</v>
      </c>
      <c r="F52" s="23">
        <v>6206.5</v>
      </c>
      <c r="G52" s="176">
        <f t="shared" si="5"/>
        <v>0.85900141863603341</v>
      </c>
    </row>
    <row r="53" spans="1:7" x14ac:dyDescent="0.25">
      <c r="A53" s="72" t="s">
        <v>29</v>
      </c>
      <c r="B53" s="20" t="s">
        <v>35</v>
      </c>
      <c r="C53" s="20" t="s">
        <v>48</v>
      </c>
      <c r="D53" s="21">
        <v>20932.2</v>
      </c>
      <c r="E53" s="22">
        <v>109769.26999999999</v>
      </c>
      <c r="F53" s="23">
        <v>20841.075000000001</v>
      </c>
      <c r="G53" s="176">
        <f t="shared" si="5"/>
        <v>0.99564665921403384</v>
      </c>
    </row>
    <row r="54" spans="1:7" ht="6" customHeight="1" thickBot="1" x14ac:dyDescent="0.3">
      <c r="B54" s="30"/>
      <c r="C54" s="30"/>
      <c r="D54" s="30"/>
      <c r="E54" s="30"/>
      <c r="F54" s="30"/>
      <c r="G54" s="187"/>
    </row>
    <row r="55" spans="1:7" ht="6" customHeight="1" thickTop="1" x14ac:dyDescent="0.25">
      <c r="B55" s="20"/>
      <c r="C55" s="20"/>
      <c r="D55" s="20"/>
      <c r="E55" s="20"/>
      <c r="F55" s="20"/>
    </row>
    <row r="56" spans="1:7" x14ac:dyDescent="0.25">
      <c r="B56" s="188" t="s">
        <v>152</v>
      </c>
      <c r="C56" s="20"/>
      <c r="D56" s="20"/>
      <c r="E56" s="20"/>
      <c r="F56" s="20"/>
    </row>
    <row r="57" spans="1:7" x14ac:dyDescent="0.25">
      <c r="B57" s="35"/>
      <c r="C57" s="20"/>
      <c r="D57" s="31"/>
      <c r="E57" s="20"/>
      <c r="F57" s="31"/>
      <c r="G57" s="174"/>
    </row>
    <row r="58" spans="1:7" x14ac:dyDescent="0.25">
      <c r="B58" s="35"/>
      <c r="F58" s="12"/>
    </row>
    <row r="59" spans="1:7" x14ac:dyDescent="0.25">
      <c r="B59" s="35"/>
    </row>
    <row r="60" spans="1:7" x14ac:dyDescent="0.25">
      <c r="B60" s="35"/>
    </row>
    <row r="61" spans="1:7" x14ac:dyDescent="0.25">
      <c r="B61" s="35"/>
      <c r="G61" s="174"/>
    </row>
    <row r="62" spans="1:7" x14ac:dyDescent="0.25">
      <c r="B62" s="35"/>
    </row>
    <row r="63" spans="1:7" x14ac:dyDescent="0.25">
      <c r="B63" s="35"/>
    </row>
    <row r="64" spans="1:7" x14ac:dyDescent="0.25">
      <c r="B64" s="35"/>
    </row>
    <row r="68" ht="6" customHeight="1" x14ac:dyDescent="0.25"/>
  </sheetData>
  <sortState ref="B11:J37">
    <sortCondition ref="C11:C37"/>
    <sortCondition ref="B11:B37"/>
  </sortState>
  <printOptions horizontalCentered="1" verticalCentered="1"/>
  <pageMargins left="0.7" right="0.7" top="0.75" bottom="0.75" header="0.3" footer="0.3"/>
  <pageSetup scale="73" orientation="landscape" horizontalDpi="1200" verticalDpi="1200" r:id="rId1"/>
  <headerFooter scaleWithDoc="0">
    <oddFooter>&amp;R&amp;F&amp;A&amp;P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G68"/>
  <sheetViews>
    <sheetView view="pageBreakPreview" zoomScale="60" zoomScaleNormal="80" workbookViewId="0"/>
  </sheetViews>
  <sheetFormatPr defaultRowHeight="15.75" outlineLevelRow="1" outlineLevelCol="1" x14ac:dyDescent="0.25"/>
  <cols>
    <col min="1" max="1" width="38.42578125" style="8" customWidth="1" outlineLevel="1"/>
    <col min="2" max="2" width="40.85546875" style="5" customWidth="1"/>
    <col min="3" max="3" width="11.42578125" style="5" bestFit="1" customWidth="1"/>
    <col min="4" max="4" width="33.42578125" style="5" bestFit="1" customWidth="1"/>
    <col min="5" max="5" width="25" style="5" bestFit="1" customWidth="1"/>
    <col min="6" max="6" width="24.42578125" style="5" bestFit="1" customWidth="1"/>
    <col min="7" max="7" width="18.85546875" style="233" bestFit="1" customWidth="1"/>
    <col min="8" max="16384" width="9.140625" style="5"/>
  </cols>
  <sheetData>
    <row r="1" spans="1:7" s="8" customFormat="1" outlineLevel="1" x14ac:dyDescent="0.25">
      <c r="D1" s="8">
        <v>1</v>
      </c>
      <c r="E1" s="8">
        <f t="shared" ref="E1:G1" si="0">D1+1</f>
        <v>2</v>
      </c>
      <c r="F1" s="8">
        <f t="shared" si="0"/>
        <v>3</v>
      </c>
      <c r="G1" s="28">
        <f t="shared" si="0"/>
        <v>4</v>
      </c>
    </row>
    <row r="3" spans="1:7" ht="18.75" x14ac:dyDescent="0.3">
      <c r="B3" s="3" t="s">
        <v>50</v>
      </c>
      <c r="C3" s="10"/>
      <c r="D3" s="10"/>
      <c r="E3" s="10"/>
      <c r="F3" s="10"/>
      <c r="G3" s="157"/>
    </row>
    <row r="4" spans="1:7" ht="6" customHeight="1" thickBot="1" x14ac:dyDescent="0.3">
      <c r="B4" s="6"/>
      <c r="C4" s="6"/>
      <c r="D4" s="6"/>
      <c r="E4" s="6"/>
      <c r="F4" s="6"/>
      <c r="G4" s="187"/>
    </row>
    <row r="5" spans="1:7" ht="6" customHeight="1" thickTop="1" x14ac:dyDescent="0.25"/>
    <row r="6" spans="1:7" x14ac:dyDescent="0.25">
      <c r="B6" s="10"/>
      <c r="C6" s="9" t="s">
        <v>34</v>
      </c>
      <c r="D6" s="9" t="s">
        <v>57</v>
      </c>
      <c r="E6" s="9" t="s">
        <v>32</v>
      </c>
      <c r="F6" s="9" t="s">
        <v>24</v>
      </c>
      <c r="G6" s="162" t="s">
        <v>25</v>
      </c>
    </row>
    <row r="7" spans="1:7" x14ac:dyDescent="0.25">
      <c r="B7" s="9"/>
      <c r="C7" s="9"/>
      <c r="D7" s="9" t="s">
        <v>22</v>
      </c>
      <c r="E7" s="9" t="s">
        <v>22</v>
      </c>
      <c r="F7" s="9" t="s">
        <v>22</v>
      </c>
    </row>
    <row r="8" spans="1:7" x14ac:dyDescent="0.25">
      <c r="B8" s="9"/>
      <c r="C8" s="9"/>
      <c r="D8" s="9" t="str">
        <f>"["&amp;D$1&amp;"]"</f>
        <v>[1]</v>
      </c>
      <c r="E8" s="9" t="str">
        <f t="shared" ref="E8:G8" si="1">"["&amp;E$1&amp;"]"</f>
        <v>[2]</v>
      </c>
      <c r="F8" s="9" t="str">
        <f t="shared" si="1"/>
        <v>[3]</v>
      </c>
      <c r="G8" s="162" t="str">
        <f t="shared" si="1"/>
        <v>[4]</v>
      </c>
    </row>
    <row r="9" spans="1:7" ht="6" customHeight="1" x14ac:dyDescent="0.25">
      <c r="B9" s="7"/>
      <c r="C9" s="7"/>
      <c r="D9" s="7"/>
      <c r="E9" s="7"/>
      <c r="F9" s="7"/>
      <c r="G9" s="234"/>
    </row>
    <row r="10" spans="1:7" ht="6" customHeight="1" x14ac:dyDescent="0.25"/>
    <row r="11" spans="1:7" x14ac:dyDescent="0.25">
      <c r="A11" s="8" t="s">
        <v>26</v>
      </c>
      <c r="B11" s="1" t="s">
        <v>18</v>
      </c>
      <c r="C11" s="1" t="s">
        <v>37</v>
      </c>
      <c r="D11" s="14">
        <v>46192.5</v>
      </c>
      <c r="E11" s="15">
        <v>54620.05</v>
      </c>
      <c r="F11" s="16">
        <v>46019.25</v>
      </c>
      <c r="G11" s="176">
        <f>IFERROR(F11/D11,"")</f>
        <v>0.9962493911349245</v>
      </c>
    </row>
    <row r="12" spans="1:7" x14ac:dyDescent="0.25">
      <c r="A12" s="8" t="s">
        <v>27</v>
      </c>
      <c r="B12" s="1" t="s">
        <v>78</v>
      </c>
      <c r="C12" s="1" t="s">
        <v>36</v>
      </c>
      <c r="D12" s="14">
        <v>9471.66</v>
      </c>
      <c r="E12" s="15">
        <v>54620.05</v>
      </c>
      <c r="F12" s="16">
        <v>8600.7999999999993</v>
      </c>
      <c r="G12" s="176">
        <f t="shared" ref="G12" si="2">IFERROR(F12/D12,"")</f>
        <v>0.90805624357293224</v>
      </c>
    </row>
    <row r="13" spans="1:7" ht="6" customHeight="1" thickBot="1" x14ac:dyDescent="0.3">
      <c r="B13" s="6"/>
      <c r="C13" s="6"/>
      <c r="D13" s="6"/>
      <c r="E13" s="6"/>
      <c r="F13" s="6"/>
      <c r="G13" s="187"/>
    </row>
    <row r="14" spans="1:7" ht="6" customHeight="1" thickTop="1" x14ac:dyDescent="0.25"/>
    <row r="17" spans="1:7" ht="18.75" x14ac:dyDescent="0.3">
      <c r="B17" s="3" t="s">
        <v>51</v>
      </c>
      <c r="C17" s="3"/>
      <c r="D17" s="4"/>
      <c r="E17" s="4"/>
      <c r="F17" s="4"/>
      <c r="G17" s="171"/>
    </row>
    <row r="18" spans="1:7" ht="6" customHeight="1" thickBot="1" x14ac:dyDescent="0.3">
      <c r="B18" s="6"/>
      <c r="C18" s="6"/>
      <c r="D18" s="6"/>
      <c r="E18" s="6"/>
      <c r="F18" s="6"/>
      <c r="G18" s="187"/>
    </row>
    <row r="19" spans="1:7" ht="6" customHeight="1" thickTop="1" x14ac:dyDescent="0.25"/>
    <row r="20" spans="1:7" x14ac:dyDescent="0.25">
      <c r="B20" s="10"/>
      <c r="C20" s="9" t="s">
        <v>34</v>
      </c>
      <c r="D20" s="9" t="s">
        <v>57</v>
      </c>
      <c r="E20" s="9" t="s">
        <v>32</v>
      </c>
      <c r="F20" s="9" t="s">
        <v>24</v>
      </c>
      <c r="G20" s="162" t="s">
        <v>25</v>
      </c>
    </row>
    <row r="21" spans="1:7" x14ac:dyDescent="0.25">
      <c r="B21" s="9"/>
      <c r="C21" s="9"/>
      <c r="D21" s="9" t="s">
        <v>22</v>
      </c>
      <c r="E21" s="9" t="s">
        <v>22</v>
      </c>
      <c r="F21" s="9" t="s">
        <v>22</v>
      </c>
    </row>
    <row r="22" spans="1:7" x14ac:dyDescent="0.25">
      <c r="B22" s="9"/>
      <c r="C22" s="9"/>
      <c r="D22" s="9" t="str">
        <f>"["&amp;D$1&amp;"]"</f>
        <v>[1]</v>
      </c>
      <c r="E22" s="9" t="str">
        <f t="shared" ref="E22:G22" si="3">"["&amp;E$1&amp;"]"</f>
        <v>[2]</v>
      </c>
      <c r="F22" s="9" t="str">
        <f t="shared" si="3"/>
        <v>[3]</v>
      </c>
      <c r="G22" s="162" t="str">
        <f t="shared" si="3"/>
        <v>[4]</v>
      </c>
    </row>
    <row r="23" spans="1:7" ht="6" customHeight="1" x14ac:dyDescent="0.25">
      <c r="B23" s="7"/>
      <c r="C23" s="7"/>
      <c r="D23" s="7"/>
      <c r="E23" s="7"/>
      <c r="F23" s="7"/>
      <c r="G23" s="234"/>
    </row>
    <row r="24" spans="1:7" ht="6" customHeight="1" x14ac:dyDescent="0.25"/>
    <row r="25" spans="1:7" x14ac:dyDescent="0.25">
      <c r="A25" s="8" t="s">
        <v>26</v>
      </c>
      <c r="B25" s="20" t="s">
        <v>18</v>
      </c>
      <c r="C25" s="20" t="s">
        <v>37</v>
      </c>
      <c r="D25" s="21">
        <v>46192.5</v>
      </c>
      <c r="E25" s="22">
        <v>52146.25</v>
      </c>
      <c r="F25" s="23">
        <v>46192.5</v>
      </c>
      <c r="G25" s="176">
        <f t="shared" ref="G25:G47" si="4">IFERROR(F25/D25,"")</f>
        <v>1</v>
      </c>
    </row>
    <row r="26" spans="1:7" x14ac:dyDescent="0.25">
      <c r="A26" s="8" t="s">
        <v>26</v>
      </c>
      <c r="B26" s="20" t="s">
        <v>4</v>
      </c>
      <c r="C26" s="20" t="s">
        <v>37</v>
      </c>
      <c r="D26" s="21">
        <v>5960</v>
      </c>
      <c r="E26" s="22">
        <v>52146.25</v>
      </c>
      <c r="F26" s="23">
        <v>5953.75</v>
      </c>
      <c r="G26" s="176">
        <f t="shared" si="4"/>
        <v>0.99895134228187921</v>
      </c>
    </row>
    <row r="27" spans="1:7" x14ac:dyDescent="0.25">
      <c r="A27" s="8" t="s">
        <v>27</v>
      </c>
      <c r="B27" s="20" t="s">
        <v>1</v>
      </c>
      <c r="C27" s="20" t="s">
        <v>36</v>
      </c>
      <c r="D27" s="21">
        <v>2328.75</v>
      </c>
      <c r="E27" s="22">
        <v>35274.97</v>
      </c>
      <c r="F27" s="23">
        <v>1876</v>
      </c>
      <c r="G27" s="176">
        <f t="shared" si="4"/>
        <v>0.80558239398819109</v>
      </c>
    </row>
    <row r="28" spans="1:7" x14ac:dyDescent="0.25">
      <c r="A28" s="8" t="s">
        <v>27</v>
      </c>
      <c r="B28" s="20" t="s">
        <v>17</v>
      </c>
      <c r="C28" s="20" t="s">
        <v>36</v>
      </c>
      <c r="D28" s="21">
        <v>3065.5</v>
      </c>
      <c r="E28" s="22">
        <v>35274.97</v>
      </c>
      <c r="F28" s="23">
        <v>3009.25</v>
      </c>
      <c r="G28" s="176">
        <f t="shared" si="4"/>
        <v>0.98165062795628777</v>
      </c>
    </row>
    <row r="29" spans="1:7" x14ac:dyDescent="0.25">
      <c r="A29" s="8" t="s">
        <v>27</v>
      </c>
      <c r="B29" s="20" t="s">
        <v>2</v>
      </c>
      <c r="C29" s="20" t="s">
        <v>36</v>
      </c>
      <c r="D29" s="21">
        <v>3490.25</v>
      </c>
      <c r="E29" s="22">
        <v>35274.97</v>
      </c>
      <c r="F29" s="23">
        <v>3277.25</v>
      </c>
      <c r="G29" s="176">
        <f t="shared" si="4"/>
        <v>0.93897285294749655</v>
      </c>
    </row>
    <row r="30" spans="1:7" x14ac:dyDescent="0.25">
      <c r="A30" s="8" t="s">
        <v>27</v>
      </c>
      <c r="B30" s="20" t="s">
        <v>5</v>
      </c>
      <c r="C30" s="20" t="s">
        <v>36</v>
      </c>
      <c r="D30" s="21">
        <v>5893.75</v>
      </c>
      <c r="E30" s="22">
        <v>35274.97</v>
      </c>
      <c r="F30" s="23">
        <v>5808.75</v>
      </c>
      <c r="G30" s="176">
        <f t="shared" si="4"/>
        <v>0.98557794273594912</v>
      </c>
    </row>
    <row r="31" spans="1:7" x14ac:dyDescent="0.25">
      <c r="A31" s="8" t="s">
        <v>27</v>
      </c>
      <c r="B31" s="20" t="s">
        <v>20</v>
      </c>
      <c r="C31" s="20" t="s">
        <v>36</v>
      </c>
      <c r="D31" s="21">
        <v>1796.25</v>
      </c>
      <c r="E31" s="22">
        <v>35274.97</v>
      </c>
      <c r="F31" s="23">
        <v>1519.25</v>
      </c>
      <c r="G31" s="176">
        <f t="shared" si="4"/>
        <v>0.84578983994432844</v>
      </c>
    </row>
    <row r="32" spans="1:7" x14ac:dyDescent="0.25">
      <c r="A32" s="8" t="s">
        <v>27</v>
      </c>
      <c r="B32" s="20" t="s">
        <v>78</v>
      </c>
      <c r="C32" s="20" t="s">
        <v>36</v>
      </c>
      <c r="D32" s="21">
        <v>9471.66</v>
      </c>
      <c r="E32" s="22">
        <v>35274.97</v>
      </c>
      <c r="F32" s="23">
        <v>9464.7200000000012</v>
      </c>
      <c r="G32" s="176">
        <f t="shared" si="4"/>
        <v>0.99926728788829</v>
      </c>
    </row>
    <row r="33" spans="1:7" x14ac:dyDescent="0.25">
      <c r="A33" s="8" t="s">
        <v>27</v>
      </c>
      <c r="B33" s="20" t="s">
        <v>21</v>
      </c>
      <c r="C33" s="20" t="s">
        <v>36</v>
      </c>
      <c r="D33" s="21">
        <v>4036.75</v>
      </c>
      <c r="E33" s="22">
        <v>35274.97</v>
      </c>
      <c r="F33" s="23">
        <v>3491.5</v>
      </c>
      <c r="G33" s="176">
        <f t="shared" si="4"/>
        <v>0.86492846968477122</v>
      </c>
    </row>
    <row r="34" spans="1:7" x14ac:dyDescent="0.25">
      <c r="A34" s="8" t="s">
        <v>27</v>
      </c>
      <c r="B34" s="20" t="s">
        <v>6</v>
      </c>
      <c r="C34" s="20" t="s">
        <v>36</v>
      </c>
      <c r="D34" s="21">
        <v>630.25</v>
      </c>
      <c r="E34" s="22">
        <v>35274.97</v>
      </c>
      <c r="F34" s="23">
        <v>387.25</v>
      </c>
      <c r="G34" s="176">
        <f t="shared" si="4"/>
        <v>0.61443871479571599</v>
      </c>
    </row>
    <row r="35" spans="1:7" x14ac:dyDescent="0.25">
      <c r="A35" s="8" t="s">
        <v>27</v>
      </c>
      <c r="B35" s="20" t="s">
        <v>7</v>
      </c>
      <c r="C35" s="20" t="s">
        <v>36</v>
      </c>
      <c r="D35" s="21">
        <v>372.5</v>
      </c>
      <c r="E35" s="22">
        <v>35274.97</v>
      </c>
      <c r="F35" s="23">
        <v>208.5</v>
      </c>
      <c r="G35" s="176">
        <f t="shared" si="4"/>
        <v>0.55973154362416111</v>
      </c>
    </row>
    <row r="36" spans="1:7" x14ac:dyDescent="0.25">
      <c r="A36" s="8" t="s">
        <v>27</v>
      </c>
      <c r="B36" s="20" t="s">
        <v>8</v>
      </c>
      <c r="C36" s="20" t="s">
        <v>36</v>
      </c>
      <c r="D36" s="21">
        <v>618.5</v>
      </c>
      <c r="E36" s="22">
        <v>35274.97</v>
      </c>
      <c r="F36" s="23">
        <v>586</v>
      </c>
      <c r="G36" s="176">
        <f t="shared" si="4"/>
        <v>0.94745351657235244</v>
      </c>
    </row>
    <row r="37" spans="1:7" x14ac:dyDescent="0.25">
      <c r="A37" s="8" t="s">
        <v>27</v>
      </c>
      <c r="B37" s="20" t="s">
        <v>11</v>
      </c>
      <c r="C37" s="20" t="s">
        <v>36</v>
      </c>
      <c r="D37" s="21">
        <v>5141</v>
      </c>
      <c r="E37" s="22">
        <v>35274.97</v>
      </c>
      <c r="F37" s="23">
        <v>3192.75</v>
      </c>
      <c r="G37" s="176">
        <f t="shared" si="4"/>
        <v>0.62103676327562729</v>
      </c>
    </row>
    <row r="38" spans="1:7" x14ac:dyDescent="0.25">
      <c r="A38" s="8" t="s">
        <v>27</v>
      </c>
      <c r="B38" s="20" t="s">
        <v>13</v>
      </c>
      <c r="C38" s="20" t="s">
        <v>36</v>
      </c>
      <c r="D38" s="21">
        <v>1889.25</v>
      </c>
      <c r="E38" s="22">
        <v>35274.97</v>
      </c>
      <c r="F38" s="23">
        <v>1282.5</v>
      </c>
      <c r="G38" s="176">
        <f t="shared" si="4"/>
        <v>0.6788408098451767</v>
      </c>
    </row>
    <row r="39" spans="1:7" x14ac:dyDescent="0.25">
      <c r="A39" s="8" t="s">
        <v>27</v>
      </c>
      <c r="B39" s="20" t="s">
        <v>14</v>
      </c>
      <c r="C39" s="20" t="s">
        <v>36</v>
      </c>
      <c r="D39" s="21">
        <v>1000.25</v>
      </c>
      <c r="E39" s="22">
        <v>35274.97</v>
      </c>
      <c r="F39" s="23">
        <v>584.5</v>
      </c>
      <c r="G39" s="176">
        <f t="shared" si="4"/>
        <v>0.58435391152211946</v>
      </c>
    </row>
    <row r="40" spans="1:7" x14ac:dyDescent="0.25">
      <c r="A40" s="8" t="s">
        <v>27</v>
      </c>
      <c r="B40" s="20" t="s">
        <v>16</v>
      </c>
      <c r="C40" s="20" t="s">
        <v>36</v>
      </c>
      <c r="D40" s="21">
        <v>600</v>
      </c>
      <c r="E40" s="22">
        <v>35274.97</v>
      </c>
      <c r="F40" s="23">
        <v>586.75</v>
      </c>
      <c r="G40" s="176">
        <f t="shared" si="4"/>
        <v>0.97791666666666666</v>
      </c>
    </row>
    <row r="41" spans="1:7" x14ac:dyDescent="0.25">
      <c r="A41" s="8" t="s">
        <v>28</v>
      </c>
      <c r="B41" s="20" t="s">
        <v>9</v>
      </c>
      <c r="C41" s="20" t="s">
        <v>38</v>
      </c>
      <c r="D41" s="21">
        <v>7918.5</v>
      </c>
      <c r="E41" s="22">
        <v>7918.5</v>
      </c>
      <c r="F41" s="23">
        <v>7918.5</v>
      </c>
      <c r="G41" s="176">
        <f t="shared" si="4"/>
        <v>1</v>
      </c>
    </row>
    <row r="42" spans="1:7" x14ac:dyDescent="0.25">
      <c r="A42" s="8" t="s">
        <v>29</v>
      </c>
      <c r="B42" s="20" t="s">
        <v>0</v>
      </c>
      <c r="C42" s="20" t="s">
        <v>35</v>
      </c>
      <c r="D42" s="21">
        <v>7049.5</v>
      </c>
      <c r="E42" s="22">
        <v>20788</v>
      </c>
      <c r="F42" s="23">
        <v>7034.5</v>
      </c>
      <c r="G42" s="176">
        <f t="shared" si="4"/>
        <v>0.99787218951698697</v>
      </c>
    </row>
    <row r="43" spans="1:7" x14ac:dyDescent="0.25">
      <c r="A43" s="8" t="s">
        <v>29</v>
      </c>
      <c r="B43" s="20" t="s">
        <v>19</v>
      </c>
      <c r="C43" s="20" t="s">
        <v>35</v>
      </c>
      <c r="D43" s="21">
        <v>1512.75</v>
      </c>
      <c r="E43" s="22">
        <v>20788</v>
      </c>
      <c r="F43" s="23">
        <v>1353.75</v>
      </c>
      <c r="G43" s="176">
        <f t="shared" si="4"/>
        <v>0.89489340604858703</v>
      </c>
    </row>
    <row r="44" spans="1:7" x14ac:dyDescent="0.25">
      <c r="A44" s="8" t="s">
        <v>29</v>
      </c>
      <c r="B44" s="20" t="s">
        <v>3</v>
      </c>
      <c r="C44" s="20" t="s">
        <v>35</v>
      </c>
      <c r="D44" s="21">
        <v>972.75</v>
      </c>
      <c r="E44" s="22">
        <v>20788</v>
      </c>
      <c r="F44" s="23">
        <v>915.75</v>
      </c>
      <c r="G44" s="176">
        <f t="shared" si="4"/>
        <v>0.94140323824209715</v>
      </c>
    </row>
    <row r="45" spans="1:7" x14ac:dyDescent="0.25">
      <c r="A45" s="8" t="s">
        <v>29</v>
      </c>
      <c r="B45" s="20" t="s">
        <v>10</v>
      </c>
      <c r="C45" s="20" t="s">
        <v>35</v>
      </c>
      <c r="D45" s="21">
        <v>1928.5</v>
      </c>
      <c r="E45" s="22">
        <v>20788</v>
      </c>
      <c r="F45" s="23">
        <v>1894.75</v>
      </c>
      <c r="G45" s="176">
        <f t="shared" si="4"/>
        <v>0.98249935182784542</v>
      </c>
    </row>
    <row r="46" spans="1:7" x14ac:dyDescent="0.25">
      <c r="A46" s="8" t="s">
        <v>29</v>
      </c>
      <c r="B46" s="20" t="s">
        <v>12</v>
      </c>
      <c r="C46" s="20" t="s">
        <v>35</v>
      </c>
      <c r="D46" s="21">
        <v>6578.75</v>
      </c>
      <c r="E46" s="22">
        <v>20788</v>
      </c>
      <c r="F46" s="23">
        <v>6573.75</v>
      </c>
      <c r="G46" s="176">
        <f t="shared" si="4"/>
        <v>0.99923997719931601</v>
      </c>
    </row>
    <row r="47" spans="1:7" x14ac:dyDescent="0.25">
      <c r="A47" s="8" t="s">
        <v>29</v>
      </c>
      <c r="B47" s="20" t="s">
        <v>15</v>
      </c>
      <c r="C47" s="20" t="s">
        <v>35</v>
      </c>
      <c r="D47" s="21">
        <v>3028.75</v>
      </c>
      <c r="E47" s="22">
        <v>20788</v>
      </c>
      <c r="F47" s="23">
        <v>3015.5</v>
      </c>
      <c r="G47" s="176">
        <f t="shared" si="4"/>
        <v>0.9956252579446967</v>
      </c>
    </row>
    <row r="48" spans="1:7" ht="6" customHeight="1" x14ac:dyDescent="0.25">
      <c r="A48" s="11"/>
      <c r="B48" s="24"/>
      <c r="C48" s="24"/>
      <c r="D48" s="25"/>
      <c r="E48" s="26"/>
      <c r="F48" s="27"/>
      <c r="G48" s="169"/>
    </row>
    <row r="49" spans="1:7" ht="6" customHeight="1" x14ac:dyDescent="0.25">
      <c r="B49" s="20"/>
      <c r="C49" s="20"/>
      <c r="D49" s="21"/>
      <c r="E49" s="22"/>
      <c r="F49" s="23"/>
      <c r="G49" s="176"/>
    </row>
    <row r="50" spans="1:7" x14ac:dyDescent="0.25">
      <c r="A50" s="8" t="s">
        <v>26</v>
      </c>
      <c r="B50" s="20" t="s">
        <v>37</v>
      </c>
      <c r="C50" s="20" t="s">
        <v>48</v>
      </c>
      <c r="D50" s="21">
        <v>52146.25</v>
      </c>
      <c r="E50" s="22">
        <v>110016.60250000001</v>
      </c>
      <c r="F50" s="23">
        <v>51033.25</v>
      </c>
      <c r="G50" s="176">
        <f>IFERROR(F50/D50,"")</f>
        <v>0.97865618333053672</v>
      </c>
    </row>
    <row r="51" spans="1:7" x14ac:dyDescent="0.25">
      <c r="A51" s="8" t="s">
        <v>27</v>
      </c>
      <c r="B51" s="20" t="s">
        <v>36</v>
      </c>
      <c r="C51" s="20" t="s">
        <v>48</v>
      </c>
      <c r="D51" s="21">
        <v>35274.97</v>
      </c>
      <c r="E51" s="22">
        <v>110016.60250000001</v>
      </c>
      <c r="F51" s="23">
        <v>33125.602500000001</v>
      </c>
      <c r="G51" s="176">
        <f t="shared" ref="G51:G53" si="5">IFERROR(F51/D51,"")</f>
        <v>0.9390681976483608</v>
      </c>
    </row>
    <row r="52" spans="1:7" x14ac:dyDescent="0.25">
      <c r="A52" s="8" t="s">
        <v>28</v>
      </c>
      <c r="B52" s="20" t="s">
        <v>38</v>
      </c>
      <c r="C52" s="20" t="s">
        <v>48</v>
      </c>
      <c r="D52" s="21">
        <v>7918.5</v>
      </c>
      <c r="E52" s="22">
        <v>110016.60250000001</v>
      </c>
      <c r="F52" s="23">
        <v>6172</v>
      </c>
      <c r="G52" s="176">
        <f t="shared" si="5"/>
        <v>0.77944055060933259</v>
      </c>
    </row>
    <row r="53" spans="1:7" x14ac:dyDescent="0.25">
      <c r="A53" s="8" t="s">
        <v>29</v>
      </c>
      <c r="B53" s="20" t="s">
        <v>35</v>
      </c>
      <c r="C53" s="20" t="s">
        <v>48</v>
      </c>
      <c r="D53" s="21">
        <v>20788</v>
      </c>
      <c r="E53" s="22">
        <v>110016.60250000001</v>
      </c>
      <c r="F53" s="23">
        <v>19685.75</v>
      </c>
      <c r="G53" s="176">
        <f t="shared" si="5"/>
        <v>0.94697662112757364</v>
      </c>
    </row>
    <row r="54" spans="1:7" ht="6" customHeight="1" thickBot="1" x14ac:dyDescent="0.3">
      <c r="B54" s="6"/>
      <c r="C54" s="2"/>
      <c r="D54" s="6"/>
      <c r="E54" s="6"/>
      <c r="F54" s="6"/>
      <c r="G54" s="187"/>
    </row>
    <row r="55" spans="1:7" ht="6" customHeight="1" thickTop="1" x14ac:dyDescent="0.25">
      <c r="A55" s="5"/>
      <c r="C55" s="1"/>
    </row>
    <row r="56" spans="1:7" x14ac:dyDescent="0.25">
      <c r="B56" s="188" t="s">
        <v>152</v>
      </c>
    </row>
    <row r="57" spans="1:7" x14ac:dyDescent="0.25">
      <c r="B57" s="35"/>
      <c r="D57" s="12"/>
      <c r="F57" s="12"/>
      <c r="G57" s="174"/>
    </row>
    <row r="58" spans="1:7" x14ac:dyDescent="0.25">
      <c r="B58" s="35"/>
      <c r="F58" s="12"/>
    </row>
    <row r="59" spans="1:7" x14ac:dyDescent="0.25">
      <c r="B59" s="35"/>
    </row>
    <row r="60" spans="1:7" x14ac:dyDescent="0.25">
      <c r="B60" s="35"/>
    </row>
    <row r="61" spans="1:7" x14ac:dyDescent="0.25">
      <c r="B61" s="35"/>
      <c r="G61" s="174"/>
    </row>
    <row r="62" spans="1:7" x14ac:dyDescent="0.25">
      <c r="B62" s="35"/>
    </row>
    <row r="63" spans="1:7" x14ac:dyDescent="0.25">
      <c r="B63" s="35"/>
    </row>
    <row r="64" spans="1:7" x14ac:dyDescent="0.25">
      <c r="B64" s="35"/>
    </row>
    <row r="67" spans="1:1" x14ac:dyDescent="0.25">
      <c r="A67" s="5"/>
    </row>
    <row r="68" spans="1:1" ht="6" customHeight="1" x14ac:dyDescent="0.25">
      <c r="A68" s="5"/>
    </row>
  </sheetData>
  <sortState ref="B11:J37">
    <sortCondition ref="C11:C37"/>
    <sortCondition ref="B11:B37"/>
  </sortState>
  <printOptions horizontalCentered="1" verticalCentered="1"/>
  <pageMargins left="0.7" right="0.7" top="0.75" bottom="0.75" header="0.3" footer="0.3"/>
  <pageSetup scale="73" orientation="landscape" horizontalDpi="1200" verticalDpi="1200" r:id="rId1"/>
  <headerFooter scaleWithDoc="0">
    <oddFooter>&amp;R&amp;F&amp;A&amp;P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G68"/>
  <sheetViews>
    <sheetView view="pageBreakPreview" zoomScale="60" zoomScaleNormal="80" workbookViewId="0"/>
  </sheetViews>
  <sheetFormatPr defaultRowHeight="15.75" outlineLevelRow="1" outlineLevelCol="1" x14ac:dyDescent="0.25"/>
  <cols>
    <col min="1" max="1" width="38.42578125" style="8" customWidth="1" outlineLevel="1"/>
    <col min="2" max="2" width="40.85546875" style="5" customWidth="1"/>
    <col min="3" max="3" width="11.42578125" style="5" bestFit="1" customWidth="1"/>
    <col min="4" max="4" width="33.42578125" style="5" bestFit="1" customWidth="1"/>
    <col min="5" max="5" width="25" style="5" bestFit="1" customWidth="1"/>
    <col min="6" max="6" width="24.42578125" style="5" bestFit="1" customWidth="1"/>
    <col min="7" max="7" width="18.85546875" style="233" bestFit="1" customWidth="1"/>
    <col min="8" max="16384" width="9.140625" style="5"/>
  </cols>
  <sheetData>
    <row r="1" spans="1:7" s="8" customFormat="1" outlineLevel="1" x14ac:dyDescent="0.25">
      <c r="D1" s="8">
        <v>1</v>
      </c>
      <c r="E1" s="8">
        <f t="shared" ref="E1:G1" si="0">D1+1</f>
        <v>2</v>
      </c>
      <c r="F1" s="8">
        <f t="shared" si="0"/>
        <v>3</v>
      </c>
      <c r="G1" s="28">
        <f t="shared" si="0"/>
        <v>4</v>
      </c>
    </row>
    <row r="3" spans="1:7" ht="18.75" x14ac:dyDescent="0.3">
      <c r="B3" s="3" t="s">
        <v>50</v>
      </c>
      <c r="C3" s="10"/>
      <c r="D3" s="10"/>
      <c r="E3" s="10"/>
      <c r="F3" s="10"/>
      <c r="G3" s="157"/>
    </row>
    <row r="4" spans="1:7" ht="6" customHeight="1" thickBot="1" x14ac:dyDescent="0.3">
      <c r="B4" s="6"/>
      <c r="C4" s="6"/>
      <c r="D4" s="6"/>
      <c r="E4" s="6"/>
      <c r="F4" s="6"/>
      <c r="G4" s="187"/>
    </row>
    <row r="5" spans="1:7" ht="6" customHeight="1" thickTop="1" x14ac:dyDescent="0.25"/>
    <row r="6" spans="1:7" x14ac:dyDescent="0.25">
      <c r="B6" s="10"/>
      <c r="C6" s="9" t="s">
        <v>34</v>
      </c>
      <c r="D6" s="9" t="s">
        <v>56</v>
      </c>
      <c r="E6" s="9" t="s">
        <v>32</v>
      </c>
      <c r="F6" s="9" t="s">
        <v>24</v>
      </c>
      <c r="G6" s="162" t="s">
        <v>25</v>
      </c>
    </row>
    <row r="7" spans="1:7" x14ac:dyDescent="0.25">
      <c r="B7" s="9"/>
      <c r="C7" s="9"/>
      <c r="D7" s="9" t="s">
        <v>22</v>
      </c>
      <c r="E7" s="9" t="s">
        <v>22</v>
      </c>
      <c r="F7" s="9" t="s">
        <v>22</v>
      </c>
    </row>
    <row r="8" spans="1:7" x14ac:dyDescent="0.25">
      <c r="B8" s="9"/>
      <c r="C8" s="9"/>
      <c r="D8" s="9" t="str">
        <f>"["&amp;D$1&amp;"]"</f>
        <v>[1]</v>
      </c>
      <c r="E8" s="9" t="str">
        <f t="shared" ref="E8:G8" si="1">"["&amp;E$1&amp;"]"</f>
        <v>[2]</v>
      </c>
      <c r="F8" s="9" t="str">
        <f t="shared" si="1"/>
        <v>[3]</v>
      </c>
      <c r="G8" s="162" t="str">
        <f t="shared" si="1"/>
        <v>[4]</v>
      </c>
    </row>
    <row r="9" spans="1:7" ht="6" customHeight="1" x14ac:dyDescent="0.25">
      <c r="B9" s="7"/>
      <c r="C9" s="7"/>
      <c r="D9" s="7"/>
      <c r="E9" s="7"/>
      <c r="F9" s="7"/>
      <c r="G9" s="234"/>
    </row>
    <row r="10" spans="1:7" ht="6" customHeight="1" x14ac:dyDescent="0.25"/>
    <row r="11" spans="1:7" x14ac:dyDescent="0.25">
      <c r="A11" s="8" t="s">
        <v>26</v>
      </c>
      <c r="B11" s="1" t="s">
        <v>18</v>
      </c>
      <c r="C11" s="1" t="s">
        <v>37</v>
      </c>
      <c r="D11" s="14">
        <v>48363.885000000002</v>
      </c>
      <c r="E11" s="15">
        <v>57301.134999999995</v>
      </c>
      <c r="F11" s="16">
        <v>48363.884999999995</v>
      </c>
      <c r="G11" s="176">
        <f>IFERROR(F11/D11,"")</f>
        <v>0.99999999999999989</v>
      </c>
    </row>
    <row r="12" spans="1:7" x14ac:dyDescent="0.25">
      <c r="A12" s="8" t="s">
        <v>27</v>
      </c>
      <c r="B12" s="1" t="s">
        <v>78</v>
      </c>
      <c r="C12" s="1" t="s">
        <v>36</v>
      </c>
      <c r="D12" s="14">
        <v>9726.75</v>
      </c>
      <c r="E12" s="15">
        <v>57301.134999999995</v>
      </c>
      <c r="F12" s="16">
        <v>8937.25</v>
      </c>
      <c r="G12" s="176">
        <f t="shared" ref="G12" si="2">IFERROR(F12/D12,"")</f>
        <v>0.91883208677101802</v>
      </c>
    </row>
    <row r="13" spans="1:7" ht="6" customHeight="1" thickBot="1" x14ac:dyDescent="0.3">
      <c r="B13" s="6"/>
      <c r="C13" s="6"/>
      <c r="D13" s="6"/>
      <c r="E13" s="6"/>
      <c r="F13" s="6"/>
      <c r="G13" s="187"/>
    </row>
    <row r="14" spans="1:7" ht="6" customHeight="1" thickTop="1" x14ac:dyDescent="0.25"/>
    <row r="17" spans="1:7" ht="18.75" x14ac:dyDescent="0.3">
      <c r="B17" s="3" t="s">
        <v>51</v>
      </c>
      <c r="C17" s="3"/>
      <c r="D17" s="4"/>
      <c r="E17" s="4"/>
      <c r="F17" s="4"/>
      <c r="G17" s="171"/>
    </row>
    <row r="18" spans="1:7" ht="6" customHeight="1" thickBot="1" x14ac:dyDescent="0.3">
      <c r="B18" s="6"/>
      <c r="C18" s="6"/>
      <c r="D18" s="6"/>
      <c r="E18" s="6"/>
      <c r="F18" s="6"/>
      <c r="G18" s="187"/>
    </row>
    <row r="19" spans="1:7" ht="6" customHeight="1" thickTop="1" x14ac:dyDescent="0.25"/>
    <row r="20" spans="1:7" x14ac:dyDescent="0.25">
      <c r="B20" s="10"/>
      <c r="C20" s="9" t="s">
        <v>34</v>
      </c>
      <c r="D20" s="9" t="s">
        <v>56</v>
      </c>
      <c r="E20" s="9" t="s">
        <v>32</v>
      </c>
      <c r="F20" s="9" t="s">
        <v>24</v>
      </c>
      <c r="G20" s="162" t="s">
        <v>25</v>
      </c>
    </row>
    <row r="21" spans="1:7" x14ac:dyDescent="0.25">
      <c r="B21" s="9"/>
      <c r="C21" s="9"/>
      <c r="D21" s="9" t="s">
        <v>22</v>
      </c>
      <c r="E21" s="9" t="s">
        <v>22</v>
      </c>
      <c r="F21" s="9" t="s">
        <v>22</v>
      </c>
    </row>
    <row r="22" spans="1:7" x14ac:dyDescent="0.25">
      <c r="B22" s="9"/>
      <c r="C22" s="9"/>
      <c r="D22" s="9" t="str">
        <f>"["&amp;D$1&amp;"]"</f>
        <v>[1]</v>
      </c>
      <c r="E22" s="9" t="str">
        <f t="shared" ref="E22:G22" si="3">"["&amp;E$1&amp;"]"</f>
        <v>[2]</v>
      </c>
      <c r="F22" s="9" t="str">
        <f t="shared" si="3"/>
        <v>[3]</v>
      </c>
      <c r="G22" s="162" t="str">
        <f t="shared" si="3"/>
        <v>[4]</v>
      </c>
    </row>
    <row r="23" spans="1:7" ht="6" customHeight="1" x14ac:dyDescent="0.25">
      <c r="B23" s="7"/>
      <c r="C23" s="7"/>
      <c r="D23" s="7"/>
      <c r="E23" s="7"/>
      <c r="F23" s="7"/>
      <c r="G23" s="234"/>
    </row>
    <row r="24" spans="1:7" ht="6" customHeight="1" x14ac:dyDescent="0.25"/>
    <row r="25" spans="1:7" x14ac:dyDescent="0.25">
      <c r="A25" s="8" t="s">
        <v>26</v>
      </c>
      <c r="B25" s="20" t="s">
        <v>18</v>
      </c>
      <c r="C25" s="20" t="s">
        <v>37</v>
      </c>
      <c r="D25" s="21">
        <v>48363.885000000002</v>
      </c>
      <c r="E25" s="22">
        <v>54271.722500000003</v>
      </c>
      <c r="F25" s="23">
        <v>48318.435000000005</v>
      </c>
      <c r="G25" s="176">
        <f t="shared" ref="G25:G47" si="4">IFERROR(F25/D25,"")</f>
        <v>0.99906024919213998</v>
      </c>
    </row>
    <row r="26" spans="1:7" x14ac:dyDescent="0.25">
      <c r="A26" s="8" t="s">
        <v>26</v>
      </c>
      <c r="B26" s="20" t="s">
        <v>4</v>
      </c>
      <c r="C26" s="20" t="s">
        <v>37</v>
      </c>
      <c r="D26" s="21">
        <v>6017.2375000000002</v>
      </c>
      <c r="E26" s="22">
        <v>54271.722500000003</v>
      </c>
      <c r="F26" s="23">
        <v>5953.2874999999995</v>
      </c>
      <c r="G26" s="176">
        <f t="shared" si="4"/>
        <v>0.98937219945199095</v>
      </c>
    </row>
    <row r="27" spans="1:7" x14ac:dyDescent="0.25">
      <c r="A27" s="8" t="s">
        <v>27</v>
      </c>
      <c r="B27" s="20" t="s">
        <v>1</v>
      </c>
      <c r="C27" s="20" t="s">
        <v>36</v>
      </c>
      <c r="D27" s="21">
        <v>2145</v>
      </c>
      <c r="E27" s="22">
        <v>35526</v>
      </c>
      <c r="F27" s="23">
        <v>1898.25</v>
      </c>
      <c r="G27" s="176">
        <f t="shared" si="4"/>
        <v>0.88496503496503498</v>
      </c>
    </row>
    <row r="28" spans="1:7" x14ac:dyDescent="0.25">
      <c r="A28" s="8" t="s">
        <v>27</v>
      </c>
      <c r="B28" s="20" t="s">
        <v>17</v>
      </c>
      <c r="C28" s="20" t="s">
        <v>36</v>
      </c>
      <c r="D28" s="21">
        <v>3061.5</v>
      </c>
      <c r="E28" s="22">
        <v>35526</v>
      </c>
      <c r="F28" s="23">
        <v>3016</v>
      </c>
      <c r="G28" s="176">
        <f t="shared" si="4"/>
        <v>0.9851380042462845</v>
      </c>
    </row>
    <row r="29" spans="1:7" x14ac:dyDescent="0.25">
      <c r="A29" s="8" t="s">
        <v>27</v>
      </c>
      <c r="B29" s="20" t="s">
        <v>2</v>
      </c>
      <c r="C29" s="20" t="s">
        <v>36</v>
      </c>
      <c r="D29" s="21">
        <v>3473.5</v>
      </c>
      <c r="E29" s="22">
        <v>35526</v>
      </c>
      <c r="F29" s="23">
        <v>3415.75</v>
      </c>
      <c r="G29" s="176">
        <f t="shared" si="4"/>
        <v>0.98337411832445665</v>
      </c>
    </row>
    <row r="30" spans="1:7" x14ac:dyDescent="0.25">
      <c r="A30" s="8" t="s">
        <v>27</v>
      </c>
      <c r="B30" s="20" t="s">
        <v>5</v>
      </c>
      <c r="C30" s="20" t="s">
        <v>36</v>
      </c>
      <c r="D30" s="21">
        <v>6261.25</v>
      </c>
      <c r="E30" s="22">
        <v>35526</v>
      </c>
      <c r="F30" s="23">
        <v>6261.25</v>
      </c>
      <c r="G30" s="176">
        <f t="shared" si="4"/>
        <v>1</v>
      </c>
    </row>
    <row r="31" spans="1:7" x14ac:dyDescent="0.25">
      <c r="A31" s="8" t="s">
        <v>27</v>
      </c>
      <c r="B31" s="20" t="s">
        <v>20</v>
      </c>
      <c r="C31" s="20" t="s">
        <v>36</v>
      </c>
      <c r="D31" s="21">
        <v>1714.75</v>
      </c>
      <c r="E31" s="22">
        <v>35526</v>
      </c>
      <c r="F31" s="23">
        <v>1622</v>
      </c>
      <c r="G31" s="176">
        <f t="shared" si="4"/>
        <v>0.94591048257763521</v>
      </c>
    </row>
    <row r="32" spans="1:7" x14ac:dyDescent="0.25">
      <c r="A32" s="8" t="s">
        <v>27</v>
      </c>
      <c r="B32" s="20" t="s">
        <v>78</v>
      </c>
      <c r="C32" s="20" t="s">
        <v>36</v>
      </c>
      <c r="D32" s="21">
        <v>9726.75</v>
      </c>
      <c r="E32" s="22">
        <v>35526</v>
      </c>
      <c r="F32" s="23">
        <v>9451.5</v>
      </c>
      <c r="G32" s="176">
        <f t="shared" si="4"/>
        <v>0.97170175032770456</v>
      </c>
    </row>
    <row r="33" spans="1:7" x14ac:dyDescent="0.25">
      <c r="A33" s="8" t="s">
        <v>27</v>
      </c>
      <c r="B33" s="20" t="s">
        <v>21</v>
      </c>
      <c r="C33" s="20" t="s">
        <v>36</v>
      </c>
      <c r="D33" s="21">
        <v>3657.75</v>
      </c>
      <c r="E33" s="22">
        <v>35526</v>
      </c>
      <c r="F33" s="23">
        <v>3214.25</v>
      </c>
      <c r="G33" s="176">
        <f t="shared" si="4"/>
        <v>0.87875059804524636</v>
      </c>
    </row>
    <row r="34" spans="1:7" x14ac:dyDescent="0.25">
      <c r="A34" s="8" t="s">
        <v>27</v>
      </c>
      <c r="B34" s="20" t="s">
        <v>6</v>
      </c>
      <c r="C34" s="20" t="s">
        <v>36</v>
      </c>
      <c r="D34" s="21">
        <v>587.75</v>
      </c>
      <c r="E34" s="22">
        <v>35526</v>
      </c>
      <c r="F34" s="23">
        <v>407.75</v>
      </c>
      <c r="G34" s="176">
        <f t="shared" si="4"/>
        <v>0.6937473415567843</v>
      </c>
    </row>
    <row r="35" spans="1:7" x14ac:dyDescent="0.25">
      <c r="A35" s="8" t="s">
        <v>27</v>
      </c>
      <c r="B35" s="20" t="s">
        <v>7</v>
      </c>
      <c r="C35" s="20" t="s">
        <v>36</v>
      </c>
      <c r="D35" s="21">
        <v>337.75</v>
      </c>
      <c r="E35" s="22">
        <v>35526</v>
      </c>
      <c r="F35" s="23">
        <v>218</v>
      </c>
      <c r="G35" s="176">
        <f t="shared" si="4"/>
        <v>0.64544781643227234</v>
      </c>
    </row>
    <row r="36" spans="1:7" x14ac:dyDescent="0.25">
      <c r="A36" s="8" t="s">
        <v>27</v>
      </c>
      <c r="B36" s="20" t="s">
        <v>8</v>
      </c>
      <c r="C36" s="20" t="s">
        <v>36</v>
      </c>
      <c r="D36" s="21">
        <v>570.25</v>
      </c>
      <c r="E36" s="22">
        <v>35526</v>
      </c>
      <c r="F36" s="23">
        <v>540.5</v>
      </c>
      <c r="G36" s="176">
        <f t="shared" si="4"/>
        <v>0.94782989916703198</v>
      </c>
    </row>
    <row r="37" spans="1:7" x14ac:dyDescent="0.25">
      <c r="A37" s="8" t="s">
        <v>27</v>
      </c>
      <c r="B37" s="20" t="s">
        <v>11</v>
      </c>
      <c r="C37" s="20" t="s">
        <v>36</v>
      </c>
      <c r="D37" s="21">
        <v>4735.5</v>
      </c>
      <c r="E37" s="22">
        <v>35526</v>
      </c>
      <c r="F37" s="23">
        <v>3108.5</v>
      </c>
      <c r="G37" s="176">
        <f t="shared" si="4"/>
        <v>0.65642487593707111</v>
      </c>
    </row>
    <row r="38" spans="1:7" x14ac:dyDescent="0.25">
      <c r="A38" s="8" t="s">
        <v>27</v>
      </c>
      <c r="B38" s="20" t="s">
        <v>13</v>
      </c>
      <c r="C38" s="20" t="s">
        <v>36</v>
      </c>
      <c r="D38" s="21">
        <v>1763.75</v>
      </c>
      <c r="E38" s="22">
        <v>35526</v>
      </c>
      <c r="F38" s="23">
        <v>1215.5</v>
      </c>
      <c r="G38" s="176">
        <f t="shared" si="4"/>
        <v>0.68915662650602405</v>
      </c>
    </row>
    <row r="39" spans="1:7" x14ac:dyDescent="0.25">
      <c r="A39" s="8" t="s">
        <v>27</v>
      </c>
      <c r="B39" s="20" t="s">
        <v>14</v>
      </c>
      <c r="C39" s="20" t="s">
        <v>36</v>
      </c>
      <c r="D39" s="21">
        <v>949.25</v>
      </c>
      <c r="E39" s="22">
        <v>35526</v>
      </c>
      <c r="F39" s="23">
        <v>565.25</v>
      </c>
      <c r="G39" s="176">
        <f t="shared" si="4"/>
        <v>0.59547010797998423</v>
      </c>
    </row>
    <row r="40" spans="1:7" x14ac:dyDescent="0.25">
      <c r="A40" s="8" t="s">
        <v>27</v>
      </c>
      <c r="B40" s="20" t="s">
        <v>16</v>
      </c>
      <c r="C40" s="20" t="s">
        <v>36</v>
      </c>
      <c r="D40" s="21">
        <v>600.5</v>
      </c>
      <c r="E40" s="22">
        <v>35526</v>
      </c>
      <c r="F40" s="23">
        <v>591.5</v>
      </c>
      <c r="G40" s="176">
        <f t="shared" si="4"/>
        <v>0.98501248959200671</v>
      </c>
    </row>
    <row r="41" spans="1:7" x14ac:dyDescent="0.25">
      <c r="A41" s="8" t="s">
        <v>28</v>
      </c>
      <c r="B41" s="20" t="s">
        <v>9</v>
      </c>
      <c r="C41" s="20" t="s">
        <v>38</v>
      </c>
      <c r="D41" s="21">
        <v>8085.25</v>
      </c>
      <c r="E41" s="22">
        <v>8085.25</v>
      </c>
      <c r="F41" s="23">
        <v>8085.25</v>
      </c>
      <c r="G41" s="176">
        <f t="shared" si="4"/>
        <v>1</v>
      </c>
    </row>
    <row r="42" spans="1:7" x14ac:dyDescent="0.25">
      <c r="A42" s="8" t="s">
        <v>29</v>
      </c>
      <c r="B42" s="20" t="s">
        <v>0</v>
      </c>
      <c r="C42" s="20" t="s">
        <v>35</v>
      </c>
      <c r="D42" s="21">
        <v>7579.25</v>
      </c>
      <c r="E42" s="22">
        <v>20971.75</v>
      </c>
      <c r="F42" s="23">
        <v>7549</v>
      </c>
      <c r="G42" s="176">
        <f t="shared" si="4"/>
        <v>0.99600883992479472</v>
      </c>
    </row>
    <row r="43" spans="1:7" x14ac:dyDescent="0.25">
      <c r="A43" s="8" t="s">
        <v>29</v>
      </c>
      <c r="B43" s="20" t="s">
        <v>19</v>
      </c>
      <c r="C43" s="20" t="s">
        <v>35</v>
      </c>
      <c r="D43" s="21">
        <v>1503</v>
      </c>
      <c r="E43" s="22">
        <v>20971.75</v>
      </c>
      <c r="F43" s="23">
        <v>1359.5</v>
      </c>
      <c r="G43" s="176">
        <f t="shared" si="4"/>
        <v>0.90452428476380575</v>
      </c>
    </row>
    <row r="44" spans="1:7" x14ac:dyDescent="0.25">
      <c r="A44" s="8" t="s">
        <v>29</v>
      </c>
      <c r="B44" s="20" t="s">
        <v>3</v>
      </c>
      <c r="C44" s="20" t="s">
        <v>35</v>
      </c>
      <c r="D44" s="21">
        <v>989.5</v>
      </c>
      <c r="E44" s="22">
        <v>20971.75</v>
      </c>
      <c r="F44" s="23">
        <v>892.75</v>
      </c>
      <c r="G44" s="176">
        <f t="shared" si="4"/>
        <v>0.90222334512379987</v>
      </c>
    </row>
    <row r="45" spans="1:7" x14ac:dyDescent="0.25">
      <c r="A45" s="8" t="s">
        <v>29</v>
      </c>
      <c r="B45" s="20" t="s">
        <v>10</v>
      </c>
      <c r="C45" s="20" t="s">
        <v>35</v>
      </c>
      <c r="D45" s="21">
        <v>1999.25</v>
      </c>
      <c r="E45" s="22">
        <v>20971.75</v>
      </c>
      <c r="F45" s="23">
        <v>1938</v>
      </c>
      <c r="G45" s="176">
        <f t="shared" si="4"/>
        <v>0.96936351131674381</v>
      </c>
    </row>
    <row r="46" spans="1:7" x14ac:dyDescent="0.25">
      <c r="A46" s="8" t="s">
        <v>29</v>
      </c>
      <c r="B46" s="20" t="s">
        <v>12</v>
      </c>
      <c r="C46" s="20" t="s">
        <v>35</v>
      </c>
      <c r="D46" s="21">
        <v>6691</v>
      </c>
      <c r="E46" s="22">
        <v>20971.75</v>
      </c>
      <c r="F46" s="23">
        <v>6648</v>
      </c>
      <c r="G46" s="176">
        <f t="shared" si="4"/>
        <v>0.9935734568823793</v>
      </c>
    </row>
    <row r="47" spans="1:7" x14ac:dyDescent="0.25">
      <c r="A47" s="8" t="s">
        <v>29</v>
      </c>
      <c r="B47" s="20" t="s">
        <v>15</v>
      </c>
      <c r="C47" s="20" t="s">
        <v>35</v>
      </c>
      <c r="D47" s="21">
        <v>2640.75</v>
      </c>
      <c r="E47" s="22">
        <v>20971.75</v>
      </c>
      <c r="F47" s="23">
        <v>2584.5</v>
      </c>
      <c r="G47" s="176">
        <f t="shared" si="4"/>
        <v>0.97869923317239416</v>
      </c>
    </row>
    <row r="48" spans="1:7" ht="6" customHeight="1" x14ac:dyDescent="0.25">
      <c r="A48" s="11"/>
      <c r="B48" s="24"/>
      <c r="C48" s="24"/>
      <c r="D48" s="25"/>
      <c r="E48" s="26"/>
      <c r="F48" s="27"/>
      <c r="G48" s="169"/>
    </row>
    <row r="49" spans="1:7" ht="6" customHeight="1" x14ac:dyDescent="0.25">
      <c r="B49" s="20"/>
      <c r="C49" s="20"/>
      <c r="D49" s="21"/>
      <c r="E49" s="22"/>
      <c r="F49" s="23"/>
      <c r="G49" s="176"/>
    </row>
    <row r="50" spans="1:7" x14ac:dyDescent="0.25">
      <c r="A50" s="8" t="s">
        <v>26</v>
      </c>
      <c r="B50" s="20" t="s">
        <v>37</v>
      </c>
      <c r="C50" s="20" t="s">
        <v>48</v>
      </c>
      <c r="D50" s="21">
        <v>54271.722500000003</v>
      </c>
      <c r="E50" s="22">
        <v>113943.8325</v>
      </c>
      <c r="F50" s="23">
        <v>53738.332499999997</v>
      </c>
      <c r="G50" s="176">
        <f>IFERROR(F50/D50,"")</f>
        <v>0.99017186159882786</v>
      </c>
    </row>
    <row r="51" spans="1:7" x14ac:dyDescent="0.25">
      <c r="A51" s="8" t="s">
        <v>27</v>
      </c>
      <c r="B51" s="20" t="s">
        <v>36</v>
      </c>
      <c r="C51" s="20" t="s">
        <v>48</v>
      </c>
      <c r="D51" s="21">
        <v>35526</v>
      </c>
      <c r="E51" s="22">
        <v>113943.8325</v>
      </c>
      <c r="F51" s="23">
        <v>33289.5</v>
      </c>
      <c r="G51" s="176">
        <f t="shared" ref="G51:G53" si="5">IFERROR(F51/D51,"")</f>
        <v>0.93704610707650737</v>
      </c>
    </row>
    <row r="52" spans="1:7" x14ac:dyDescent="0.25">
      <c r="A52" s="8" t="s">
        <v>28</v>
      </c>
      <c r="B52" s="20" t="s">
        <v>38</v>
      </c>
      <c r="C52" s="20" t="s">
        <v>48</v>
      </c>
      <c r="D52" s="21">
        <v>8085.25</v>
      </c>
      <c r="E52" s="22">
        <v>113943.8325</v>
      </c>
      <c r="F52" s="23">
        <v>6436.75</v>
      </c>
      <c r="G52" s="176">
        <f t="shared" si="5"/>
        <v>0.79611020067406701</v>
      </c>
    </row>
    <row r="53" spans="1:7" x14ac:dyDescent="0.25">
      <c r="A53" s="8" t="s">
        <v>29</v>
      </c>
      <c r="B53" s="20" t="s">
        <v>35</v>
      </c>
      <c r="C53" s="20" t="s">
        <v>48</v>
      </c>
      <c r="D53" s="21">
        <v>20971.75</v>
      </c>
      <c r="E53" s="22">
        <v>113943.8325</v>
      </c>
      <c r="F53" s="23">
        <v>20479.25</v>
      </c>
      <c r="G53" s="176">
        <f t="shared" si="5"/>
        <v>0.97651602751320232</v>
      </c>
    </row>
    <row r="54" spans="1:7" ht="6" customHeight="1" thickBot="1" x14ac:dyDescent="0.3">
      <c r="B54" s="6"/>
      <c r="C54" s="2"/>
      <c r="D54" s="6"/>
      <c r="E54" s="6"/>
      <c r="F54" s="6"/>
      <c r="G54" s="187"/>
    </row>
    <row r="55" spans="1:7" ht="6" customHeight="1" thickTop="1" x14ac:dyDescent="0.25">
      <c r="A55" s="5"/>
      <c r="C55" s="1"/>
    </row>
    <row r="56" spans="1:7" x14ac:dyDescent="0.25">
      <c r="B56" s="188" t="s">
        <v>152</v>
      </c>
    </row>
    <row r="57" spans="1:7" x14ac:dyDescent="0.25">
      <c r="B57" s="35"/>
      <c r="D57" s="12"/>
      <c r="F57" s="12"/>
      <c r="G57" s="174"/>
    </row>
    <row r="58" spans="1:7" x14ac:dyDescent="0.25">
      <c r="B58" s="35"/>
      <c r="F58" s="12"/>
    </row>
    <row r="59" spans="1:7" x14ac:dyDescent="0.25">
      <c r="B59" s="35"/>
    </row>
    <row r="60" spans="1:7" x14ac:dyDescent="0.25">
      <c r="B60" s="35"/>
    </row>
    <row r="61" spans="1:7" x14ac:dyDescent="0.25">
      <c r="B61" s="35"/>
      <c r="G61" s="174"/>
    </row>
    <row r="62" spans="1:7" x14ac:dyDescent="0.25">
      <c r="B62" s="35"/>
    </row>
    <row r="63" spans="1:7" x14ac:dyDescent="0.25">
      <c r="B63" s="35"/>
    </row>
    <row r="64" spans="1:7" x14ac:dyDescent="0.25">
      <c r="B64" s="35"/>
    </row>
    <row r="67" spans="1:1" x14ac:dyDescent="0.25">
      <c r="A67" s="5"/>
    </row>
    <row r="68" spans="1:1" ht="6" customHeight="1" x14ac:dyDescent="0.25">
      <c r="A68" s="5"/>
    </row>
  </sheetData>
  <sortState ref="B11:J37">
    <sortCondition ref="C11:C37"/>
    <sortCondition ref="B11:B37"/>
  </sortState>
  <printOptions horizontalCentered="1" verticalCentered="1"/>
  <pageMargins left="0.7" right="0.7" top="0.75" bottom="0.75" header="0.3" footer="0.3"/>
  <pageSetup scale="73" orientation="landscape" horizontalDpi="1200" verticalDpi="1200" r:id="rId1"/>
  <headerFooter scaleWithDoc="0">
    <oddFooter>&amp;R&amp;F&amp;A&amp;P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G68"/>
  <sheetViews>
    <sheetView view="pageBreakPreview" zoomScale="60" zoomScaleNormal="80" workbookViewId="0"/>
  </sheetViews>
  <sheetFormatPr defaultRowHeight="15.75" outlineLevelRow="1" outlineLevelCol="1" x14ac:dyDescent="0.25"/>
  <cols>
    <col min="1" max="1" width="38.42578125" style="8" customWidth="1" outlineLevel="1"/>
    <col min="2" max="2" width="40.85546875" style="5" customWidth="1"/>
    <col min="3" max="3" width="11.42578125" style="5" bestFit="1" customWidth="1"/>
    <col min="4" max="4" width="33.42578125" style="5" bestFit="1" customWidth="1"/>
    <col min="5" max="5" width="25" style="5" bestFit="1" customWidth="1"/>
    <col min="6" max="6" width="24.42578125" style="5" bestFit="1" customWidth="1"/>
    <col min="7" max="7" width="18.85546875" style="233" bestFit="1" customWidth="1"/>
    <col min="8" max="16384" width="9.140625" style="5"/>
  </cols>
  <sheetData>
    <row r="1" spans="1:7" s="8" customFormat="1" outlineLevel="1" x14ac:dyDescent="0.25">
      <c r="D1" s="8">
        <v>1</v>
      </c>
      <c r="E1" s="8">
        <f t="shared" ref="E1:G1" si="0">D1+1</f>
        <v>2</v>
      </c>
      <c r="F1" s="8">
        <f t="shared" si="0"/>
        <v>3</v>
      </c>
      <c r="G1" s="28">
        <f t="shared" si="0"/>
        <v>4</v>
      </c>
    </row>
    <row r="3" spans="1:7" ht="18.75" x14ac:dyDescent="0.3">
      <c r="B3" s="3" t="s">
        <v>50</v>
      </c>
      <c r="C3" s="10"/>
      <c r="D3" s="10"/>
      <c r="E3" s="10"/>
      <c r="F3" s="10"/>
      <c r="G3" s="157"/>
    </row>
    <row r="4" spans="1:7" ht="6" customHeight="1" thickBot="1" x14ac:dyDescent="0.3">
      <c r="B4" s="6"/>
      <c r="C4" s="6"/>
      <c r="D4" s="6"/>
      <c r="E4" s="6"/>
      <c r="F4" s="6"/>
      <c r="G4" s="187"/>
    </row>
    <row r="5" spans="1:7" ht="6" customHeight="1" thickTop="1" x14ac:dyDescent="0.25"/>
    <row r="6" spans="1:7" x14ac:dyDescent="0.25">
      <c r="B6" s="10"/>
      <c r="C6" s="9" t="s">
        <v>34</v>
      </c>
      <c r="D6" s="9" t="s">
        <v>55</v>
      </c>
      <c r="E6" s="9" t="s">
        <v>32</v>
      </c>
      <c r="F6" s="9" t="s">
        <v>24</v>
      </c>
      <c r="G6" s="162" t="s">
        <v>25</v>
      </c>
    </row>
    <row r="7" spans="1:7" x14ac:dyDescent="0.25">
      <c r="B7" s="9"/>
      <c r="C7" s="9"/>
      <c r="D7" s="9" t="s">
        <v>22</v>
      </c>
      <c r="E7" s="9" t="s">
        <v>22</v>
      </c>
      <c r="F7" s="9" t="s">
        <v>22</v>
      </c>
    </row>
    <row r="8" spans="1:7" x14ac:dyDescent="0.25">
      <c r="B8" s="9"/>
      <c r="C8" s="9"/>
      <c r="D8" s="9" t="str">
        <f>"["&amp;D$1&amp;"]"</f>
        <v>[1]</v>
      </c>
      <c r="E8" s="9" t="str">
        <f t="shared" ref="E8:G8" si="1">"["&amp;E$1&amp;"]"</f>
        <v>[2]</v>
      </c>
      <c r="F8" s="9" t="str">
        <f t="shared" si="1"/>
        <v>[3]</v>
      </c>
      <c r="G8" s="162" t="str">
        <f t="shared" si="1"/>
        <v>[4]</v>
      </c>
    </row>
    <row r="9" spans="1:7" ht="6" customHeight="1" x14ac:dyDescent="0.25">
      <c r="B9" s="7"/>
      <c r="C9" s="7"/>
      <c r="D9" s="7"/>
      <c r="E9" s="7"/>
      <c r="F9" s="7"/>
      <c r="G9" s="234"/>
    </row>
    <row r="10" spans="1:7" ht="6" customHeight="1" x14ac:dyDescent="0.25"/>
    <row r="11" spans="1:7" x14ac:dyDescent="0.25">
      <c r="A11" s="8" t="s">
        <v>26</v>
      </c>
      <c r="B11" s="1" t="s">
        <v>18</v>
      </c>
      <c r="C11" s="1" t="s">
        <v>37</v>
      </c>
      <c r="D11" s="14">
        <v>49948</v>
      </c>
      <c r="E11" s="15">
        <v>59145.582500000004</v>
      </c>
      <c r="F11" s="16">
        <v>49948</v>
      </c>
      <c r="G11" s="176">
        <f>IFERROR(F11/D11,"")</f>
        <v>1</v>
      </c>
    </row>
    <row r="12" spans="1:7" x14ac:dyDescent="0.25">
      <c r="A12" s="8" t="s">
        <v>27</v>
      </c>
      <c r="B12" s="1" t="s">
        <v>78</v>
      </c>
      <c r="C12" s="1" t="s">
        <v>36</v>
      </c>
      <c r="D12" s="14">
        <v>9299.8675000000003</v>
      </c>
      <c r="E12" s="15">
        <v>59145.582500000004</v>
      </c>
      <c r="F12" s="16">
        <v>9197.5825000000004</v>
      </c>
      <c r="G12" s="176">
        <f t="shared" ref="G12" si="2">IFERROR(F12/D12,"")</f>
        <v>0.98900145620354274</v>
      </c>
    </row>
    <row r="13" spans="1:7" ht="6" customHeight="1" thickBot="1" x14ac:dyDescent="0.3">
      <c r="B13" s="6"/>
      <c r="C13" s="6"/>
      <c r="D13" s="6"/>
      <c r="E13" s="6"/>
      <c r="F13" s="6"/>
      <c r="G13" s="187"/>
    </row>
    <row r="14" spans="1:7" ht="6" customHeight="1" thickTop="1" x14ac:dyDescent="0.25"/>
    <row r="17" spans="1:7" ht="18.75" x14ac:dyDescent="0.3">
      <c r="B17" s="3" t="s">
        <v>51</v>
      </c>
      <c r="C17" s="3"/>
      <c r="D17" s="4"/>
      <c r="E17" s="4"/>
      <c r="F17" s="4"/>
      <c r="G17" s="171"/>
    </row>
    <row r="18" spans="1:7" ht="6" customHeight="1" thickBot="1" x14ac:dyDescent="0.3">
      <c r="B18" s="6"/>
      <c r="C18" s="6"/>
      <c r="D18" s="6"/>
      <c r="E18" s="6"/>
      <c r="F18" s="6"/>
      <c r="G18" s="187"/>
    </row>
    <row r="19" spans="1:7" ht="6" customHeight="1" thickTop="1" x14ac:dyDescent="0.25"/>
    <row r="20" spans="1:7" x14ac:dyDescent="0.25">
      <c r="B20" s="10"/>
      <c r="C20" s="9" t="s">
        <v>34</v>
      </c>
      <c r="D20" s="9" t="s">
        <v>55</v>
      </c>
      <c r="E20" s="9" t="s">
        <v>32</v>
      </c>
      <c r="F20" s="9" t="s">
        <v>24</v>
      </c>
      <c r="G20" s="162" t="s">
        <v>25</v>
      </c>
    </row>
    <row r="21" spans="1:7" x14ac:dyDescent="0.25">
      <c r="B21" s="9"/>
      <c r="C21" s="9"/>
      <c r="D21" s="9" t="s">
        <v>22</v>
      </c>
      <c r="E21" s="9" t="s">
        <v>22</v>
      </c>
      <c r="F21" s="9" t="s">
        <v>22</v>
      </c>
    </row>
    <row r="22" spans="1:7" x14ac:dyDescent="0.25">
      <c r="B22" s="9"/>
      <c r="C22" s="9"/>
      <c r="D22" s="9" t="str">
        <f>"["&amp;D$1&amp;"]"</f>
        <v>[1]</v>
      </c>
      <c r="E22" s="9" t="str">
        <f t="shared" ref="E22:G22" si="3">"["&amp;E$1&amp;"]"</f>
        <v>[2]</v>
      </c>
      <c r="F22" s="9" t="str">
        <f t="shared" si="3"/>
        <v>[3]</v>
      </c>
      <c r="G22" s="162" t="str">
        <f t="shared" si="3"/>
        <v>[4]</v>
      </c>
    </row>
    <row r="23" spans="1:7" ht="6" customHeight="1" x14ac:dyDescent="0.25">
      <c r="B23" s="7"/>
      <c r="C23" s="7"/>
      <c r="D23" s="7"/>
      <c r="E23" s="7"/>
      <c r="F23" s="7"/>
      <c r="G23" s="234"/>
    </row>
    <row r="24" spans="1:7" ht="6" customHeight="1" x14ac:dyDescent="0.25"/>
    <row r="25" spans="1:7" x14ac:dyDescent="0.25">
      <c r="A25" s="8" t="s">
        <v>26</v>
      </c>
      <c r="B25" s="20" t="s">
        <v>18</v>
      </c>
      <c r="C25" s="20" t="s">
        <v>37</v>
      </c>
      <c r="D25" s="21">
        <v>49948</v>
      </c>
      <c r="E25" s="22">
        <v>55951.75</v>
      </c>
      <c r="F25" s="23">
        <v>49948</v>
      </c>
      <c r="G25" s="176">
        <f t="shared" ref="G25:G47" si="4">IFERROR(F25/D25,"")</f>
        <v>1</v>
      </c>
    </row>
    <row r="26" spans="1:7" x14ac:dyDescent="0.25">
      <c r="A26" s="8" t="s">
        <v>26</v>
      </c>
      <c r="B26" s="20" t="s">
        <v>4</v>
      </c>
      <c r="C26" s="20" t="s">
        <v>37</v>
      </c>
      <c r="D26" s="21">
        <v>6045.25</v>
      </c>
      <c r="E26" s="22">
        <v>55951.75</v>
      </c>
      <c r="F26" s="23">
        <v>6003.75</v>
      </c>
      <c r="G26" s="176">
        <f t="shared" si="4"/>
        <v>0.99313510607501754</v>
      </c>
    </row>
    <row r="27" spans="1:7" x14ac:dyDescent="0.25">
      <c r="A27" s="8" t="s">
        <v>27</v>
      </c>
      <c r="B27" s="20" t="s">
        <v>1</v>
      </c>
      <c r="C27" s="20" t="s">
        <v>36</v>
      </c>
      <c r="D27" s="21">
        <v>2091</v>
      </c>
      <c r="E27" s="22">
        <v>36099.19</v>
      </c>
      <c r="F27" s="23">
        <v>2008.25</v>
      </c>
      <c r="G27" s="176">
        <f t="shared" si="4"/>
        <v>0.96042563366810141</v>
      </c>
    </row>
    <row r="28" spans="1:7" x14ac:dyDescent="0.25">
      <c r="A28" s="8" t="s">
        <v>27</v>
      </c>
      <c r="B28" s="20" t="s">
        <v>17</v>
      </c>
      <c r="C28" s="20" t="s">
        <v>36</v>
      </c>
      <c r="D28" s="21">
        <v>3255</v>
      </c>
      <c r="E28" s="22">
        <v>36099.19</v>
      </c>
      <c r="F28" s="23">
        <v>3170.5</v>
      </c>
      <c r="G28" s="176">
        <f t="shared" si="4"/>
        <v>0.97403993855606763</v>
      </c>
    </row>
    <row r="29" spans="1:7" x14ac:dyDescent="0.25">
      <c r="A29" s="8" t="s">
        <v>27</v>
      </c>
      <c r="B29" s="20" t="s">
        <v>2</v>
      </c>
      <c r="C29" s="20" t="s">
        <v>36</v>
      </c>
      <c r="D29" s="21">
        <v>3353</v>
      </c>
      <c r="E29" s="22">
        <v>36099.19</v>
      </c>
      <c r="F29" s="23">
        <v>3349.75</v>
      </c>
      <c r="G29" s="176">
        <f t="shared" si="4"/>
        <v>0.99903071875932004</v>
      </c>
    </row>
    <row r="30" spans="1:7" x14ac:dyDescent="0.25">
      <c r="A30" s="8" t="s">
        <v>27</v>
      </c>
      <c r="B30" s="20" t="s">
        <v>5</v>
      </c>
      <c r="C30" s="20" t="s">
        <v>36</v>
      </c>
      <c r="D30" s="21">
        <v>5954.5</v>
      </c>
      <c r="E30" s="22">
        <v>36099.19</v>
      </c>
      <c r="F30" s="23">
        <v>5771.25</v>
      </c>
      <c r="G30" s="176">
        <f t="shared" si="4"/>
        <v>0.96922495591569402</v>
      </c>
    </row>
    <row r="31" spans="1:7" x14ac:dyDescent="0.25">
      <c r="A31" s="8" t="s">
        <v>27</v>
      </c>
      <c r="B31" s="20" t="s">
        <v>20</v>
      </c>
      <c r="C31" s="20" t="s">
        <v>36</v>
      </c>
      <c r="D31" s="21">
        <v>1642</v>
      </c>
      <c r="E31" s="22">
        <v>36099.19</v>
      </c>
      <c r="F31" s="23">
        <v>1590.75</v>
      </c>
      <c r="G31" s="176">
        <f t="shared" si="4"/>
        <v>0.96878806333739342</v>
      </c>
    </row>
    <row r="32" spans="1:7" x14ac:dyDescent="0.25">
      <c r="A32" s="8" t="s">
        <v>27</v>
      </c>
      <c r="B32" s="20" t="s">
        <v>78</v>
      </c>
      <c r="C32" s="20" t="s">
        <v>36</v>
      </c>
      <c r="D32" s="21">
        <v>9299.8675000000003</v>
      </c>
      <c r="E32" s="22">
        <v>36099.19</v>
      </c>
      <c r="F32" s="23">
        <v>9289.9399999999987</v>
      </c>
      <c r="G32" s="176">
        <f t="shared" si="4"/>
        <v>0.99893251167288122</v>
      </c>
    </row>
    <row r="33" spans="1:7" x14ac:dyDescent="0.25">
      <c r="A33" s="8" t="s">
        <v>27</v>
      </c>
      <c r="B33" s="20" t="s">
        <v>21</v>
      </c>
      <c r="C33" s="20" t="s">
        <v>36</v>
      </c>
      <c r="D33" s="21">
        <v>3702.25</v>
      </c>
      <c r="E33" s="22">
        <v>36099.19</v>
      </c>
      <c r="F33" s="23">
        <v>3681.75</v>
      </c>
      <c r="G33" s="176">
        <f t="shared" si="4"/>
        <v>0.99446282665946384</v>
      </c>
    </row>
    <row r="34" spans="1:7" x14ac:dyDescent="0.25">
      <c r="A34" s="8" t="s">
        <v>27</v>
      </c>
      <c r="B34" s="20" t="s">
        <v>6</v>
      </c>
      <c r="C34" s="20" t="s">
        <v>36</v>
      </c>
      <c r="D34" s="21">
        <v>563</v>
      </c>
      <c r="E34" s="22">
        <v>36099.19</v>
      </c>
      <c r="F34" s="23">
        <v>391.5</v>
      </c>
      <c r="G34" s="176">
        <f t="shared" si="4"/>
        <v>0.69538188277087032</v>
      </c>
    </row>
    <row r="35" spans="1:7" x14ac:dyDescent="0.25">
      <c r="A35" s="8" t="s">
        <v>27</v>
      </c>
      <c r="B35" s="20" t="s">
        <v>7</v>
      </c>
      <c r="C35" s="20" t="s">
        <v>36</v>
      </c>
      <c r="D35" s="21">
        <v>326</v>
      </c>
      <c r="E35" s="22">
        <v>36099.19</v>
      </c>
      <c r="F35" s="23">
        <v>211.75</v>
      </c>
      <c r="G35" s="176">
        <f t="shared" si="4"/>
        <v>0.64953987730061347</v>
      </c>
    </row>
    <row r="36" spans="1:7" x14ac:dyDescent="0.25">
      <c r="A36" s="8" t="s">
        <v>27</v>
      </c>
      <c r="B36" s="20" t="s">
        <v>8</v>
      </c>
      <c r="C36" s="20" t="s">
        <v>36</v>
      </c>
      <c r="D36" s="21">
        <v>573.25</v>
      </c>
      <c r="E36" s="22">
        <v>36099.19</v>
      </c>
      <c r="F36" s="23">
        <v>556.5</v>
      </c>
      <c r="G36" s="176">
        <f t="shared" si="4"/>
        <v>0.97078063672045356</v>
      </c>
    </row>
    <row r="37" spans="1:7" x14ac:dyDescent="0.25">
      <c r="A37" s="8" t="s">
        <v>27</v>
      </c>
      <c r="B37" s="20" t="s">
        <v>11</v>
      </c>
      <c r="C37" s="20" t="s">
        <v>36</v>
      </c>
      <c r="D37" s="21">
        <v>4820.5</v>
      </c>
      <c r="E37" s="22">
        <v>36099.19</v>
      </c>
      <c r="F37" s="23">
        <v>3446</v>
      </c>
      <c r="G37" s="176">
        <f t="shared" si="4"/>
        <v>0.71486360336064725</v>
      </c>
    </row>
    <row r="38" spans="1:7" x14ac:dyDescent="0.25">
      <c r="A38" s="8" t="s">
        <v>27</v>
      </c>
      <c r="B38" s="20" t="s">
        <v>13</v>
      </c>
      <c r="C38" s="20" t="s">
        <v>36</v>
      </c>
      <c r="D38" s="21">
        <v>1797</v>
      </c>
      <c r="E38" s="22">
        <v>36099.19</v>
      </c>
      <c r="F38" s="23">
        <v>1391.75</v>
      </c>
      <c r="G38" s="176">
        <f t="shared" si="4"/>
        <v>0.77448525319977746</v>
      </c>
    </row>
    <row r="39" spans="1:7" x14ac:dyDescent="0.25">
      <c r="A39" s="8" t="s">
        <v>27</v>
      </c>
      <c r="B39" s="20" t="s">
        <v>14</v>
      </c>
      <c r="C39" s="20" t="s">
        <v>36</v>
      </c>
      <c r="D39" s="21">
        <v>953.5</v>
      </c>
      <c r="E39" s="22">
        <v>36099.19</v>
      </c>
      <c r="F39" s="23">
        <v>632</v>
      </c>
      <c r="G39" s="176">
        <f t="shared" si="4"/>
        <v>0.66282118510749866</v>
      </c>
    </row>
    <row r="40" spans="1:7" x14ac:dyDescent="0.25">
      <c r="A40" s="8" t="s">
        <v>27</v>
      </c>
      <c r="B40" s="20" t="s">
        <v>16</v>
      </c>
      <c r="C40" s="20" t="s">
        <v>36</v>
      </c>
      <c r="D40" s="21">
        <v>610.75</v>
      </c>
      <c r="E40" s="22">
        <v>36099.19</v>
      </c>
      <c r="F40" s="23">
        <v>607.5</v>
      </c>
      <c r="G40" s="176">
        <f t="shared" si="4"/>
        <v>0.99467867376176833</v>
      </c>
    </row>
    <row r="41" spans="1:7" x14ac:dyDescent="0.25">
      <c r="A41" s="8" t="s">
        <v>28</v>
      </c>
      <c r="B41" s="20" t="s">
        <v>9</v>
      </c>
      <c r="C41" s="20" t="s">
        <v>38</v>
      </c>
      <c r="D41" s="21">
        <v>7687.25</v>
      </c>
      <c r="E41" s="22">
        <v>7687.25</v>
      </c>
      <c r="F41" s="23">
        <v>7687.25</v>
      </c>
      <c r="G41" s="176">
        <f t="shared" si="4"/>
        <v>1</v>
      </c>
    </row>
    <row r="42" spans="1:7" x14ac:dyDescent="0.25">
      <c r="A42" s="8" t="s">
        <v>29</v>
      </c>
      <c r="B42" s="20" t="s">
        <v>0</v>
      </c>
      <c r="C42" s="20" t="s">
        <v>35</v>
      </c>
      <c r="D42" s="21">
        <v>7582.5</v>
      </c>
      <c r="E42" s="22">
        <v>20827.5</v>
      </c>
      <c r="F42" s="23">
        <v>7543.25</v>
      </c>
      <c r="G42" s="176">
        <f t="shared" si="4"/>
        <v>0.99482360698977912</v>
      </c>
    </row>
    <row r="43" spans="1:7" x14ac:dyDescent="0.25">
      <c r="A43" s="8" t="s">
        <v>29</v>
      </c>
      <c r="B43" s="20" t="s">
        <v>19</v>
      </c>
      <c r="C43" s="20" t="s">
        <v>35</v>
      </c>
      <c r="D43" s="21">
        <v>1442.5</v>
      </c>
      <c r="E43" s="22">
        <v>20827.5</v>
      </c>
      <c r="F43" s="23">
        <v>1345.5</v>
      </c>
      <c r="G43" s="176">
        <f t="shared" si="4"/>
        <v>0.9327556325823223</v>
      </c>
    </row>
    <row r="44" spans="1:7" x14ac:dyDescent="0.25">
      <c r="A44" s="8" t="s">
        <v>29</v>
      </c>
      <c r="B44" s="20" t="s">
        <v>3</v>
      </c>
      <c r="C44" s="20" t="s">
        <v>35</v>
      </c>
      <c r="D44" s="21">
        <v>992</v>
      </c>
      <c r="E44" s="22">
        <v>20827.5</v>
      </c>
      <c r="F44" s="23">
        <v>957</v>
      </c>
      <c r="G44" s="176">
        <f t="shared" si="4"/>
        <v>0.96471774193548387</v>
      </c>
    </row>
    <row r="45" spans="1:7" x14ac:dyDescent="0.25">
      <c r="A45" s="8" t="s">
        <v>29</v>
      </c>
      <c r="B45" s="20" t="s">
        <v>10</v>
      </c>
      <c r="C45" s="20" t="s">
        <v>35</v>
      </c>
      <c r="D45" s="21">
        <v>1841.25</v>
      </c>
      <c r="E45" s="22">
        <v>20827.5</v>
      </c>
      <c r="F45" s="23">
        <v>1775.5</v>
      </c>
      <c r="G45" s="176">
        <f t="shared" si="4"/>
        <v>0.96429056347589948</v>
      </c>
    </row>
    <row r="46" spans="1:7" x14ac:dyDescent="0.25">
      <c r="A46" s="8" t="s">
        <v>29</v>
      </c>
      <c r="B46" s="20" t="s">
        <v>12</v>
      </c>
      <c r="C46" s="20" t="s">
        <v>35</v>
      </c>
      <c r="D46" s="21">
        <v>6678</v>
      </c>
      <c r="E46" s="22">
        <v>20827.5</v>
      </c>
      <c r="F46" s="23">
        <v>6647.25</v>
      </c>
      <c r="G46" s="176">
        <f t="shared" si="4"/>
        <v>0.99539532794249774</v>
      </c>
    </row>
    <row r="47" spans="1:7" x14ac:dyDescent="0.25">
      <c r="A47" s="8" t="s">
        <v>29</v>
      </c>
      <c r="B47" s="20" t="s">
        <v>15</v>
      </c>
      <c r="C47" s="20" t="s">
        <v>35</v>
      </c>
      <c r="D47" s="21">
        <v>2582.25</v>
      </c>
      <c r="E47" s="22">
        <v>20827.5</v>
      </c>
      <c r="F47" s="23">
        <v>2559</v>
      </c>
      <c r="G47" s="176">
        <f t="shared" si="4"/>
        <v>0.99099622422306133</v>
      </c>
    </row>
    <row r="48" spans="1:7" ht="6" customHeight="1" x14ac:dyDescent="0.25">
      <c r="A48" s="11"/>
      <c r="B48" s="24"/>
      <c r="C48" s="24"/>
      <c r="D48" s="25"/>
      <c r="E48" s="26"/>
      <c r="F48" s="27"/>
      <c r="G48" s="169"/>
    </row>
    <row r="49" spans="1:7" ht="6" customHeight="1" x14ac:dyDescent="0.25">
      <c r="B49" s="20"/>
      <c r="C49" s="20"/>
      <c r="D49" s="21"/>
      <c r="E49" s="22"/>
      <c r="F49" s="23"/>
      <c r="G49" s="176"/>
    </row>
    <row r="50" spans="1:7" x14ac:dyDescent="0.25">
      <c r="A50" s="8" t="s">
        <v>26</v>
      </c>
      <c r="B50" s="20" t="s">
        <v>37</v>
      </c>
      <c r="C50" s="20" t="s">
        <v>48</v>
      </c>
      <c r="D50" s="21">
        <v>55951.75</v>
      </c>
      <c r="E50" s="22">
        <v>119654.285</v>
      </c>
      <c r="F50" s="23">
        <v>55823</v>
      </c>
      <c r="G50" s="176">
        <f>IFERROR(F50/D50,"")</f>
        <v>0.99769891022175361</v>
      </c>
    </row>
    <row r="51" spans="1:7" x14ac:dyDescent="0.25">
      <c r="A51" s="8" t="s">
        <v>27</v>
      </c>
      <c r="B51" s="20" t="s">
        <v>36</v>
      </c>
      <c r="C51" s="20" t="s">
        <v>48</v>
      </c>
      <c r="D51" s="21">
        <v>36099.19</v>
      </c>
      <c r="E51" s="22">
        <v>119654.285</v>
      </c>
      <c r="F51" s="23">
        <v>36043.534999999996</v>
      </c>
      <c r="G51" s="176">
        <f t="shared" ref="G51:G53" si="5">IFERROR(F51/D51,"")</f>
        <v>0.99845827565660039</v>
      </c>
    </row>
    <row r="52" spans="1:7" x14ac:dyDescent="0.25">
      <c r="A52" s="8" t="s">
        <v>28</v>
      </c>
      <c r="B52" s="20" t="s">
        <v>38</v>
      </c>
      <c r="C52" s="20" t="s">
        <v>48</v>
      </c>
      <c r="D52" s="21">
        <v>7687.25</v>
      </c>
      <c r="E52" s="22">
        <v>119654.285</v>
      </c>
      <c r="F52" s="23">
        <v>7311.5</v>
      </c>
      <c r="G52" s="176">
        <f t="shared" si="5"/>
        <v>0.9511203616377768</v>
      </c>
    </row>
    <row r="53" spans="1:7" x14ac:dyDescent="0.25">
      <c r="A53" s="8" t="s">
        <v>29</v>
      </c>
      <c r="B53" s="20" t="s">
        <v>35</v>
      </c>
      <c r="C53" s="20" t="s">
        <v>48</v>
      </c>
      <c r="D53" s="21">
        <v>20827.5</v>
      </c>
      <c r="E53" s="22">
        <v>119654.285</v>
      </c>
      <c r="F53" s="23">
        <v>20476.25</v>
      </c>
      <c r="G53" s="176">
        <f t="shared" si="5"/>
        <v>0.98313527787780575</v>
      </c>
    </row>
    <row r="54" spans="1:7" ht="6" customHeight="1" thickBot="1" x14ac:dyDescent="0.3">
      <c r="B54" s="6"/>
      <c r="C54" s="2"/>
      <c r="D54" s="6"/>
      <c r="E54" s="6"/>
      <c r="F54" s="6"/>
      <c r="G54" s="187"/>
    </row>
    <row r="55" spans="1:7" ht="6" customHeight="1" thickTop="1" x14ac:dyDescent="0.25">
      <c r="A55" s="5"/>
      <c r="C55" s="1"/>
    </row>
    <row r="56" spans="1:7" x14ac:dyDescent="0.25">
      <c r="B56" s="188" t="s">
        <v>152</v>
      </c>
    </row>
    <row r="57" spans="1:7" x14ac:dyDescent="0.25">
      <c r="B57" s="35"/>
      <c r="D57" s="12"/>
      <c r="F57" s="12"/>
      <c r="G57" s="174"/>
    </row>
    <row r="58" spans="1:7" x14ac:dyDescent="0.25">
      <c r="B58" s="35"/>
      <c r="F58" s="12"/>
    </row>
    <row r="59" spans="1:7" x14ac:dyDescent="0.25">
      <c r="B59" s="35"/>
    </row>
    <row r="60" spans="1:7" x14ac:dyDescent="0.25">
      <c r="B60" s="35"/>
    </row>
    <row r="61" spans="1:7" x14ac:dyDescent="0.25">
      <c r="B61" s="35"/>
      <c r="G61" s="174"/>
    </row>
    <row r="62" spans="1:7" x14ac:dyDescent="0.25">
      <c r="B62" s="35"/>
    </row>
    <row r="63" spans="1:7" x14ac:dyDescent="0.25">
      <c r="B63" s="35"/>
    </row>
    <row r="64" spans="1:7" x14ac:dyDescent="0.25">
      <c r="B64" s="35"/>
    </row>
    <row r="67" spans="1:1" x14ac:dyDescent="0.25">
      <c r="A67" s="5"/>
    </row>
    <row r="68" spans="1:1" ht="6" customHeight="1" x14ac:dyDescent="0.25">
      <c r="A68" s="5"/>
    </row>
  </sheetData>
  <sortState ref="B11:J37">
    <sortCondition ref="C11:C37"/>
    <sortCondition ref="B11:B37"/>
  </sortState>
  <printOptions horizontalCentered="1" verticalCentered="1"/>
  <pageMargins left="0.7" right="0.7" top="0.75" bottom="0.75" header="0.3" footer="0.3"/>
  <pageSetup scale="73" orientation="landscape" horizontalDpi="1200" verticalDpi="1200" r:id="rId1"/>
  <headerFooter scaleWithDoc="0">
    <oddFooter>&amp;R&amp;F&amp;A&amp;P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
  <sheetViews>
    <sheetView topLeftCell="A1048576" zoomScale="80" zoomScaleNormal="80" workbookViewId="0">
      <selection activeCell="B2" sqref="B2"/>
    </sheetView>
  </sheetViews>
  <sheetFormatPr defaultRowHeight="15" zeroHeight="1" x14ac:dyDescent="0.25"/>
  <sheetData>
    <row r="1" hidden="1" x14ac:dyDescent="0.25"/>
  </sheetData>
  <printOptions horizontalCentered="1" verticalCentered="1"/>
  <pageMargins left="0.7" right="0.7" top="0.75" bottom="0.75" header="0.3" footer="0.3"/>
  <pageSetup orientation="landscape" horizontalDpi="1200" verticalDpi="1200" r:id="rId1"/>
  <headerFooter scaleWithDoc="0">
    <oddHeader>&amp;R&amp;"Calibri,Regular"&amp;11Privileged and Confidential
Prepared at the Request of Counsel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C81"/>
  <sheetViews>
    <sheetView topLeftCell="D2" zoomScale="70" zoomScaleNormal="70" workbookViewId="0">
      <selection activeCell="D2" sqref="D2"/>
    </sheetView>
  </sheetViews>
  <sheetFormatPr defaultRowHeight="15.75" outlineLevelRow="1" outlineLevelCol="1" x14ac:dyDescent="0.25"/>
  <cols>
    <col min="1" max="1" width="38.42578125" style="8" hidden="1" customWidth="1" outlineLevel="1"/>
    <col min="2" max="2" width="14.42578125" style="72" hidden="1" customWidth="1" outlineLevel="1"/>
    <col min="3" max="3" width="14" style="72" hidden="1" customWidth="1" outlineLevel="1"/>
    <col min="4" max="4" width="7.5703125" style="5" customWidth="1" collapsed="1"/>
    <col min="5" max="5" width="40.5703125" style="35" customWidth="1"/>
    <col min="6" max="6" width="11.42578125" style="5" bestFit="1" customWidth="1"/>
    <col min="7" max="7" width="13.85546875" style="141" customWidth="1"/>
    <col min="8" max="8" width="15.140625" style="141" customWidth="1"/>
    <col min="9" max="9" width="12.5703125" style="41" customWidth="1"/>
    <col min="10" max="18" width="8.140625" style="48" hidden="1" customWidth="1" outlineLevel="1"/>
    <col min="19" max="19" width="13" style="48" bestFit="1" customWidth="1" collapsed="1"/>
    <col min="20" max="20" width="12.42578125" style="41" hidden="1" customWidth="1" outlineLevel="1"/>
    <col min="21" max="21" width="17.42578125" style="41" customWidth="1" collapsed="1"/>
    <col min="22" max="22" width="19.140625" style="41" hidden="1" customWidth="1" outlineLevel="1"/>
    <col min="23" max="23" width="17.42578125" style="41" customWidth="1" collapsed="1"/>
    <col min="24" max="24" width="17.28515625" style="41" customWidth="1"/>
    <col min="25" max="25" width="13.140625" style="41" customWidth="1"/>
    <col min="26" max="26" width="20.5703125" style="41" customWidth="1"/>
    <col min="27" max="27" width="22.5703125" style="37" customWidth="1"/>
    <col min="28" max="28" width="20.42578125" customWidth="1"/>
    <col min="29" max="16384" width="9.140625" style="5"/>
  </cols>
  <sheetData>
    <row r="1" spans="1:29" s="151" customFormat="1" hidden="1" outlineLevel="1" x14ac:dyDescent="0.25">
      <c r="G1" s="210">
        <v>1</v>
      </c>
      <c r="H1" s="210">
        <f>G1+1</f>
        <v>2</v>
      </c>
      <c r="I1" s="152">
        <f>MAX($G$1:H1)+1</f>
        <v>3</v>
      </c>
      <c r="J1" s="210"/>
      <c r="K1" s="210"/>
      <c r="L1" s="210"/>
      <c r="M1" s="210"/>
      <c r="N1" s="210"/>
      <c r="O1" s="210"/>
      <c r="P1" s="210"/>
      <c r="Q1" s="210"/>
      <c r="R1" s="210"/>
      <c r="S1" s="210">
        <f>MAX($G$1:R1)+1</f>
        <v>4</v>
      </c>
      <c r="T1" s="152">
        <f>MAX($G$1:S1)+1</f>
        <v>5</v>
      </c>
      <c r="U1" s="152">
        <f>MAX($G$1:T1)+1</f>
        <v>6</v>
      </c>
      <c r="V1" s="152">
        <f>MAX($G$1:U1)+1</f>
        <v>7</v>
      </c>
      <c r="W1" s="152">
        <f>MAX($G$1:V1)+1</f>
        <v>8</v>
      </c>
      <c r="X1" s="152">
        <f>MAX($G$1:W1)+1</f>
        <v>9</v>
      </c>
      <c r="Y1" s="152">
        <f>MAX($G$1:X1)+1</f>
        <v>10</v>
      </c>
      <c r="Z1" s="152">
        <f>MAX($G$1:Y1)+1</f>
        <v>11</v>
      </c>
      <c r="AA1" s="152">
        <f>MAX($G$1:Z1)+1</f>
        <v>12</v>
      </c>
      <c r="AB1" s="153"/>
    </row>
    <row r="2" spans="1:29" collapsed="1" x14ac:dyDescent="0.25"/>
    <row r="3" spans="1:29" ht="21" x14ac:dyDescent="0.35">
      <c r="D3" s="98" t="s">
        <v>52</v>
      </c>
      <c r="E3" s="98"/>
      <c r="F3" s="13"/>
      <c r="G3" s="142"/>
      <c r="H3" s="143"/>
      <c r="I3" s="49"/>
      <c r="J3" s="47"/>
      <c r="K3" s="47"/>
      <c r="L3" s="47"/>
      <c r="M3" s="47"/>
      <c r="N3" s="47"/>
      <c r="O3" s="47"/>
      <c r="P3" s="47"/>
      <c r="Q3" s="47"/>
      <c r="R3" s="47"/>
      <c r="S3" s="47"/>
      <c r="T3" s="49"/>
      <c r="U3" s="49"/>
      <c r="V3" s="49"/>
      <c r="W3" s="49"/>
      <c r="X3" s="49"/>
      <c r="Y3" s="49"/>
      <c r="Z3" s="49"/>
      <c r="AA3" s="38"/>
    </row>
    <row r="4" spans="1:29" ht="6" customHeight="1" thickBot="1" x14ac:dyDescent="0.3">
      <c r="D4" s="2"/>
      <c r="E4" s="2"/>
      <c r="F4" s="2"/>
      <c r="G4" s="144"/>
      <c r="H4" s="144"/>
      <c r="I4" s="55"/>
      <c r="J4" s="53"/>
      <c r="K4" s="53"/>
      <c r="L4" s="53"/>
      <c r="M4" s="53"/>
      <c r="N4" s="53"/>
      <c r="O4" s="53"/>
      <c r="P4" s="53"/>
      <c r="Q4" s="53"/>
      <c r="R4" s="53"/>
      <c r="S4" s="53"/>
      <c r="T4" s="55"/>
      <c r="U4" s="55"/>
      <c r="V4" s="55"/>
      <c r="W4" s="50"/>
      <c r="X4" s="50"/>
      <c r="Y4" s="55"/>
      <c r="Z4" s="55"/>
      <c r="AA4" s="39"/>
    </row>
    <row r="5" spans="1:29" ht="6" customHeight="1" thickTop="1" x14ac:dyDescent="0.25">
      <c r="D5" s="1"/>
      <c r="E5" s="1"/>
      <c r="F5" s="1"/>
      <c r="G5" s="145"/>
      <c r="H5" s="145"/>
      <c r="I5" s="42"/>
      <c r="J5" s="52"/>
      <c r="K5" s="52"/>
      <c r="L5" s="52"/>
      <c r="M5" s="52"/>
      <c r="N5" s="52"/>
      <c r="O5" s="52"/>
      <c r="P5" s="52"/>
      <c r="Q5" s="52"/>
      <c r="R5" s="52"/>
      <c r="S5" s="52"/>
      <c r="T5" s="42"/>
      <c r="U5" s="62"/>
      <c r="V5" s="62"/>
      <c r="W5" s="51"/>
      <c r="X5" s="51"/>
      <c r="Y5" s="42"/>
      <c r="Z5" s="42"/>
      <c r="AA5" s="36"/>
    </row>
    <row r="6" spans="1:29" s="45" customFormat="1" ht="64.5" customHeight="1" x14ac:dyDescent="0.25">
      <c r="A6" s="154"/>
      <c r="B6" s="154" t="s">
        <v>100</v>
      </c>
      <c r="C6" s="154" t="s">
        <v>100</v>
      </c>
      <c r="D6" s="227" t="s">
        <v>65</v>
      </c>
      <c r="E6" s="227"/>
      <c r="F6" s="228" t="s">
        <v>115</v>
      </c>
      <c r="G6" s="146" t="s">
        <v>112</v>
      </c>
      <c r="H6" s="146" t="s">
        <v>111</v>
      </c>
      <c r="I6" s="241" t="s">
        <v>54</v>
      </c>
      <c r="J6" s="230" t="s">
        <v>42</v>
      </c>
      <c r="K6" s="230" t="s">
        <v>43</v>
      </c>
      <c r="L6" s="230" t="s">
        <v>44</v>
      </c>
      <c r="M6" s="230" t="s">
        <v>45</v>
      </c>
      <c r="N6" s="230" t="s">
        <v>46</v>
      </c>
      <c r="O6" s="230" t="s">
        <v>39</v>
      </c>
      <c r="P6" s="230" t="s">
        <v>40</v>
      </c>
      <c r="Q6" s="230" t="s">
        <v>41</v>
      </c>
      <c r="R6" s="230" t="s">
        <v>47</v>
      </c>
      <c r="S6" s="230" t="s">
        <v>151</v>
      </c>
      <c r="T6" s="229" t="s">
        <v>24</v>
      </c>
      <c r="U6" s="244" t="s">
        <v>74</v>
      </c>
      <c r="V6" s="244" t="s">
        <v>75</v>
      </c>
      <c r="W6" s="229" t="s">
        <v>79</v>
      </c>
      <c r="X6" s="229" t="s">
        <v>80</v>
      </c>
      <c r="Y6" s="241" t="s">
        <v>64</v>
      </c>
      <c r="Z6" s="241" t="s">
        <v>76</v>
      </c>
      <c r="AA6" s="229" t="s">
        <v>77</v>
      </c>
      <c r="AB6" s="229"/>
    </row>
    <row r="7" spans="1:29" x14ac:dyDescent="0.25">
      <c r="A7" s="28"/>
      <c r="B7" s="28"/>
      <c r="C7" s="28"/>
      <c r="D7" s="233"/>
      <c r="E7" s="233"/>
      <c r="F7" s="237"/>
      <c r="G7" s="147" t="s">
        <v>30</v>
      </c>
      <c r="H7" s="147" t="s">
        <v>30</v>
      </c>
      <c r="I7" s="242" t="s">
        <v>22</v>
      </c>
      <c r="J7" s="204" t="s">
        <v>30</v>
      </c>
      <c r="K7" s="204" t="s">
        <v>30</v>
      </c>
      <c r="L7" s="204" t="s">
        <v>30</v>
      </c>
      <c r="M7" s="204" t="s">
        <v>30</v>
      </c>
      <c r="N7" s="204" t="s">
        <v>30</v>
      </c>
      <c r="O7" s="204" t="s">
        <v>30</v>
      </c>
      <c r="P7" s="204" t="s">
        <v>30</v>
      </c>
      <c r="Q7" s="204" t="s">
        <v>30</v>
      </c>
      <c r="R7" s="204" t="s">
        <v>30</v>
      </c>
      <c r="S7" s="204" t="s">
        <v>30</v>
      </c>
      <c r="T7" s="205" t="s">
        <v>22</v>
      </c>
      <c r="U7" s="205" t="s">
        <v>22</v>
      </c>
      <c r="V7" s="205" t="s">
        <v>22</v>
      </c>
      <c r="W7" s="205" t="s">
        <v>22</v>
      </c>
      <c r="X7" s="205" t="s">
        <v>22</v>
      </c>
      <c r="Y7" s="242" t="s">
        <v>22</v>
      </c>
      <c r="Z7" s="242" t="s">
        <v>22</v>
      </c>
      <c r="AA7" s="205" t="s">
        <v>22</v>
      </c>
      <c r="AB7" s="237"/>
    </row>
    <row r="8" spans="1:29" x14ac:dyDescent="0.25">
      <c r="A8" s="28"/>
      <c r="B8" s="28"/>
      <c r="C8" s="28"/>
      <c r="D8" s="233"/>
      <c r="E8" s="233"/>
      <c r="F8" s="237"/>
      <c r="G8" s="147" t="str">
        <f>"["&amp;G1&amp;"]"</f>
        <v>[1]</v>
      </c>
      <c r="H8" s="147" t="str">
        <f t="shared" ref="H8:AA8" si="0">"["&amp;H1&amp;"]"</f>
        <v>[2]</v>
      </c>
      <c r="I8" s="242" t="str">
        <f t="shared" si="0"/>
        <v>[3]</v>
      </c>
      <c r="J8" s="204"/>
      <c r="K8" s="204"/>
      <c r="L8" s="204"/>
      <c r="M8" s="204"/>
      <c r="N8" s="204"/>
      <c r="O8" s="204"/>
      <c r="P8" s="204"/>
      <c r="Q8" s="204"/>
      <c r="R8" s="204"/>
      <c r="S8" s="204" t="str">
        <f t="shared" si="0"/>
        <v>[4]</v>
      </c>
      <c r="T8" s="231" t="str">
        <f t="shared" si="0"/>
        <v>[5]</v>
      </c>
      <c r="U8" s="231" t="str">
        <f t="shared" si="0"/>
        <v>[6]</v>
      </c>
      <c r="V8" s="231" t="str">
        <f t="shared" si="0"/>
        <v>[7]</v>
      </c>
      <c r="W8" s="231" t="str">
        <f>"["&amp;W1&amp;"]"</f>
        <v>[8]</v>
      </c>
      <c r="X8" s="231" t="str">
        <f>"["&amp;X1&amp;"]"</f>
        <v>[9]</v>
      </c>
      <c r="Y8" s="243" t="str">
        <f>"["&amp;Y1&amp;"]"</f>
        <v>[10]</v>
      </c>
      <c r="Z8" s="243" t="str">
        <f t="shared" si="0"/>
        <v>[11]</v>
      </c>
      <c r="AA8" s="231" t="str">
        <f t="shared" si="0"/>
        <v>[12]</v>
      </c>
      <c r="AB8" s="237"/>
    </row>
    <row r="9" spans="1:29" ht="6" customHeight="1" x14ac:dyDescent="0.25">
      <c r="A9" s="28"/>
      <c r="B9" s="28"/>
      <c r="C9" s="28"/>
      <c r="D9" s="234"/>
      <c r="E9" s="234"/>
      <c r="F9" s="239"/>
      <c r="G9" s="148"/>
      <c r="H9" s="148"/>
      <c r="I9" s="240"/>
      <c r="J9" s="212"/>
      <c r="K9" s="212"/>
      <c r="L9" s="212"/>
      <c r="M9" s="212"/>
      <c r="N9" s="212"/>
      <c r="O9" s="212"/>
      <c r="P9" s="212"/>
      <c r="Q9" s="212"/>
      <c r="R9" s="212"/>
      <c r="S9" s="212"/>
      <c r="T9" s="211"/>
      <c r="U9" s="211"/>
      <c r="V9" s="211"/>
      <c r="W9" s="211"/>
      <c r="X9" s="211"/>
      <c r="Y9" s="240"/>
      <c r="Z9" s="240"/>
      <c r="AA9" s="211"/>
      <c r="AB9" s="237"/>
    </row>
    <row r="10" spans="1:29" ht="6" customHeight="1" x14ac:dyDescent="0.25">
      <c r="A10" s="28"/>
      <c r="B10" s="28"/>
      <c r="C10" s="28"/>
      <c r="D10" s="233"/>
      <c r="E10" s="233"/>
      <c r="F10" s="237"/>
      <c r="G10" s="149"/>
      <c r="H10" s="149"/>
      <c r="I10" s="236"/>
      <c r="J10" s="194"/>
      <c r="K10" s="194"/>
      <c r="L10" s="194"/>
      <c r="M10" s="194"/>
      <c r="N10" s="194"/>
      <c r="O10" s="194"/>
      <c r="P10" s="194"/>
      <c r="Q10" s="194"/>
      <c r="R10" s="194"/>
      <c r="S10" s="194"/>
      <c r="T10" s="198"/>
      <c r="U10" s="198"/>
      <c r="V10" s="198"/>
      <c r="W10" s="198"/>
      <c r="X10" s="198"/>
      <c r="Y10" s="236"/>
      <c r="Z10" s="236"/>
      <c r="AA10" s="198"/>
      <c r="AB10" s="237"/>
    </row>
    <row r="11" spans="1:29" x14ac:dyDescent="0.25">
      <c r="A11" s="28" t="s">
        <v>26</v>
      </c>
      <c r="B11" s="28" t="s">
        <v>37</v>
      </c>
      <c r="C11" s="156"/>
      <c r="D11" s="245" t="s">
        <v>116</v>
      </c>
      <c r="E11" s="233" t="s">
        <v>18</v>
      </c>
      <c r="F11" s="237" t="s">
        <v>37</v>
      </c>
      <c r="G11" s="235">
        <v>1.1499999999999999</v>
      </c>
      <c r="H11" s="235">
        <v>1.1499999999999999</v>
      </c>
      <c r="I11" s="236">
        <v>43982.219759852145</v>
      </c>
      <c r="J11" s="194">
        <f>INDEX('2006'!$G$25:$G$47,MATCH('2030 Regional ISO'!$E11,'2006'!$B$25:$B$47,0))</f>
        <v>1</v>
      </c>
      <c r="K11" s="194">
        <f>INDEX('2007'!$G$25:$G$47,MATCH('2030 Regional ISO'!$E11,'2007'!$B$25:$B$47,0))</f>
        <v>0.99906024919213998</v>
      </c>
      <c r="L11" s="194">
        <f>INDEX('2008'!$G$25:$G$47,MATCH('2030 Regional ISO'!$E11,'2008'!$B$25:$B$47,0))</f>
        <v>1</v>
      </c>
      <c r="M11" s="194">
        <f>INDEX('2009'!$G$25:$G$47,MATCH('2030 Regional ISO'!$E11,'2009'!$B$25:$B$47,0))</f>
        <v>0.99936019098947904</v>
      </c>
      <c r="N11" s="194">
        <f>INDEX('2010'!$G$25:$G$47,MATCH('2030 Regional ISO'!$E11,'2010'!$B$25:$B$47,0))</f>
        <v>1</v>
      </c>
      <c r="O11" s="194">
        <f>INDEX('2011'!$G$25:$G$47,MATCH('2030 Regional ISO'!$E11,'2011'!$B$25:$B$47,0))</f>
        <v>1</v>
      </c>
      <c r="P11" s="194">
        <f>INDEX('2012'!$G$25:$G$47,MATCH('2030 Regional ISO'!$E11,'2012'!$B$25:$B$47,0))</f>
        <v>1</v>
      </c>
      <c r="Q11" s="194">
        <f>INDEX('2013'!$G$25:$G$47,MATCH('2030 Regional ISO'!$E11,'2013'!$B$25:$B$47,0))</f>
        <v>0.99853660716280523</v>
      </c>
      <c r="R11" s="194">
        <f>INDEX('2014'!$G$25:$G$47,MATCH('2030 Regional ISO'!$E11,'2014'!$B$25:$B$47,0))</f>
        <v>0.99954387012124046</v>
      </c>
      <c r="S11" s="194">
        <f>MEDIAN(J11:R11)</f>
        <v>1</v>
      </c>
      <c r="T11" s="198">
        <f t="shared" ref="T11:T33" si="1">S11*I11</f>
        <v>43982.219759852145</v>
      </c>
      <c r="U11" s="198">
        <f t="shared" ref="U11:U33" si="2">MAX(I11*H11*(1-S11),0)</f>
        <v>0</v>
      </c>
      <c r="V11" s="198">
        <f t="shared" ref="V11:V33" si="3">(H11-G11)*I11</f>
        <v>0</v>
      </c>
      <c r="W11" s="198">
        <f>MIN(V11,U11)</f>
        <v>0</v>
      </c>
      <c r="X11" s="198">
        <f t="shared" ref="X11:X33" si="4">H11*(1-S11)*I11-W11</f>
        <v>0</v>
      </c>
      <c r="Y11" s="236">
        <v>3638.6717439220956</v>
      </c>
      <c r="Z11" s="236">
        <f>MAX(MIN(Y11-W11,X11),0)</f>
        <v>0</v>
      </c>
      <c r="AA11" s="198">
        <f t="shared" ref="AA11:AA33" si="5">X11-Z11</f>
        <v>0</v>
      </c>
      <c r="AB11" s="237"/>
      <c r="AC11" s="177"/>
    </row>
    <row r="12" spans="1:29" x14ac:dyDescent="0.25">
      <c r="A12" s="28" t="s">
        <v>26</v>
      </c>
      <c r="B12" s="28" t="s">
        <v>37</v>
      </c>
      <c r="C12" s="156"/>
      <c r="D12" s="245" t="s">
        <v>117</v>
      </c>
      <c r="E12" s="233" t="s">
        <v>4</v>
      </c>
      <c r="F12" s="237" t="s">
        <v>37</v>
      </c>
      <c r="G12" s="235">
        <v>1.1499999999999999</v>
      </c>
      <c r="H12" s="235">
        <v>1.1499999999999999</v>
      </c>
      <c r="I12" s="236">
        <v>6435.854868225576</v>
      </c>
      <c r="J12" s="194">
        <f>INDEX('2006'!$G$25:$G$47,MATCH('2030 Regional ISO'!$E12,'2006'!$B$25:$B$47,0))</f>
        <v>0.99313510607501754</v>
      </c>
      <c r="K12" s="194">
        <f>INDEX('2007'!$G$25:$G$47,MATCH('2030 Regional ISO'!$E12,'2007'!$B$25:$B$47,0))</f>
        <v>0.98937219945199095</v>
      </c>
      <c r="L12" s="194">
        <f>INDEX('2008'!$G$25:$G$47,MATCH('2030 Regional ISO'!$E12,'2008'!$B$25:$B$47,0))</f>
        <v>0.99895134228187921</v>
      </c>
      <c r="M12" s="194">
        <f>INDEX('2009'!$G$25:$G$47,MATCH('2030 Regional ISO'!$E12,'2009'!$B$25:$B$47,0))</f>
        <v>0.99991182046646976</v>
      </c>
      <c r="N12" s="194">
        <f>INDEX('2010'!$G$25:$G$47,MATCH('2030 Regional ISO'!$E12,'2010'!$B$25:$B$47,0))</f>
        <v>0.9183622931198151</v>
      </c>
      <c r="O12" s="194">
        <f>INDEX('2011'!$G$25:$G$47,MATCH('2030 Regional ISO'!$E12,'2011'!$B$25:$B$47,0))</f>
        <v>0.95504230538790902</v>
      </c>
      <c r="P12" s="194">
        <f>INDEX('2012'!$G$25:$G$47,MATCH('2030 Regional ISO'!$E12,'2012'!$B$25:$B$47,0))</f>
        <v>0.95523214598322537</v>
      </c>
      <c r="Q12" s="194">
        <f>INDEX('2013'!$G$25:$G$47,MATCH('2030 Regional ISO'!$E12,'2013'!$B$25:$B$47,0))</f>
        <v>0.92691332063947962</v>
      </c>
      <c r="R12" s="194">
        <f>INDEX('2014'!$G$25:$G$47,MATCH('2030 Regional ISO'!$E12,'2014'!$B$25:$B$47,0))</f>
        <v>0.95898803580499936</v>
      </c>
      <c r="S12" s="194">
        <f t="shared" ref="S12:S33" si="6">MEDIAN(J12:R12)</f>
        <v>0.95898803580499936</v>
      </c>
      <c r="T12" s="198">
        <f t="shared" si="1"/>
        <v>6171.9078188056883</v>
      </c>
      <c r="U12" s="198">
        <f t="shared" si="2"/>
        <v>303.53910683287103</v>
      </c>
      <c r="V12" s="198">
        <f t="shared" si="3"/>
        <v>0</v>
      </c>
      <c r="W12" s="198">
        <f t="shared" ref="W12:W33" si="7">MIN(V12,U12)</f>
        <v>0</v>
      </c>
      <c r="X12" s="198">
        <f t="shared" si="4"/>
        <v>303.53910683287103</v>
      </c>
      <c r="Y12" s="236">
        <v>3750</v>
      </c>
      <c r="Z12" s="236">
        <f t="shared" ref="Z12:Z33" si="8">MAX(MIN(Y12-W12,X12),0)</f>
        <v>303.53910683287103</v>
      </c>
      <c r="AA12" s="198">
        <f t="shared" si="5"/>
        <v>0</v>
      </c>
      <c r="AB12" s="237"/>
    </row>
    <row r="13" spans="1:29" x14ac:dyDescent="0.25">
      <c r="A13" s="28" t="s">
        <v>27</v>
      </c>
      <c r="B13" s="28" t="s">
        <v>48</v>
      </c>
      <c r="C13" s="156"/>
      <c r="D13" s="245" t="s">
        <v>118</v>
      </c>
      <c r="E13" s="233" t="s">
        <v>1</v>
      </c>
      <c r="F13" s="237" t="s">
        <v>36</v>
      </c>
      <c r="G13" s="235">
        <v>1.04</v>
      </c>
      <c r="H13" s="235">
        <v>1.1539999999999999</v>
      </c>
      <c r="I13" s="236">
        <v>2490.3509303331875</v>
      </c>
      <c r="J13" s="194">
        <f>INDEX('2006'!$G$25:$G$47,MATCH('2030 Regional ISO'!$E13,'2006'!$B$25:$B$47,0))</f>
        <v>0.96042563366810141</v>
      </c>
      <c r="K13" s="194">
        <f>INDEX('2007'!$G$25:$G$47,MATCH('2030 Regional ISO'!$E13,'2007'!$B$25:$B$47,0))</f>
        <v>0.88496503496503498</v>
      </c>
      <c r="L13" s="194">
        <f>INDEX('2008'!$G$25:$G$47,MATCH('2030 Regional ISO'!$E13,'2008'!$B$25:$B$47,0))</f>
        <v>0.80558239398819109</v>
      </c>
      <c r="M13" s="194">
        <f>INDEX('2009'!$G$25:$G$47,MATCH('2030 Regional ISO'!$E13,'2009'!$B$25:$B$47,0))</f>
        <v>0.80055555555555558</v>
      </c>
      <c r="N13" s="194">
        <f>INDEX('2010'!$G$25:$G$47,MATCH('2030 Regional ISO'!$E13,'2010'!$B$25:$B$47,0))</f>
        <v>0.82972350230414749</v>
      </c>
      <c r="O13" s="194">
        <f>INDEX('2011'!$G$25:$G$47,MATCH('2030 Regional ISO'!$E13,'2011'!$B$25:$B$47,0))</f>
        <v>0.85935121208572429</v>
      </c>
      <c r="P13" s="194">
        <f>INDEX('2012'!$G$25:$G$47,MATCH('2030 Regional ISO'!$E13,'2012'!$B$25:$B$47,0))</f>
        <v>0.97947069008162257</v>
      </c>
      <c r="Q13" s="194">
        <f>INDEX('2013'!$G$25:$G$47,MATCH('2030 Regional ISO'!$E13,'2013'!$B$25:$B$47,0))</f>
        <v>0.89138410227904397</v>
      </c>
      <c r="R13" s="194">
        <f>INDEX('2014'!$G$25:$G$47,MATCH('2030 Regional ISO'!$E13,'2014'!$B$25:$B$47,0))</f>
        <v>0.86803173241852483</v>
      </c>
      <c r="S13" s="194">
        <f t="shared" si="6"/>
        <v>0.86803173241852483</v>
      </c>
      <c r="T13" s="198">
        <f t="shared" si="1"/>
        <v>2161.7036323872017</v>
      </c>
      <c r="U13" s="198">
        <f t="shared" si="2"/>
        <v>379.2589818296675</v>
      </c>
      <c r="V13" s="198">
        <f t="shared" si="3"/>
        <v>283.90000605798309</v>
      </c>
      <c r="W13" s="198">
        <f t="shared" si="7"/>
        <v>283.90000605798309</v>
      </c>
      <c r="X13" s="198">
        <f t="shared" si="4"/>
        <v>95.35897577168447</v>
      </c>
      <c r="Y13" s="236">
        <v>150.80820407071212</v>
      </c>
      <c r="Z13" s="236">
        <f t="shared" si="8"/>
        <v>0</v>
      </c>
      <c r="AA13" s="198">
        <f t="shared" si="5"/>
        <v>95.35897577168447</v>
      </c>
      <c r="AB13" s="237"/>
    </row>
    <row r="14" spans="1:29" x14ac:dyDescent="0.25">
      <c r="A14" s="28" t="s">
        <v>27</v>
      </c>
      <c r="B14" s="28" t="s">
        <v>37</v>
      </c>
      <c r="C14" s="156"/>
      <c r="D14" s="245" t="s">
        <v>119</v>
      </c>
      <c r="E14" s="233" t="s">
        <v>17</v>
      </c>
      <c r="F14" s="237" t="s">
        <v>36</v>
      </c>
      <c r="G14" s="235">
        <v>1.1539999999999999</v>
      </c>
      <c r="H14" s="235">
        <v>1.1539999999999999</v>
      </c>
      <c r="I14" s="236">
        <v>4843.6707580770335</v>
      </c>
      <c r="J14" s="194">
        <f>INDEX('2006'!$G$25:$G$47,MATCH('2030 Regional ISO'!$E14,'2006'!$B$25:$B$47,0))</f>
        <v>0.97403993855606763</v>
      </c>
      <c r="K14" s="194">
        <f>INDEX('2007'!$G$25:$G$47,MATCH('2030 Regional ISO'!$E14,'2007'!$B$25:$B$47,0))</f>
        <v>0.9851380042462845</v>
      </c>
      <c r="L14" s="194">
        <f>INDEX('2008'!$G$25:$G$47,MATCH('2030 Regional ISO'!$E14,'2008'!$B$25:$B$47,0))</f>
        <v>0.98165062795628777</v>
      </c>
      <c r="M14" s="194">
        <f>INDEX('2009'!$G$25:$G$47,MATCH('2030 Regional ISO'!$E14,'2009'!$B$25:$B$47,0))</f>
        <v>0.93505807814149944</v>
      </c>
      <c r="N14" s="194">
        <f>INDEX('2010'!$G$25:$G$47,MATCH('2030 Regional ISO'!$E14,'2010'!$B$25:$B$47,0))</f>
        <v>0.87115204229555732</v>
      </c>
      <c r="O14" s="194">
        <f>INDEX('2011'!$G$25:$G$47,MATCH('2030 Regional ISO'!$E14,'2011'!$B$25:$B$47,0))</f>
        <v>0.83014824075727811</v>
      </c>
      <c r="P14" s="194">
        <f>INDEX('2012'!$G$25:$G$47,MATCH('2030 Regional ISO'!$E14,'2012'!$B$25:$B$47,0))</f>
        <v>0.97599380485286524</v>
      </c>
      <c r="Q14" s="194">
        <f>INDEX('2013'!$G$25:$G$47,MATCH('2030 Regional ISO'!$E14,'2013'!$B$25:$B$47,0))</f>
        <v>0.98583403185247276</v>
      </c>
      <c r="R14" s="194">
        <f>INDEX('2014'!$G$25:$G$47,MATCH('2030 Regional ISO'!$E14,'2014'!$B$25:$B$47,0))</f>
        <v>0.89970301230377603</v>
      </c>
      <c r="S14" s="194">
        <f t="shared" si="6"/>
        <v>0.97403993855606763</v>
      </c>
      <c r="T14" s="198">
        <f t="shared" si="1"/>
        <v>4717.9287675831756</v>
      </c>
      <c r="U14" s="198">
        <f t="shared" si="2"/>
        <v>145.10625702991243</v>
      </c>
      <c r="V14" s="198">
        <f t="shared" si="3"/>
        <v>0</v>
      </c>
      <c r="W14" s="198">
        <f t="shared" si="7"/>
        <v>0</v>
      </c>
      <c r="X14" s="198">
        <f t="shared" si="4"/>
        <v>145.10625702991243</v>
      </c>
      <c r="Y14" s="236">
        <v>0</v>
      </c>
      <c r="Z14" s="236">
        <f t="shared" si="8"/>
        <v>0</v>
      </c>
      <c r="AA14" s="198">
        <f t="shared" si="5"/>
        <v>145.10625702991243</v>
      </c>
      <c r="AB14" s="237"/>
    </row>
    <row r="15" spans="1:29" x14ac:dyDescent="0.25">
      <c r="A15" s="28" t="s">
        <v>27</v>
      </c>
      <c r="B15" s="28" t="s">
        <v>48</v>
      </c>
      <c r="C15" s="156"/>
      <c r="D15" s="245" t="s">
        <v>120</v>
      </c>
      <c r="E15" s="233" t="s">
        <v>2</v>
      </c>
      <c r="F15" s="237" t="s">
        <v>36</v>
      </c>
      <c r="G15" s="235">
        <v>1.1539999999999999</v>
      </c>
      <c r="H15" s="235">
        <v>1.1539999999999999</v>
      </c>
      <c r="I15" s="236">
        <v>4615.5766350474314</v>
      </c>
      <c r="J15" s="194">
        <f>INDEX('2006'!$G$25:$G$47,MATCH('2030 Regional ISO'!$E15,'2006'!$B$25:$B$47,0))</f>
        <v>0.99903071875932004</v>
      </c>
      <c r="K15" s="194">
        <f>INDEX('2007'!$G$25:$G$47,MATCH('2030 Regional ISO'!$E15,'2007'!$B$25:$B$47,0))</f>
        <v>0.98337411832445665</v>
      </c>
      <c r="L15" s="194">
        <f>INDEX('2008'!$G$25:$G$47,MATCH('2030 Regional ISO'!$E15,'2008'!$B$25:$B$47,0))</f>
        <v>0.93897285294749655</v>
      </c>
      <c r="M15" s="194">
        <f>INDEX('2009'!$G$25:$G$47,MATCH('2030 Regional ISO'!$E15,'2009'!$B$25:$B$47,0))</f>
        <v>0.91189991710000751</v>
      </c>
      <c r="N15" s="194">
        <f>INDEX('2010'!$G$25:$G$47,MATCH('2030 Regional ISO'!$E15,'2010'!$B$25:$B$47,0))</f>
        <v>0.93560635412630766</v>
      </c>
      <c r="O15" s="194">
        <f>INDEX('2011'!$G$25:$G$47,MATCH('2030 Regional ISO'!$E15,'2011'!$B$25:$B$47,0))</f>
        <v>0.95665047069541453</v>
      </c>
      <c r="P15" s="194">
        <f>INDEX('2012'!$G$25:$G$47,MATCH('2030 Regional ISO'!$E15,'2012'!$B$25:$B$47,0))</f>
        <v>0.92490340709518792</v>
      </c>
      <c r="Q15" s="194">
        <f>INDEX('2013'!$G$25:$G$47,MATCH('2030 Regional ISO'!$E15,'2013'!$B$25:$B$47,0))</f>
        <v>0.99648447864154943</v>
      </c>
      <c r="R15" s="194">
        <f>INDEX('2014'!$G$25:$G$47,MATCH('2030 Regional ISO'!$E15,'2014'!$B$25:$B$47,0))</f>
        <v>0.97787641795251179</v>
      </c>
      <c r="S15" s="194">
        <f t="shared" si="6"/>
        <v>0.95665047069541453</v>
      </c>
      <c r="T15" s="198">
        <f t="shared" si="1"/>
        <v>4415.4935604488828</v>
      </c>
      <c r="U15" s="198">
        <f t="shared" si="2"/>
        <v>230.89586808672507</v>
      </c>
      <c r="V15" s="198">
        <f t="shared" si="3"/>
        <v>0</v>
      </c>
      <c r="W15" s="198">
        <f t="shared" si="7"/>
        <v>0</v>
      </c>
      <c r="X15" s="198">
        <f t="shared" si="4"/>
        <v>230.89586808672507</v>
      </c>
      <c r="Y15" s="236">
        <v>1695.8049358675869</v>
      </c>
      <c r="Z15" s="236">
        <f t="shared" si="8"/>
        <v>230.89586808672507</v>
      </c>
      <c r="AA15" s="198">
        <f t="shared" si="5"/>
        <v>0</v>
      </c>
      <c r="AB15" s="237"/>
    </row>
    <row r="16" spans="1:29" x14ac:dyDescent="0.25">
      <c r="A16" s="28" t="s">
        <v>27</v>
      </c>
      <c r="B16" s="28" t="s">
        <v>48</v>
      </c>
      <c r="C16" s="156"/>
      <c r="D16" s="245" t="s">
        <v>121</v>
      </c>
      <c r="E16" s="233" t="s">
        <v>5</v>
      </c>
      <c r="F16" s="237" t="s">
        <v>36</v>
      </c>
      <c r="G16" s="235">
        <v>1.1200000000000001</v>
      </c>
      <c r="H16" s="235">
        <v>1.1539999999999999</v>
      </c>
      <c r="I16" s="236">
        <v>9116.5798619376365</v>
      </c>
      <c r="J16" s="194">
        <f>INDEX('2006'!$G$25:$G$47,MATCH('2030 Regional ISO'!$E16,'2006'!$B$25:$B$47,0))</f>
        <v>0.96922495591569402</v>
      </c>
      <c r="K16" s="194">
        <f>INDEX('2007'!$G$25:$G$47,MATCH('2030 Regional ISO'!$E16,'2007'!$B$25:$B$47,0))</f>
        <v>1</v>
      </c>
      <c r="L16" s="194">
        <f>INDEX('2008'!$G$25:$G$47,MATCH('2030 Regional ISO'!$E16,'2008'!$B$25:$B$47,0))</f>
        <v>0.98557794273594912</v>
      </c>
      <c r="M16" s="194">
        <f>INDEX('2009'!$G$25:$G$47,MATCH('2030 Regional ISO'!$E16,'2009'!$B$25:$B$47,0))</f>
        <v>0.9930797298997609</v>
      </c>
      <c r="N16" s="194">
        <f>INDEX('2010'!$G$25:$G$47,MATCH('2030 Regional ISO'!$E16,'2010'!$B$25:$B$47,0))</f>
        <v>0.93252042636141186</v>
      </c>
      <c r="O16" s="194">
        <f>INDEX('2011'!$G$25:$G$47,MATCH('2030 Regional ISO'!$E16,'2011'!$B$25:$B$47,0))</f>
        <v>1</v>
      </c>
      <c r="P16" s="194">
        <f>INDEX('2012'!$G$25:$G$47,MATCH('2030 Regional ISO'!$E16,'2012'!$B$25:$B$47,0))</f>
        <v>0.95540988913166625</v>
      </c>
      <c r="Q16" s="194">
        <f>INDEX('2013'!$G$25:$G$47,MATCH('2030 Regional ISO'!$E16,'2013'!$B$25:$B$47,0))</f>
        <v>0.99603911375170195</v>
      </c>
      <c r="R16" s="194">
        <f>INDEX('2014'!$G$25:$G$47,MATCH('2030 Regional ISO'!$E16,'2014'!$B$25:$B$47,0))</f>
        <v>0.84796231470677208</v>
      </c>
      <c r="S16" s="194">
        <f t="shared" si="6"/>
        <v>0.98557794273594912</v>
      </c>
      <c r="T16" s="198">
        <f t="shared" si="1"/>
        <v>8985.1000251164787</v>
      </c>
      <c r="U16" s="198">
        <f t="shared" si="2"/>
        <v>151.72773169161593</v>
      </c>
      <c r="V16" s="198">
        <f t="shared" si="3"/>
        <v>309.96371530587788</v>
      </c>
      <c r="W16" s="198">
        <f>MIN(V16,U16)</f>
        <v>151.72773169161593</v>
      </c>
      <c r="X16" s="198">
        <f t="shared" si="4"/>
        <v>0</v>
      </c>
      <c r="Y16" s="236">
        <v>500</v>
      </c>
      <c r="Z16" s="236">
        <f t="shared" si="8"/>
        <v>0</v>
      </c>
      <c r="AA16" s="198">
        <f t="shared" si="5"/>
        <v>0</v>
      </c>
      <c r="AB16" s="237"/>
    </row>
    <row r="17" spans="1:28" x14ac:dyDescent="0.25">
      <c r="A17" s="28" t="s">
        <v>27</v>
      </c>
      <c r="B17" s="28" t="s">
        <v>48</v>
      </c>
      <c r="C17" s="156"/>
      <c r="D17" s="245" t="s">
        <v>122</v>
      </c>
      <c r="E17" s="233" t="s">
        <v>20</v>
      </c>
      <c r="F17" s="237" t="s">
        <v>36</v>
      </c>
      <c r="G17" s="235">
        <v>1.1000000000000001</v>
      </c>
      <c r="H17" s="235">
        <v>1.1539999999999999</v>
      </c>
      <c r="I17" s="236">
        <v>2072.7000000000003</v>
      </c>
      <c r="J17" s="194">
        <f>INDEX('2006'!$G$25:$G$47,MATCH('2030 Regional ISO'!$E17,'2006'!$B$25:$B$47,0))</f>
        <v>0.96878806333739342</v>
      </c>
      <c r="K17" s="194">
        <f>INDEX('2007'!$G$25:$G$47,MATCH('2030 Regional ISO'!$E17,'2007'!$B$25:$B$47,0))</f>
        <v>0.94591048257763521</v>
      </c>
      <c r="L17" s="194">
        <f>INDEX('2008'!$G$25:$G$47,MATCH('2030 Regional ISO'!$E17,'2008'!$B$25:$B$47,0))</f>
        <v>0.84578983994432844</v>
      </c>
      <c r="M17" s="194">
        <f>INDEX('2009'!$G$25:$G$47,MATCH('2030 Regional ISO'!$E17,'2009'!$B$25:$B$47,0))</f>
        <v>0.79632792485055504</v>
      </c>
      <c r="N17" s="194">
        <f>INDEX('2010'!$G$25:$G$47,MATCH('2030 Regional ISO'!$E17,'2010'!$B$25:$B$47,0))</f>
        <v>0.85895919574216439</v>
      </c>
      <c r="O17" s="194">
        <f>INDEX('2011'!$G$25:$G$47,MATCH('2030 Regional ISO'!$E17,'2011'!$B$25:$B$47,0))</f>
        <v>0.9254425442544254</v>
      </c>
      <c r="P17" s="194">
        <f>INDEX('2012'!$G$25:$G$47,MATCH('2030 Regional ISO'!$E17,'2012'!$B$25:$B$47,0))</f>
        <v>0.91767039818619811</v>
      </c>
      <c r="Q17" s="194">
        <f>INDEX('2013'!$G$25:$G$47,MATCH('2030 Regional ISO'!$E17,'2013'!$B$25:$B$47,0))</f>
        <v>0.97626674432149096</v>
      </c>
      <c r="R17" s="194">
        <f>INDEX('2014'!$G$25:$G$47,MATCH('2030 Regional ISO'!$E17,'2014'!$B$25:$B$47,0))</f>
        <v>0.89198506176386094</v>
      </c>
      <c r="S17" s="194">
        <f t="shared" si="6"/>
        <v>0.91767039818619811</v>
      </c>
      <c r="T17" s="198">
        <f t="shared" si="1"/>
        <v>1902.0554343205331</v>
      </c>
      <c r="U17" s="198">
        <f t="shared" si="2"/>
        <v>196.92382879410513</v>
      </c>
      <c r="V17" s="198">
        <f t="shared" si="3"/>
        <v>111.92579999999965</v>
      </c>
      <c r="W17" s="198">
        <f t="shared" si="7"/>
        <v>111.92579999999965</v>
      </c>
      <c r="X17" s="198">
        <f t="shared" si="4"/>
        <v>84.99802879410548</v>
      </c>
      <c r="Y17" s="236">
        <v>460.33300685602353</v>
      </c>
      <c r="Z17" s="236">
        <f t="shared" si="8"/>
        <v>84.99802879410548</v>
      </c>
      <c r="AA17" s="198">
        <f t="shared" si="5"/>
        <v>0</v>
      </c>
      <c r="AB17" s="237"/>
    </row>
    <row r="18" spans="1:28" x14ac:dyDescent="0.25">
      <c r="A18" s="28" t="s">
        <v>27</v>
      </c>
      <c r="B18" s="28" t="s">
        <v>48</v>
      </c>
      <c r="C18" s="156"/>
      <c r="D18" s="245" t="s">
        <v>123</v>
      </c>
      <c r="E18" s="233" t="s">
        <v>78</v>
      </c>
      <c r="F18" s="237" t="s">
        <v>36</v>
      </c>
      <c r="G18" s="235">
        <v>1.1299999999999999</v>
      </c>
      <c r="H18" s="235">
        <v>1.1539999999999999</v>
      </c>
      <c r="I18" s="236">
        <v>13861.261598911889</v>
      </c>
      <c r="J18" s="194">
        <f>INDEX('2006'!$G$25:$G$47,MATCH('2030 Regional ISO'!$E18,'2006'!$B$25:$B$47,0))</f>
        <v>0.99893251167288122</v>
      </c>
      <c r="K18" s="194">
        <f>INDEX('2007'!$G$25:$G$47,MATCH('2030 Regional ISO'!$E18,'2007'!$B$25:$B$47,0))</f>
        <v>0.97170175032770456</v>
      </c>
      <c r="L18" s="194">
        <f>INDEX('2008'!$G$25:$G$47,MATCH('2030 Regional ISO'!$E18,'2008'!$B$25:$B$47,0))</f>
        <v>0.99926728788829</v>
      </c>
      <c r="M18" s="194">
        <f>INDEX('2009'!$G$25:$G$47,MATCH('2030 Regional ISO'!$E18,'2009'!$B$25:$B$47,0))</f>
        <v>0.99806515084390923</v>
      </c>
      <c r="N18" s="194">
        <f>INDEX('2010'!$G$25:$G$47,MATCH('2030 Regional ISO'!$E18,'2010'!$B$25:$B$47,0))</f>
        <v>0.98503087843177495</v>
      </c>
      <c r="O18" s="194">
        <f>INDEX('2011'!$G$25:$G$47,MATCH('2030 Regional ISO'!$E18,'2011'!$B$25:$B$47,0))</f>
        <v>0.99550278573297912</v>
      </c>
      <c r="P18" s="194">
        <f>INDEX('2012'!$G$25:$G$47,MATCH('2030 Regional ISO'!$E18,'2012'!$B$25:$B$47,0))</f>
        <v>0.97621594153429969</v>
      </c>
      <c r="Q18" s="194">
        <f>INDEX('2013'!$G$25:$G$47,MATCH('2030 Regional ISO'!$E18,'2013'!$B$25:$B$47,0))</f>
        <v>0.99886733194145505</v>
      </c>
      <c r="R18" s="194">
        <f>INDEX('2014'!$G$25:$G$47,MATCH('2030 Regional ISO'!$E18,'2014'!$B$25:$B$47,0))</f>
        <v>0.99000710170074746</v>
      </c>
      <c r="S18" s="194">
        <f t="shared" si="6"/>
        <v>0.99550278573297912</v>
      </c>
      <c r="T18" s="198">
        <f t="shared" si="1"/>
        <v>13798.924535490354</v>
      </c>
      <c r="U18" s="198">
        <f t="shared" si="2"/>
        <v>71.936971188451565</v>
      </c>
      <c r="V18" s="198">
        <f t="shared" si="3"/>
        <v>332.67027837388565</v>
      </c>
      <c r="W18" s="198">
        <f t="shared" si="7"/>
        <v>71.936971188451565</v>
      </c>
      <c r="X18" s="198">
        <f t="shared" si="4"/>
        <v>0</v>
      </c>
      <c r="Y18" s="236">
        <v>1046.5898442015255</v>
      </c>
      <c r="Z18" s="236">
        <f t="shared" si="8"/>
        <v>0</v>
      </c>
      <c r="AA18" s="198">
        <f t="shared" si="5"/>
        <v>0</v>
      </c>
      <c r="AB18" s="237"/>
    </row>
    <row r="19" spans="1:28" x14ac:dyDescent="0.25">
      <c r="A19" s="28" t="s">
        <v>27</v>
      </c>
      <c r="B19" s="28" t="s">
        <v>48</v>
      </c>
      <c r="C19" s="156"/>
      <c r="D19" s="245" t="s">
        <v>124</v>
      </c>
      <c r="E19" s="233" t="s">
        <v>21</v>
      </c>
      <c r="F19" s="237" t="s">
        <v>36</v>
      </c>
      <c r="G19" s="235">
        <v>1.08</v>
      </c>
      <c r="H19" s="235">
        <v>1.1539999999999999</v>
      </c>
      <c r="I19" s="236">
        <v>4273.9208633093522</v>
      </c>
      <c r="J19" s="194">
        <f>INDEX('2006'!$G$25:$G$47,MATCH('2030 Regional ISO'!$E19,'2006'!$B$25:$B$47,0))</f>
        <v>0.99446282665946384</v>
      </c>
      <c r="K19" s="194">
        <f>INDEX('2007'!$G$25:$G$47,MATCH('2030 Regional ISO'!$E19,'2007'!$B$25:$B$47,0))</f>
        <v>0.87875059804524636</v>
      </c>
      <c r="L19" s="194">
        <f>INDEX('2008'!$G$25:$G$47,MATCH('2030 Regional ISO'!$E19,'2008'!$B$25:$B$47,0))</f>
        <v>0.86492846968477122</v>
      </c>
      <c r="M19" s="194">
        <f>INDEX('2009'!$G$25:$G$47,MATCH('2030 Regional ISO'!$E19,'2009'!$B$25:$B$47,0))</f>
        <v>0.96253765060240959</v>
      </c>
      <c r="N19" s="194">
        <f>INDEX('2010'!$G$25:$G$47,MATCH('2030 Regional ISO'!$E19,'2010'!$B$25:$B$47,0))</f>
        <v>0.94544318733948773</v>
      </c>
      <c r="O19" s="194">
        <f>INDEX('2011'!$G$25:$G$47,MATCH('2030 Regional ISO'!$E19,'2011'!$B$25:$B$47,0))</f>
        <v>0.92064828457166914</v>
      </c>
      <c r="P19" s="194">
        <f>INDEX('2012'!$G$25:$G$47,MATCH('2030 Regional ISO'!$E19,'2012'!$B$25:$B$47,0))</f>
        <v>0.89608412896084133</v>
      </c>
      <c r="Q19" s="194">
        <f>INDEX('2013'!$G$25:$G$47,MATCH('2030 Regional ISO'!$E19,'2013'!$B$25:$B$47,0))</f>
        <v>0.90554480980012897</v>
      </c>
      <c r="R19" s="194">
        <f>INDEX('2014'!$G$25:$G$47,MATCH('2030 Regional ISO'!$E19,'2014'!$B$25:$B$47,0))</f>
        <v>0.87365046129686574</v>
      </c>
      <c r="S19" s="194">
        <f t="shared" si="6"/>
        <v>0.90554480980012897</v>
      </c>
      <c r="T19" s="198">
        <f t="shared" si="1"/>
        <v>3870.2268552662704</v>
      </c>
      <c r="U19" s="198">
        <f t="shared" si="2"/>
        <v>465.86288528171644</v>
      </c>
      <c r="V19" s="198">
        <f t="shared" si="3"/>
        <v>316.27014388489141</v>
      </c>
      <c r="W19" s="198">
        <f t="shared" si="7"/>
        <v>316.27014388489141</v>
      </c>
      <c r="X19" s="198">
        <f t="shared" si="4"/>
        <v>149.59274139682503</v>
      </c>
      <c r="Y19" s="236">
        <v>244.90834698285707</v>
      </c>
      <c r="Z19" s="236">
        <f t="shared" si="8"/>
        <v>0</v>
      </c>
      <c r="AA19" s="198">
        <f t="shared" si="5"/>
        <v>149.59274139682503</v>
      </c>
      <c r="AB19" s="237"/>
    </row>
    <row r="20" spans="1:28" x14ac:dyDescent="0.25">
      <c r="A20" s="28" t="s">
        <v>27</v>
      </c>
      <c r="B20" s="28" t="s">
        <v>48</v>
      </c>
      <c r="C20" s="156"/>
      <c r="D20" s="245" t="s">
        <v>125</v>
      </c>
      <c r="E20" s="233" t="s">
        <v>6</v>
      </c>
      <c r="F20" s="237" t="s">
        <v>36</v>
      </c>
      <c r="G20" s="235">
        <v>0.84</v>
      </c>
      <c r="H20" s="235">
        <v>1.1539999999999999</v>
      </c>
      <c r="I20" s="236">
        <v>813.07503410641209</v>
      </c>
      <c r="J20" s="194">
        <f>INDEX('2006'!$G$25:$G$47,MATCH('2030 Regional ISO'!$E20,'2006'!$B$25:$B$47,0))</f>
        <v>0.69538188277087032</v>
      </c>
      <c r="K20" s="194">
        <f>INDEX('2007'!$G$25:$G$47,MATCH('2030 Regional ISO'!$E20,'2007'!$B$25:$B$47,0))</f>
        <v>0.6937473415567843</v>
      </c>
      <c r="L20" s="194">
        <f>INDEX('2008'!$G$25:$G$47,MATCH('2030 Regional ISO'!$E20,'2008'!$B$25:$B$47,0))</f>
        <v>0.61443871479571599</v>
      </c>
      <c r="M20" s="194">
        <f>INDEX('2009'!$G$25:$G$47,MATCH('2030 Regional ISO'!$E20,'2009'!$B$25:$B$47,0))</f>
        <v>0.66557242511284365</v>
      </c>
      <c r="N20" s="194">
        <f>INDEX('2010'!$G$25:$G$47,MATCH('2030 Regional ISO'!$E20,'2010'!$B$25:$B$47,0))</f>
        <v>0.6645299145299145</v>
      </c>
      <c r="O20" s="194">
        <f>INDEX('2011'!$G$25:$G$47,MATCH('2030 Regional ISO'!$E20,'2011'!$B$25:$B$47,0))</f>
        <v>0.74730538922155687</v>
      </c>
      <c r="P20" s="194">
        <f>INDEX('2012'!$G$25:$G$47,MATCH('2030 Regional ISO'!$E20,'2012'!$B$25:$B$47,0))</f>
        <v>0.74962063732928674</v>
      </c>
      <c r="Q20" s="194">
        <f>INDEX('2013'!$G$25:$G$47,MATCH('2030 Regional ISO'!$E20,'2013'!$B$25:$B$47,0))</f>
        <v>0.70521707406056189</v>
      </c>
      <c r="R20" s="194">
        <f>INDEX('2014'!$G$25:$G$47,MATCH('2030 Regional ISO'!$E20,'2014'!$B$25:$B$47,0))</f>
        <v>0.69338959212376938</v>
      </c>
      <c r="S20" s="194">
        <f t="shared" si="6"/>
        <v>0.6937473415567843</v>
      </c>
      <c r="T20" s="198">
        <f t="shared" si="1"/>
        <v>564.06864339751507</v>
      </c>
      <c r="U20" s="198">
        <f t="shared" si="2"/>
        <v>287.35337487806709</v>
      </c>
      <c r="V20" s="246">
        <f t="shared" si="3"/>
        <v>255.30556070941336</v>
      </c>
      <c r="W20" s="198">
        <f t="shared" si="7"/>
        <v>255.30556070941336</v>
      </c>
      <c r="X20" s="236">
        <f t="shared" si="4"/>
        <v>32.04781416865373</v>
      </c>
      <c r="Y20" s="236">
        <v>47.833151702220682</v>
      </c>
      <c r="Z20" s="236">
        <f t="shared" si="8"/>
        <v>0</v>
      </c>
      <c r="AA20" s="198">
        <f t="shared" si="5"/>
        <v>32.04781416865373</v>
      </c>
      <c r="AB20" s="237"/>
    </row>
    <row r="21" spans="1:28" x14ac:dyDescent="0.25">
      <c r="A21" s="28" t="s">
        <v>27</v>
      </c>
      <c r="B21" s="28" t="s">
        <v>48</v>
      </c>
      <c r="C21" s="156"/>
      <c r="D21" s="245" t="s">
        <v>126</v>
      </c>
      <c r="E21" s="233" t="s">
        <v>7</v>
      </c>
      <c r="F21" s="237" t="s">
        <v>36</v>
      </c>
      <c r="G21" s="235">
        <v>0.77</v>
      </c>
      <c r="H21" s="235">
        <v>1.1539999999999999</v>
      </c>
      <c r="I21" s="236">
        <v>499.36132315521604</v>
      </c>
      <c r="J21" s="194">
        <f>INDEX('2006'!$G$25:$G$47,MATCH('2030 Regional ISO'!$E21,'2006'!$B$25:$B$47,0))</f>
        <v>0.64953987730061347</v>
      </c>
      <c r="K21" s="194">
        <f>INDEX('2007'!$G$25:$G$47,MATCH('2030 Regional ISO'!$E21,'2007'!$B$25:$B$47,0))</f>
        <v>0.64544781643227234</v>
      </c>
      <c r="L21" s="194">
        <f>INDEX('2008'!$G$25:$G$47,MATCH('2030 Regional ISO'!$E21,'2008'!$B$25:$B$47,0))</f>
        <v>0.55973154362416111</v>
      </c>
      <c r="M21" s="194">
        <f>INDEX('2009'!$G$25:$G$47,MATCH('2030 Regional ISO'!$E21,'2009'!$B$25:$B$47,0))</f>
        <v>0.63233190271816886</v>
      </c>
      <c r="N21" s="194">
        <f>INDEX('2010'!$G$25:$G$47,MATCH('2030 Regional ISO'!$E21,'2010'!$B$25:$B$47,0))</f>
        <v>0.58510638297872342</v>
      </c>
      <c r="O21" s="194">
        <f>INDEX('2011'!$G$25:$G$47,MATCH('2030 Regional ISO'!$E21,'2011'!$B$25:$B$47,0))</f>
        <v>0.60798816568047342</v>
      </c>
      <c r="P21" s="194">
        <f>INDEX('2012'!$G$25:$G$47,MATCH('2030 Regional ISO'!$E21,'2012'!$B$25:$B$47,0))</f>
        <v>0.66814814814814816</v>
      </c>
      <c r="Q21" s="194">
        <f>INDEX('2013'!$G$25:$G$47,MATCH('2030 Regional ISO'!$E21,'2013'!$B$25:$B$47,0))</f>
        <v>0.62215909090909094</v>
      </c>
      <c r="R21" s="194">
        <f>INDEX('2014'!$G$25:$G$47,MATCH('2030 Regional ISO'!$E21,'2014'!$B$25:$B$47,0))</f>
        <v>0.64569536423841056</v>
      </c>
      <c r="S21" s="194">
        <f t="shared" si="6"/>
        <v>0.63233190271816886</v>
      </c>
      <c r="T21" s="198">
        <f t="shared" si="1"/>
        <v>315.76209561460013</v>
      </c>
      <c r="U21" s="198">
        <f t="shared" si="2"/>
        <v>211.87350858187074</v>
      </c>
      <c r="V21" s="198">
        <f t="shared" si="3"/>
        <v>191.75474809160292</v>
      </c>
      <c r="W21" s="198">
        <f t="shared" si="7"/>
        <v>191.75474809160292</v>
      </c>
      <c r="X21" s="198">
        <f t="shared" si="4"/>
        <v>20.118760490267789</v>
      </c>
      <c r="Y21" s="236">
        <v>25.645878061354335</v>
      </c>
      <c r="Z21" s="236">
        <f t="shared" si="8"/>
        <v>0</v>
      </c>
      <c r="AA21" s="198">
        <f t="shared" si="5"/>
        <v>20.118760490267789</v>
      </c>
      <c r="AB21" s="237"/>
    </row>
    <row r="22" spans="1:28" x14ac:dyDescent="0.25">
      <c r="A22" s="28" t="s">
        <v>27</v>
      </c>
      <c r="B22" s="28" t="s">
        <v>48</v>
      </c>
      <c r="C22" s="156"/>
      <c r="D22" s="245" t="s">
        <v>127</v>
      </c>
      <c r="E22" s="233" t="s">
        <v>8</v>
      </c>
      <c r="F22" s="237" t="s">
        <v>36</v>
      </c>
      <c r="G22" s="235">
        <v>1.1539999999999999</v>
      </c>
      <c r="H22" s="235">
        <v>1.1539999999999999</v>
      </c>
      <c r="I22" s="236">
        <v>992.09473684210468</v>
      </c>
      <c r="J22" s="194">
        <f>INDEX('2006'!$G$25:$G$47,MATCH('2030 Regional ISO'!$E22,'2006'!$B$25:$B$47,0))</f>
        <v>0.97078063672045356</v>
      </c>
      <c r="K22" s="194">
        <f>INDEX('2007'!$G$25:$G$47,MATCH('2030 Regional ISO'!$E22,'2007'!$B$25:$B$47,0))</f>
        <v>0.94782989916703198</v>
      </c>
      <c r="L22" s="194">
        <f>INDEX('2008'!$G$25:$G$47,MATCH('2030 Regional ISO'!$E22,'2008'!$B$25:$B$47,0))</f>
        <v>0.94745351657235244</v>
      </c>
      <c r="M22" s="194">
        <f>INDEX('2009'!$G$25:$G$47,MATCH('2030 Regional ISO'!$E22,'2009'!$B$25:$B$47,0))</f>
        <v>0.94427363566487321</v>
      </c>
      <c r="N22" s="194">
        <f>INDEX('2010'!$G$25:$G$47,MATCH('2030 Regional ISO'!$E22,'2010'!$B$25:$B$47,0))</f>
        <v>0.96030245746691867</v>
      </c>
      <c r="O22" s="194">
        <f>INDEX('2011'!$G$25:$G$47,MATCH('2030 Regional ISO'!$E22,'2011'!$B$25:$B$47,0))</f>
        <v>0.99056603773584906</v>
      </c>
      <c r="P22" s="194">
        <f>INDEX('2012'!$G$25:$G$47,MATCH('2030 Regional ISO'!$E22,'2012'!$B$25:$B$47,0))</f>
        <v>0.98490566037735849</v>
      </c>
      <c r="Q22" s="194">
        <f>INDEX('2013'!$G$25:$G$47,MATCH('2030 Regional ISO'!$E22,'2013'!$B$25:$B$47,0))</f>
        <v>0.94062382562946256</v>
      </c>
      <c r="R22" s="194">
        <f>INDEX('2014'!$G$25:$G$47,MATCH('2030 Regional ISO'!$E22,'2014'!$B$25:$B$47,0))</f>
        <v>0.96925227113906354</v>
      </c>
      <c r="S22" s="194">
        <f t="shared" si="6"/>
        <v>0.96030245746691867</v>
      </c>
      <c r="T22" s="198">
        <f t="shared" si="1"/>
        <v>952.71101382946915</v>
      </c>
      <c r="U22" s="198">
        <f t="shared" si="2"/>
        <v>45.448816356581453</v>
      </c>
      <c r="V22" s="198">
        <f t="shared" si="3"/>
        <v>0</v>
      </c>
      <c r="W22" s="198">
        <f t="shared" si="7"/>
        <v>0</v>
      </c>
      <c r="X22" s="198">
        <f t="shared" si="4"/>
        <v>45.448816356581453</v>
      </c>
      <c r="Y22" s="236">
        <v>55.794467538060964</v>
      </c>
      <c r="Z22" s="236">
        <f t="shared" si="8"/>
        <v>45.448816356581453</v>
      </c>
      <c r="AA22" s="198">
        <f t="shared" si="5"/>
        <v>0</v>
      </c>
      <c r="AB22" s="237"/>
    </row>
    <row r="23" spans="1:28" x14ac:dyDescent="0.25">
      <c r="A23" s="28" t="s">
        <v>27</v>
      </c>
      <c r="B23" s="28" t="s">
        <v>48</v>
      </c>
      <c r="C23" s="156"/>
      <c r="D23" s="245" t="s">
        <v>128</v>
      </c>
      <c r="E23" s="233" t="s">
        <v>11</v>
      </c>
      <c r="F23" s="237" t="s">
        <v>36</v>
      </c>
      <c r="G23" s="235">
        <v>0.83</v>
      </c>
      <c r="H23" s="235">
        <v>1.1539999999999999</v>
      </c>
      <c r="I23" s="236">
        <v>5500.5382974597624</v>
      </c>
      <c r="J23" s="194">
        <f>INDEX('2006'!$G$25:$G$47,MATCH('2030 Regional ISO'!$E23,'2006'!$B$25:$B$47,0))</f>
        <v>0.71486360336064725</v>
      </c>
      <c r="K23" s="194">
        <f>INDEX('2007'!$G$25:$G$47,MATCH('2030 Regional ISO'!$E23,'2007'!$B$25:$B$47,0))</f>
        <v>0.65642487593707111</v>
      </c>
      <c r="L23" s="194">
        <f>INDEX('2008'!$G$25:$G$47,MATCH('2030 Regional ISO'!$E23,'2008'!$B$25:$B$47,0))</f>
        <v>0.62103676327562729</v>
      </c>
      <c r="M23" s="194">
        <f>INDEX('2009'!$G$25:$G$47,MATCH('2030 Regional ISO'!$E23,'2009'!$B$25:$B$47,0))</f>
        <v>0.70660732625813083</v>
      </c>
      <c r="N23" s="194">
        <f>INDEX('2010'!$G$25:$G$47,MATCH('2030 Regional ISO'!$E23,'2010'!$B$25:$B$47,0))</f>
        <v>0.68219249934434834</v>
      </c>
      <c r="O23" s="194">
        <f>INDEX('2011'!$G$25:$G$47,MATCH('2030 Regional ISO'!$E23,'2011'!$B$25:$B$47,0))</f>
        <v>0.68664327228862809</v>
      </c>
      <c r="P23" s="194">
        <f>INDEX('2012'!$G$25:$G$47,MATCH('2030 Regional ISO'!$E23,'2012'!$B$25:$B$47,0))</f>
        <v>0.69523178076136805</v>
      </c>
      <c r="Q23" s="194">
        <f>INDEX('2013'!$G$25:$G$47,MATCH('2030 Regional ISO'!$E23,'2013'!$B$25:$B$47,0))</f>
        <v>0.69878631849944828</v>
      </c>
      <c r="R23" s="194">
        <f>INDEX('2014'!$G$25:$G$47,MATCH('2030 Regional ISO'!$E23,'2014'!$B$25:$B$47,0))</f>
        <v>0.67504674838977774</v>
      </c>
      <c r="S23" s="194">
        <f t="shared" si="6"/>
        <v>0.68664327228862809</v>
      </c>
      <c r="T23" s="198">
        <f t="shared" si="1"/>
        <v>3776.9076159166902</v>
      </c>
      <c r="U23" s="198">
        <f t="shared" si="2"/>
        <v>1989.069806500705</v>
      </c>
      <c r="V23" s="198">
        <f t="shared" si="3"/>
        <v>1782.1744083769627</v>
      </c>
      <c r="W23" s="198">
        <f t="shared" si="7"/>
        <v>1782.1744083769627</v>
      </c>
      <c r="X23" s="198">
        <f t="shared" si="4"/>
        <v>206.89539812374232</v>
      </c>
      <c r="Y23" s="236">
        <v>336.52873578219925</v>
      </c>
      <c r="Z23" s="236">
        <f t="shared" si="8"/>
        <v>0</v>
      </c>
      <c r="AA23" s="198">
        <f t="shared" si="5"/>
        <v>206.89539812374232</v>
      </c>
      <c r="AB23" s="237"/>
    </row>
    <row r="24" spans="1:28" x14ac:dyDescent="0.25">
      <c r="A24" s="28" t="s">
        <v>27</v>
      </c>
      <c r="B24" s="28" t="s">
        <v>48</v>
      </c>
      <c r="C24" s="156"/>
      <c r="D24" s="245" t="s">
        <v>129</v>
      </c>
      <c r="E24" s="233" t="s">
        <v>13</v>
      </c>
      <c r="F24" s="237" t="s">
        <v>36</v>
      </c>
      <c r="G24" s="235">
        <v>0.87</v>
      </c>
      <c r="H24" s="235">
        <v>1.1539999999999999</v>
      </c>
      <c r="I24" s="236">
        <v>1937.5349726775944</v>
      </c>
      <c r="J24" s="194">
        <f>INDEX('2006'!$G$25:$G$47,MATCH('2030 Regional ISO'!$E24,'2006'!$B$25:$B$47,0))</f>
        <v>0.77448525319977746</v>
      </c>
      <c r="K24" s="194">
        <f>INDEX('2007'!$G$25:$G$47,MATCH('2030 Regional ISO'!$E24,'2007'!$B$25:$B$47,0))</f>
        <v>0.68915662650602405</v>
      </c>
      <c r="L24" s="194">
        <f>INDEX('2008'!$G$25:$G$47,MATCH('2030 Regional ISO'!$E24,'2008'!$B$25:$B$47,0))</f>
        <v>0.6788408098451767</v>
      </c>
      <c r="M24" s="194">
        <f>INDEX('2009'!$G$25:$G$47,MATCH('2030 Regional ISO'!$E24,'2009'!$B$25:$B$47,0))</f>
        <v>0.76910591099688896</v>
      </c>
      <c r="N24" s="194">
        <f>INDEX('2010'!$G$25:$G$47,MATCH('2030 Regional ISO'!$E24,'2010'!$B$25:$B$47,0))</f>
        <v>0.70839064649243466</v>
      </c>
      <c r="O24" s="194">
        <f>INDEX('2011'!$G$25:$G$47,MATCH('2030 Regional ISO'!$E24,'2011'!$B$25:$B$47,0))</f>
        <v>0.72230215827338129</v>
      </c>
      <c r="P24" s="194">
        <f>INDEX('2012'!$G$25:$G$47,MATCH('2030 Regional ISO'!$E24,'2012'!$B$25:$B$47,0))</f>
        <v>0.72062956717256887</v>
      </c>
      <c r="Q24" s="194">
        <f>INDEX('2013'!$G$25:$G$47,MATCH('2030 Regional ISO'!$E24,'2013'!$B$25:$B$47,0))</f>
        <v>0.73613949053262495</v>
      </c>
      <c r="R24" s="194">
        <f>INDEX('2014'!$G$25:$G$47,MATCH('2030 Regional ISO'!$E24,'2014'!$B$25:$B$47,0))</f>
        <v>0.70876671619613674</v>
      </c>
      <c r="S24" s="194">
        <f t="shared" si="6"/>
        <v>0.72062956717256887</v>
      </c>
      <c r="T24" s="198">
        <f t="shared" si="1"/>
        <v>1396.24498874237</v>
      </c>
      <c r="U24" s="198">
        <f t="shared" si="2"/>
        <v>624.64864146124899</v>
      </c>
      <c r="V24" s="198">
        <f t="shared" si="3"/>
        <v>550.25993224043668</v>
      </c>
      <c r="W24" s="198">
        <f t="shared" si="7"/>
        <v>550.25993224043668</v>
      </c>
      <c r="X24" s="198">
        <f t="shared" si="4"/>
        <v>74.388709220812416</v>
      </c>
      <c r="Y24" s="236">
        <v>119.41973753760416</v>
      </c>
      <c r="Z24" s="236">
        <f t="shared" si="8"/>
        <v>0</v>
      </c>
      <c r="AA24" s="198">
        <f>X24-Z24</f>
        <v>74.388709220812416</v>
      </c>
      <c r="AB24" s="237"/>
    </row>
    <row r="25" spans="1:28" x14ac:dyDescent="0.25">
      <c r="A25" s="28" t="s">
        <v>27</v>
      </c>
      <c r="B25" s="28" t="s">
        <v>48</v>
      </c>
      <c r="C25" s="156"/>
      <c r="D25" s="245" t="s">
        <v>130</v>
      </c>
      <c r="E25" s="233" t="s">
        <v>14</v>
      </c>
      <c r="F25" s="237" t="s">
        <v>36</v>
      </c>
      <c r="G25" s="235">
        <v>0.75</v>
      </c>
      <c r="H25" s="235">
        <v>1.1539999999999999</v>
      </c>
      <c r="I25" s="236">
        <v>1067.3142580019396</v>
      </c>
      <c r="J25" s="194">
        <f>INDEX('2006'!$G$25:$G$47,MATCH('2030 Regional ISO'!$E25,'2006'!$B$25:$B$47,0))</f>
        <v>0.66282118510749866</v>
      </c>
      <c r="K25" s="194">
        <f>INDEX('2007'!$G$25:$G$47,MATCH('2030 Regional ISO'!$E25,'2007'!$B$25:$B$47,0))</f>
        <v>0.59547010797998423</v>
      </c>
      <c r="L25" s="194">
        <f>INDEX('2008'!$G$25:$G$47,MATCH('2030 Regional ISO'!$E25,'2008'!$B$25:$B$47,0))</f>
        <v>0.58435391152211946</v>
      </c>
      <c r="M25" s="194">
        <f>INDEX('2009'!$G$25:$G$47,MATCH('2030 Regional ISO'!$E25,'2009'!$B$25:$B$47,0))</f>
        <v>0.61791546589817481</v>
      </c>
      <c r="N25" s="194">
        <f>INDEX('2010'!$G$25:$G$47,MATCH('2030 Regional ISO'!$E25,'2010'!$B$25:$B$47,0))</f>
        <v>0.60862905284656621</v>
      </c>
      <c r="O25" s="194">
        <f>INDEX('2011'!$G$25:$G$47,MATCH('2030 Regional ISO'!$E25,'2011'!$B$25:$B$47,0))</f>
        <v>0.64009727100783576</v>
      </c>
      <c r="P25" s="194">
        <f>INDEX('2012'!$G$25:$G$47,MATCH('2030 Regional ISO'!$E25,'2012'!$B$25:$B$47,0))</f>
        <v>0.64830625172128886</v>
      </c>
      <c r="Q25" s="194">
        <f>INDEX('2013'!$G$25:$G$47,MATCH('2030 Regional ISO'!$E25,'2013'!$B$25:$B$47,0))</f>
        <v>0.63491655969191274</v>
      </c>
      <c r="R25" s="194">
        <f>INDEX('2014'!$G$25:$G$47,MATCH('2030 Regional ISO'!$E25,'2014'!$B$25:$B$47,0))</f>
        <v>0.60552763819095479</v>
      </c>
      <c r="S25" s="194">
        <f t="shared" si="6"/>
        <v>0.61791546589817481</v>
      </c>
      <c r="T25" s="198">
        <f t="shared" si="1"/>
        <v>659.50998699303329</v>
      </c>
      <c r="U25" s="198">
        <f t="shared" si="2"/>
        <v>470.60612874427784</v>
      </c>
      <c r="V25" s="198">
        <f t="shared" si="3"/>
        <v>431.1949602327835</v>
      </c>
      <c r="W25" s="198">
        <f t="shared" si="7"/>
        <v>431.1949602327835</v>
      </c>
      <c r="X25" s="198">
        <f t="shared" si="4"/>
        <v>39.411168511494395</v>
      </c>
      <c r="Y25" s="236">
        <v>67.279644481568241</v>
      </c>
      <c r="Z25" s="236">
        <f t="shared" si="8"/>
        <v>0</v>
      </c>
      <c r="AA25" s="198">
        <f t="shared" si="5"/>
        <v>39.411168511494395</v>
      </c>
      <c r="AB25" s="237"/>
    </row>
    <row r="26" spans="1:28" x14ac:dyDescent="0.25">
      <c r="A26" s="28" t="s">
        <v>27</v>
      </c>
      <c r="B26" s="28" t="s">
        <v>37</v>
      </c>
      <c r="C26" s="156"/>
      <c r="D26" s="245" t="s">
        <v>131</v>
      </c>
      <c r="E26" s="233" t="s">
        <v>16</v>
      </c>
      <c r="F26" s="237" t="s">
        <v>36</v>
      </c>
      <c r="G26" s="235">
        <v>1.1539999999999999</v>
      </c>
      <c r="H26" s="235">
        <v>1.1539999999999999</v>
      </c>
      <c r="I26" s="236">
        <v>750.41023056698134</v>
      </c>
      <c r="J26" s="194">
        <f>INDEX('2006'!$G$25:$G$47,MATCH('2030 Regional ISO'!$E26,'2006'!$B$25:$B$47,0))</f>
        <v>0.99467867376176833</v>
      </c>
      <c r="K26" s="194">
        <f>INDEX('2007'!$G$25:$G$47,MATCH('2030 Regional ISO'!$E26,'2007'!$B$25:$B$47,0))</f>
        <v>0.98501248959200671</v>
      </c>
      <c r="L26" s="194">
        <f>INDEX('2008'!$G$25:$G$47,MATCH('2030 Regional ISO'!$E26,'2008'!$B$25:$B$47,0))</f>
        <v>0.97791666666666666</v>
      </c>
      <c r="M26" s="194">
        <f>INDEX('2009'!$G$25:$G$47,MATCH('2030 Regional ISO'!$E26,'2009'!$B$25:$B$47,0))</f>
        <v>0.94670710571923744</v>
      </c>
      <c r="N26" s="194">
        <f>INDEX('2010'!$G$25:$G$47,MATCH('2030 Regional ISO'!$E26,'2010'!$B$25:$B$47,0))</f>
        <v>0.92051835853131747</v>
      </c>
      <c r="O26" s="194">
        <f>INDEX('2011'!$G$25:$G$47,MATCH('2030 Regional ISO'!$E26,'2011'!$B$25:$B$47,0))</f>
        <v>0.91518051326663763</v>
      </c>
      <c r="P26" s="194">
        <f>INDEX('2012'!$G$25:$G$47,MATCH('2030 Regional ISO'!$E26,'2012'!$B$25:$B$47,0))</f>
        <v>0.97187758478081054</v>
      </c>
      <c r="Q26" s="194">
        <f>INDEX('2013'!$G$25:$G$47,MATCH('2030 Regional ISO'!$E26,'2013'!$B$25:$B$47,0))</f>
        <v>0.98901098901098905</v>
      </c>
      <c r="R26" s="194">
        <f>INDEX('2014'!$G$25:$G$47,MATCH('2030 Regional ISO'!$E26,'2014'!$B$25:$B$47,0))</f>
        <v>0.92567849686847603</v>
      </c>
      <c r="S26" s="194">
        <f t="shared" si="6"/>
        <v>0.97187758478081054</v>
      </c>
      <c r="T26" s="198">
        <f t="shared" si="1"/>
        <v>729.30688247824901</v>
      </c>
      <c r="U26" s="198">
        <f t="shared" si="2"/>
        <v>24.353263694397121</v>
      </c>
      <c r="V26" s="198">
        <f t="shared" si="3"/>
        <v>0</v>
      </c>
      <c r="W26" s="198">
        <f t="shared" si="7"/>
        <v>0</v>
      </c>
      <c r="X26" s="198">
        <f t="shared" si="4"/>
        <v>24.353263694397125</v>
      </c>
      <c r="Y26" s="236">
        <v>111.32825607790429</v>
      </c>
      <c r="Z26" s="236">
        <f t="shared" si="8"/>
        <v>24.353263694397125</v>
      </c>
      <c r="AA26" s="198">
        <f t="shared" si="5"/>
        <v>0</v>
      </c>
      <c r="AB26" s="237"/>
    </row>
    <row r="27" spans="1:28" x14ac:dyDescent="0.25">
      <c r="A27" s="28" t="s">
        <v>28</v>
      </c>
      <c r="B27" s="28" t="s">
        <v>48</v>
      </c>
      <c r="C27" s="156"/>
      <c r="D27" s="245" t="s">
        <v>132</v>
      </c>
      <c r="E27" s="233" t="s">
        <v>9</v>
      </c>
      <c r="F27" s="237" t="s">
        <v>38</v>
      </c>
      <c r="G27" s="235">
        <v>1.139</v>
      </c>
      <c r="H27" s="235">
        <v>1.139</v>
      </c>
      <c r="I27" s="236">
        <v>9755.9217391304301</v>
      </c>
      <c r="J27" s="194">
        <f>INDEX('2006'!$G$25:$G$47,MATCH('2030 Regional ISO'!$E27,'2006'!$B$25:$B$47,0))</f>
        <v>1</v>
      </c>
      <c r="K27" s="194">
        <f>INDEX('2007'!$G$25:$G$47,MATCH('2030 Regional ISO'!$E27,'2007'!$B$25:$B$47,0))</f>
        <v>1</v>
      </c>
      <c r="L27" s="194">
        <f>INDEX('2008'!$G$25:$G$47,MATCH('2030 Regional ISO'!$E27,'2008'!$B$25:$B$47,0))</f>
        <v>1</v>
      </c>
      <c r="M27" s="194">
        <f>INDEX('2009'!$G$25:$G$47,MATCH('2030 Regional ISO'!$E27,'2009'!$B$25:$B$47,0))</f>
        <v>1</v>
      </c>
      <c r="N27" s="194">
        <f>INDEX('2010'!$G$25:$G$47,MATCH('2030 Regional ISO'!$E27,'2010'!$B$25:$B$47,0))</f>
        <v>1</v>
      </c>
      <c r="O27" s="194">
        <f>INDEX('2011'!$G$25:$G$47,MATCH('2030 Regional ISO'!$E27,'2011'!$B$25:$B$47,0))</f>
        <v>1</v>
      </c>
      <c r="P27" s="194">
        <f>INDEX('2012'!$G$25:$G$47,MATCH('2030 Regional ISO'!$E27,'2012'!$B$25:$B$47,0))</f>
        <v>1</v>
      </c>
      <c r="Q27" s="194">
        <f>INDEX('2013'!$G$25:$G$47,MATCH('2030 Regional ISO'!$E27,'2013'!$B$25:$B$47,0))</f>
        <v>1</v>
      </c>
      <c r="R27" s="194">
        <f>INDEX('2014'!$G$25:$G$47,MATCH('2030 Regional ISO'!$E27,'2014'!$B$25:$B$47,0))</f>
        <v>1</v>
      </c>
      <c r="S27" s="194">
        <f t="shared" si="6"/>
        <v>1</v>
      </c>
      <c r="T27" s="198">
        <f t="shared" si="1"/>
        <v>9755.9217391304301</v>
      </c>
      <c r="U27" s="198">
        <f t="shared" si="2"/>
        <v>0</v>
      </c>
      <c r="V27" s="198">
        <f t="shared" si="3"/>
        <v>0</v>
      </c>
      <c r="W27" s="198">
        <f t="shared" si="7"/>
        <v>0</v>
      </c>
      <c r="X27" s="198">
        <f t="shared" si="4"/>
        <v>0</v>
      </c>
      <c r="Y27" s="236">
        <v>1046.4550437405551</v>
      </c>
      <c r="Z27" s="236">
        <f t="shared" si="8"/>
        <v>0</v>
      </c>
      <c r="AA27" s="198">
        <f t="shared" si="5"/>
        <v>0</v>
      </c>
      <c r="AB27" s="237"/>
    </row>
    <row r="28" spans="1:28" x14ac:dyDescent="0.25">
      <c r="A28" s="28" t="s">
        <v>29</v>
      </c>
      <c r="B28" s="28" t="s">
        <v>48</v>
      </c>
      <c r="C28" s="156"/>
      <c r="D28" s="245" t="s">
        <v>133</v>
      </c>
      <c r="E28" s="233" t="s">
        <v>0</v>
      </c>
      <c r="F28" s="237" t="s">
        <v>35</v>
      </c>
      <c r="G28" s="235">
        <v>1.1499999999999999</v>
      </c>
      <c r="H28" s="235">
        <v>1.161</v>
      </c>
      <c r="I28" s="236">
        <v>9698.9098510582717</v>
      </c>
      <c r="J28" s="194">
        <f>INDEX('2006'!$G$25:$G$47,MATCH('2030 Regional ISO'!$E28,'2006'!$B$25:$B$47,0))</f>
        <v>0.99482360698977912</v>
      </c>
      <c r="K28" s="194">
        <f>INDEX('2007'!$G$25:$G$47,MATCH('2030 Regional ISO'!$E28,'2007'!$B$25:$B$47,0))</f>
        <v>0.99600883992479472</v>
      </c>
      <c r="L28" s="194">
        <f>INDEX('2008'!$G$25:$G$47,MATCH('2030 Regional ISO'!$E28,'2008'!$B$25:$B$47,0))</f>
        <v>0.99787218951698697</v>
      </c>
      <c r="M28" s="194">
        <f>INDEX('2009'!$G$25:$G$47,MATCH('2030 Regional ISO'!$E28,'2009'!$B$25:$B$47,0))</f>
        <v>0.99846039132295872</v>
      </c>
      <c r="N28" s="194">
        <f>INDEX('2010'!$G$25:$G$47,MATCH('2030 Regional ISO'!$E28,'2010'!$B$25:$B$47,0))</f>
        <v>0.99006575185820467</v>
      </c>
      <c r="O28" s="194">
        <f>INDEX('2011'!$G$25:$G$47,MATCH('2030 Regional ISO'!$E28,'2011'!$B$25:$B$47,0))</f>
        <v>1</v>
      </c>
      <c r="P28" s="194">
        <f>INDEX('2012'!$G$25:$G$47,MATCH('2030 Regional ISO'!$E28,'2012'!$B$25:$B$47,0))</f>
        <v>0.99832214765100669</v>
      </c>
      <c r="Q28" s="194">
        <f>INDEX('2013'!$G$25:$G$47,MATCH('2030 Regional ISO'!$E28,'2013'!$B$25:$B$47,0))</f>
        <v>0.99829043801445461</v>
      </c>
      <c r="R28" s="194">
        <f>INDEX('2014'!$G$25:$G$47,MATCH('2030 Regional ISO'!$E28,'2014'!$B$25:$B$47,0))</f>
        <v>0.9926444710354051</v>
      </c>
      <c r="S28" s="194">
        <f t="shared" si="6"/>
        <v>0.99787218951698697</v>
      </c>
      <c r="T28" s="198">
        <f t="shared" si="1"/>
        <v>9678.2724090033917</v>
      </c>
      <c r="U28" s="198">
        <f t="shared" si="2"/>
        <v>23.960070225715796</v>
      </c>
      <c r="V28" s="198">
        <f t="shared" si="3"/>
        <v>106.68800836164216</v>
      </c>
      <c r="W28" s="198">
        <f t="shared" si="7"/>
        <v>23.960070225715796</v>
      </c>
      <c r="X28" s="198">
        <f t="shared" si="4"/>
        <v>0</v>
      </c>
      <c r="Y28" s="236">
        <v>1199.1678149568938</v>
      </c>
      <c r="Z28" s="236">
        <f t="shared" si="8"/>
        <v>0</v>
      </c>
      <c r="AA28" s="198">
        <f t="shared" si="5"/>
        <v>0</v>
      </c>
      <c r="AB28" s="237"/>
    </row>
    <row r="29" spans="1:28" x14ac:dyDescent="0.25">
      <c r="A29" s="28" t="s">
        <v>29</v>
      </c>
      <c r="B29" s="28" t="s">
        <v>48</v>
      </c>
      <c r="C29" s="156"/>
      <c r="D29" s="245" t="s">
        <v>134</v>
      </c>
      <c r="E29" s="233" t="s">
        <v>19</v>
      </c>
      <c r="F29" s="237" t="s">
        <v>35</v>
      </c>
      <c r="G29" s="235">
        <v>1.1000000000000001</v>
      </c>
      <c r="H29" s="235">
        <v>1.161</v>
      </c>
      <c r="I29" s="236">
        <v>2249.1157407407404</v>
      </c>
      <c r="J29" s="194">
        <f>INDEX('2006'!$G$25:$G$47,MATCH('2030 Regional ISO'!$E29,'2006'!$B$25:$B$47,0))</f>
        <v>0.9327556325823223</v>
      </c>
      <c r="K29" s="194">
        <f>INDEX('2007'!$G$25:$G$47,MATCH('2030 Regional ISO'!$E29,'2007'!$B$25:$B$47,0))</f>
        <v>0.90452428476380575</v>
      </c>
      <c r="L29" s="194">
        <f>INDEX('2008'!$G$25:$G$47,MATCH('2030 Regional ISO'!$E29,'2008'!$B$25:$B$47,0))</f>
        <v>0.89489340604858703</v>
      </c>
      <c r="M29" s="194">
        <f>INDEX('2009'!$G$25:$G$47,MATCH('2030 Regional ISO'!$E29,'2009'!$B$25:$B$47,0))</f>
        <v>0.94668794892258579</v>
      </c>
      <c r="N29" s="194">
        <f>INDEX('2010'!$G$25:$G$47,MATCH('2030 Regional ISO'!$E29,'2010'!$B$25:$B$47,0))</f>
        <v>0.93547386381262598</v>
      </c>
      <c r="O29" s="194">
        <f>INDEX('2011'!$G$25:$G$47,MATCH('2030 Regional ISO'!$E29,'2011'!$B$25:$B$47,0))</f>
        <v>0.94380530973451326</v>
      </c>
      <c r="P29" s="194">
        <f>INDEX('2012'!$G$25:$G$47,MATCH('2030 Regional ISO'!$E29,'2012'!$B$25:$B$47,0))</f>
        <v>0.91401841401841399</v>
      </c>
      <c r="Q29" s="194">
        <f>INDEX('2013'!$G$25:$G$47,MATCH('2030 Regional ISO'!$E29,'2013'!$B$25:$B$47,0))</f>
        <v>0.9094459713583104</v>
      </c>
      <c r="R29" s="194">
        <f>INDEX('2014'!$G$25:$G$47,MATCH('2030 Regional ISO'!$E29,'2014'!$B$25:$B$47,0))</f>
        <v>0.91703555619020416</v>
      </c>
      <c r="S29" s="194">
        <f t="shared" si="6"/>
        <v>0.91703555619020416</v>
      </c>
      <c r="T29" s="198">
        <f t="shared" si="1"/>
        <v>2062.519104246328</v>
      </c>
      <c r="U29" s="198">
        <f t="shared" si="2"/>
        <v>216.63869497001292</v>
      </c>
      <c r="V29" s="198">
        <f t="shared" si="3"/>
        <v>137.19606018518505</v>
      </c>
      <c r="W29" s="198">
        <f t="shared" si="7"/>
        <v>137.19606018518505</v>
      </c>
      <c r="X29" s="198">
        <f t="shared" si="4"/>
        <v>79.442634784827874</v>
      </c>
      <c r="Y29" s="236">
        <v>760.93551228104513</v>
      </c>
      <c r="Z29" s="236">
        <f t="shared" si="8"/>
        <v>79.442634784827874</v>
      </c>
      <c r="AA29" s="198">
        <f t="shared" si="5"/>
        <v>0</v>
      </c>
      <c r="AB29" s="237"/>
    </row>
    <row r="30" spans="1:28" x14ac:dyDescent="0.25">
      <c r="A30" s="28" t="s">
        <v>29</v>
      </c>
      <c r="B30" s="28" t="s">
        <v>37</v>
      </c>
      <c r="C30" s="156"/>
      <c r="D30" s="245" t="s">
        <v>135</v>
      </c>
      <c r="E30" s="233" t="s">
        <v>3</v>
      </c>
      <c r="F30" s="237" t="s">
        <v>35</v>
      </c>
      <c r="G30" s="235">
        <v>1.161</v>
      </c>
      <c r="H30" s="235">
        <v>1.161</v>
      </c>
      <c r="I30" s="236">
        <v>1175.6378186878817</v>
      </c>
      <c r="J30" s="194">
        <f>INDEX('2006'!$G$25:$G$47,MATCH('2030 Regional ISO'!$E30,'2006'!$B$25:$B$47,0))</f>
        <v>0.96471774193548387</v>
      </c>
      <c r="K30" s="194">
        <f>INDEX('2007'!$G$25:$G$47,MATCH('2030 Regional ISO'!$E30,'2007'!$B$25:$B$47,0))</f>
        <v>0.90222334512379987</v>
      </c>
      <c r="L30" s="194">
        <f>INDEX('2008'!$G$25:$G$47,MATCH('2030 Regional ISO'!$E30,'2008'!$B$25:$B$47,0))</f>
        <v>0.94140323824209715</v>
      </c>
      <c r="M30" s="194">
        <f>INDEX('2009'!$G$25:$G$47,MATCH('2030 Regional ISO'!$E30,'2009'!$B$25:$B$47,0))</f>
        <v>0.99744506898313745</v>
      </c>
      <c r="N30" s="194">
        <f>INDEX('2010'!$G$25:$G$47,MATCH('2030 Regional ISO'!$E30,'2010'!$B$25:$B$47,0))</f>
        <v>0.89858728557013123</v>
      </c>
      <c r="O30" s="194">
        <f>INDEX('2011'!$G$25:$G$47,MATCH('2030 Regional ISO'!$E30,'2011'!$B$25:$B$47,0))</f>
        <v>0.99645479868321096</v>
      </c>
      <c r="P30" s="194">
        <f>INDEX('2012'!$G$25:$G$47,MATCH('2030 Regional ISO'!$E30,'2012'!$B$25:$B$47,0))</f>
        <v>0.97529921059332825</v>
      </c>
      <c r="Q30" s="194">
        <f>INDEX('2013'!$G$25:$G$47,MATCH('2030 Regional ISO'!$E30,'2013'!$B$25:$B$47,0))</f>
        <v>0.98030186748529036</v>
      </c>
      <c r="R30" s="194">
        <f>INDEX('2014'!$G$25:$G$47,MATCH('2030 Regional ISO'!$E30,'2014'!$B$25:$B$47,0))</f>
        <v>0.97437868306430953</v>
      </c>
      <c r="S30" s="194">
        <f t="shared" si="6"/>
        <v>0.97437868306430953</v>
      </c>
      <c r="T30" s="198">
        <f t="shared" si="1"/>
        <v>1145.5164295336956</v>
      </c>
      <c r="U30" s="198">
        <f t="shared" si="2"/>
        <v>34.970932808009984</v>
      </c>
      <c r="V30" s="198">
        <f t="shared" si="3"/>
        <v>0</v>
      </c>
      <c r="W30" s="198">
        <f t="shared" si="7"/>
        <v>0</v>
      </c>
      <c r="X30" s="198">
        <f t="shared" si="4"/>
        <v>34.970932808009984</v>
      </c>
      <c r="Y30" s="236">
        <v>147.42890211640213</v>
      </c>
      <c r="Z30" s="236">
        <f t="shared" si="8"/>
        <v>34.970932808009984</v>
      </c>
      <c r="AA30" s="198">
        <f t="shared" si="5"/>
        <v>0</v>
      </c>
      <c r="AB30" s="237"/>
    </row>
    <row r="31" spans="1:28" x14ac:dyDescent="0.25">
      <c r="A31" s="28" t="s">
        <v>29</v>
      </c>
      <c r="B31" s="28" t="s">
        <v>48</v>
      </c>
      <c r="C31" s="156"/>
      <c r="D31" s="245" t="s">
        <v>136</v>
      </c>
      <c r="E31" s="233" t="s">
        <v>10</v>
      </c>
      <c r="F31" s="237" t="s">
        <v>35</v>
      </c>
      <c r="G31" s="235">
        <v>1.1200000000000001</v>
      </c>
      <c r="H31" s="235">
        <v>1.161</v>
      </c>
      <c r="I31" s="236">
        <v>3181.9884156729122</v>
      </c>
      <c r="J31" s="194">
        <f>INDEX('2006'!$G$25:$G$47,MATCH('2030 Regional ISO'!$E31,'2006'!$B$25:$B$47,0))</f>
        <v>0.96429056347589948</v>
      </c>
      <c r="K31" s="194">
        <f>INDEX('2007'!$G$25:$G$47,MATCH('2030 Regional ISO'!$E31,'2007'!$B$25:$B$47,0))</f>
        <v>0.96936351131674381</v>
      </c>
      <c r="L31" s="194">
        <f>INDEX('2008'!$G$25:$G$47,MATCH('2030 Regional ISO'!$E31,'2008'!$B$25:$B$47,0))</f>
        <v>0.98249935182784542</v>
      </c>
      <c r="M31" s="194">
        <f>INDEX('2009'!$G$25:$G$47,MATCH('2030 Regional ISO'!$E31,'2009'!$B$25:$B$47,0))</f>
        <v>0.93510091017016228</v>
      </c>
      <c r="N31" s="194">
        <f>INDEX('2010'!$G$25:$G$47,MATCH('2030 Regional ISO'!$E31,'2010'!$B$25:$B$47,0))</f>
        <v>0.97994450050454085</v>
      </c>
      <c r="O31" s="194">
        <f>INDEX('2011'!$G$25:$G$47,MATCH('2030 Regional ISO'!$E31,'2011'!$B$25:$B$47,0))</f>
        <v>0.89682139253279514</v>
      </c>
      <c r="P31" s="194">
        <f>INDEX('2012'!$G$25:$G$47,MATCH('2030 Regional ISO'!$E31,'2012'!$B$25:$B$47,0))</f>
        <v>0.92971762657046897</v>
      </c>
      <c r="Q31" s="194">
        <f>INDEX('2013'!$G$25:$G$47,MATCH('2030 Regional ISO'!$E31,'2013'!$B$25:$B$47,0))</f>
        <v>0.89850854856311391</v>
      </c>
      <c r="R31" s="194">
        <f>INDEX('2014'!$G$25:$G$47,MATCH('2030 Regional ISO'!$E31,'2014'!$B$25:$B$47,0))</f>
        <v>0.89762057877813506</v>
      </c>
      <c r="S31" s="194">
        <f t="shared" si="6"/>
        <v>0.93510091017016228</v>
      </c>
      <c r="T31" s="198">
        <f t="shared" si="1"/>
        <v>2975.4802636466529</v>
      </c>
      <c r="U31" s="198">
        <f t="shared" si="2"/>
        <v>239.7559645024871</v>
      </c>
      <c r="V31" s="198">
        <f t="shared" si="3"/>
        <v>130.46152504258916</v>
      </c>
      <c r="W31" s="198">
        <f t="shared" si="7"/>
        <v>130.46152504258916</v>
      </c>
      <c r="X31" s="198">
        <f t="shared" si="4"/>
        <v>109.29443945989794</v>
      </c>
      <c r="Y31" s="236">
        <v>1148.8403953420102</v>
      </c>
      <c r="Z31" s="236">
        <f t="shared" si="8"/>
        <v>109.29443945989794</v>
      </c>
      <c r="AA31" s="198">
        <f t="shared" si="5"/>
        <v>0</v>
      </c>
      <c r="AB31" s="237"/>
    </row>
    <row r="32" spans="1:28" x14ac:dyDescent="0.25">
      <c r="A32" s="28" t="s">
        <v>29</v>
      </c>
      <c r="B32" s="28" t="s">
        <v>48</v>
      </c>
      <c r="C32" s="156"/>
      <c r="D32" s="245" t="s">
        <v>137</v>
      </c>
      <c r="E32" s="233" t="s">
        <v>12</v>
      </c>
      <c r="F32" s="237" t="s">
        <v>35</v>
      </c>
      <c r="G32" s="235">
        <v>1.161</v>
      </c>
      <c r="H32" s="235">
        <v>1.161</v>
      </c>
      <c r="I32" s="236">
        <v>9313.1154622527192</v>
      </c>
      <c r="J32" s="194">
        <f>INDEX('2006'!$G$25:$G$47,MATCH('2030 Regional ISO'!$E32,'2006'!$B$25:$B$47,0))</f>
        <v>0.99539532794249774</v>
      </c>
      <c r="K32" s="194">
        <f>INDEX('2007'!$G$25:$G$47,MATCH('2030 Regional ISO'!$E32,'2007'!$B$25:$B$47,0))</f>
        <v>0.9935734568823793</v>
      </c>
      <c r="L32" s="194">
        <f>INDEX('2008'!$G$25:$G$47,MATCH('2030 Regional ISO'!$E32,'2008'!$B$25:$B$47,0))</f>
        <v>0.99923997719931601</v>
      </c>
      <c r="M32" s="194">
        <f>INDEX('2009'!$G$25:$G$47,MATCH('2030 Regional ISO'!$E32,'2009'!$B$25:$B$47,0))</f>
        <v>0.99358006042296076</v>
      </c>
      <c r="N32" s="194">
        <f>INDEX('2010'!$G$25:$G$47,MATCH('2030 Regional ISO'!$E32,'2010'!$B$25:$B$47,0))</f>
        <v>0.99189564680456932</v>
      </c>
      <c r="O32" s="194">
        <f>INDEX('2011'!$G$25:$G$47,MATCH('2030 Regional ISO'!$E32,'2011'!$B$25:$B$47,0))</f>
        <v>0.99752314903021755</v>
      </c>
      <c r="P32" s="194">
        <f>INDEX('2012'!$G$25:$G$47,MATCH('2030 Regional ISO'!$E32,'2012'!$B$25:$B$47,0))</f>
        <v>0.9986965103720532</v>
      </c>
      <c r="Q32" s="194">
        <f>INDEX('2013'!$G$25:$G$47,MATCH('2030 Regional ISO'!$E32,'2013'!$B$25:$B$47,0))</f>
        <v>1</v>
      </c>
      <c r="R32" s="194">
        <f>INDEX('2014'!$G$25:$G$47,MATCH('2030 Regional ISO'!$E32,'2014'!$B$25:$B$47,0))</f>
        <v>0.99930015838520758</v>
      </c>
      <c r="S32" s="194">
        <f t="shared" si="6"/>
        <v>0.99752314903021755</v>
      </c>
      <c r="T32" s="198">
        <f t="shared" si="1"/>
        <v>9290.0482631883424</v>
      </c>
      <c r="U32" s="198">
        <f t="shared" si="2"/>
        <v>26.781018113741226</v>
      </c>
      <c r="V32" s="198">
        <f t="shared" si="3"/>
        <v>0</v>
      </c>
      <c r="W32" s="198">
        <f t="shared" si="7"/>
        <v>0</v>
      </c>
      <c r="X32" s="198">
        <f t="shared" si="4"/>
        <v>26.781018113741222</v>
      </c>
      <c r="Y32" s="236">
        <v>961.1537466586185</v>
      </c>
      <c r="Z32" s="236">
        <f t="shared" si="8"/>
        <v>26.781018113741222</v>
      </c>
      <c r="AA32" s="198">
        <f t="shared" si="5"/>
        <v>0</v>
      </c>
      <c r="AB32" s="237"/>
    </row>
    <row r="33" spans="1:28" x14ac:dyDescent="0.25">
      <c r="A33" s="28" t="s">
        <v>29</v>
      </c>
      <c r="B33" s="28" t="s">
        <v>48</v>
      </c>
      <c r="C33" s="156"/>
      <c r="D33" s="245" t="s">
        <v>138</v>
      </c>
      <c r="E33" s="233" t="s">
        <v>15</v>
      </c>
      <c r="F33" s="237" t="s">
        <v>35</v>
      </c>
      <c r="G33" s="149">
        <v>1.1499999999999999</v>
      </c>
      <c r="H33" s="149">
        <v>1.161</v>
      </c>
      <c r="I33" s="236">
        <v>3863.0519774011318</v>
      </c>
      <c r="J33" s="194">
        <f>INDEX('2006'!$G$25:$G$47,MATCH('2030 Regional ISO'!$E33,'2006'!$B$25:$B$47,0))</f>
        <v>0.99099622422306133</v>
      </c>
      <c r="K33" s="194">
        <f>INDEX('2007'!$G$25:$G$47,MATCH('2030 Regional ISO'!$E33,'2007'!$B$25:$B$47,0))</f>
        <v>0.97869923317239416</v>
      </c>
      <c r="L33" s="194">
        <f>INDEX('2008'!$G$25:$G$47,MATCH('2030 Regional ISO'!$E33,'2008'!$B$25:$B$47,0))</f>
        <v>0.9956252579446967</v>
      </c>
      <c r="M33" s="194">
        <f>INDEX('2009'!$G$25:$G$47,MATCH('2030 Regional ISO'!$E33,'2009'!$B$25:$B$47,0))</f>
        <v>0.98443083205717208</v>
      </c>
      <c r="N33" s="194">
        <f>INDEX('2010'!$G$25:$G$47,MATCH('2030 Regional ISO'!$E33,'2010'!$B$25:$B$47,0))</f>
        <v>0.99544739673868055</v>
      </c>
      <c r="O33" s="194">
        <f>INDEX('2011'!$G$25:$G$47,MATCH('2030 Regional ISO'!$E33,'2011'!$B$25:$B$47,0))</f>
        <v>0.98626737260092656</v>
      </c>
      <c r="P33" s="194">
        <f>INDEX('2012'!$G$25:$G$47,MATCH('2030 Regional ISO'!$E33,'2012'!$B$25:$B$47,0))</f>
        <v>0.9777202937249666</v>
      </c>
      <c r="Q33" s="194">
        <f>INDEX('2013'!$G$25:$G$47,MATCH('2030 Regional ISO'!$E33,'2013'!$B$25:$B$47,0))</f>
        <v>0.98285578220493686</v>
      </c>
      <c r="R33" s="194">
        <f>INDEX('2014'!$G$25:$G$47,MATCH('2030 Regional ISO'!$E33,'2014'!$B$25:$B$47,0))</f>
        <v>0.90348563689500316</v>
      </c>
      <c r="S33" s="194">
        <f t="shared" si="6"/>
        <v>0.98443083205717208</v>
      </c>
      <c r="T33" s="198">
        <f t="shared" si="1"/>
        <v>3802.9074723931003</v>
      </c>
      <c r="U33" s="198">
        <f t="shared" si="2"/>
        <v>69.827770314324823</v>
      </c>
      <c r="V33" s="198">
        <f t="shared" si="3"/>
        <v>42.493571751412915</v>
      </c>
      <c r="W33" s="198">
        <f t="shared" si="7"/>
        <v>42.493571751412915</v>
      </c>
      <c r="X33" s="198">
        <f t="shared" si="4"/>
        <v>27.334198562911908</v>
      </c>
      <c r="Y33" s="236">
        <v>457.87703716478399</v>
      </c>
      <c r="Z33" s="236">
        <f t="shared" si="8"/>
        <v>27.334198562911908</v>
      </c>
      <c r="AA33" s="198">
        <f t="shared" si="5"/>
        <v>0</v>
      </c>
      <c r="AB33" s="237"/>
    </row>
    <row r="34" spans="1:28" ht="6" customHeight="1" x14ac:dyDescent="0.25">
      <c r="A34" s="28"/>
      <c r="B34" s="28"/>
      <c r="C34" s="28"/>
      <c r="D34" s="234"/>
      <c r="E34" s="234"/>
      <c r="F34" s="239"/>
      <c r="G34" s="148"/>
      <c r="H34" s="148"/>
      <c r="I34" s="240"/>
      <c r="J34" s="212"/>
      <c r="K34" s="212"/>
      <c r="L34" s="212"/>
      <c r="M34" s="212"/>
      <c r="N34" s="212"/>
      <c r="O34" s="212"/>
      <c r="P34" s="212"/>
      <c r="Q34" s="212"/>
      <c r="R34" s="212"/>
      <c r="S34" s="212"/>
      <c r="T34" s="211"/>
      <c r="U34" s="211"/>
      <c r="V34" s="211"/>
      <c r="W34" s="211"/>
      <c r="X34" s="211"/>
      <c r="Y34" s="240"/>
      <c r="Z34" s="240"/>
      <c r="AA34" s="211"/>
      <c r="AB34" s="237"/>
    </row>
    <row r="35" spans="1:28" ht="6" customHeight="1" x14ac:dyDescent="0.25">
      <c r="A35" s="28"/>
      <c r="B35" s="28"/>
      <c r="C35" s="28"/>
      <c r="D35" s="233"/>
      <c r="E35" s="233"/>
      <c r="F35" s="237"/>
      <c r="G35" s="149"/>
      <c r="H35" s="149"/>
      <c r="I35" s="236"/>
      <c r="J35" s="194"/>
      <c r="K35" s="194"/>
      <c r="L35" s="194"/>
      <c r="M35" s="194"/>
      <c r="N35" s="194"/>
      <c r="O35" s="194"/>
      <c r="P35" s="194"/>
      <c r="Q35" s="194"/>
      <c r="R35" s="194"/>
      <c r="S35" s="194"/>
      <c r="T35" s="198"/>
      <c r="U35" s="198"/>
      <c r="V35" s="198"/>
      <c r="W35" s="198"/>
      <c r="X35" s="198"/>
      <c r="Y35" s="236"/>
      <c r="Z35" s="236"/>
      <c r="AA35" s="198"/>
      <c r="AB35" s="237"/>
    </row>
    <row r="36" spans="1:28" x14ac:dyDescent="0.25">
      <c r="A36" s="28"/>
      <c r="B36" s="28"/>
      <c r="C36" s="28"/>
      <c r="D36" s="233"/>
      <c r="E36" s="189" t="s">
        <v>72</v>
      </c>
      <c r="F36" s="237"/>
      <c r="G36" s="149"/>
      <c r="H36" s="149"/>
      <c r="I36" s="238">
        <f>SUM(I11:I33)</f>
        <v>142490.20513344833</v>
      </c>
      <c r="J36" s="203"/>
      <c r="K36" s="203"/>
      <c r="L36" s="203"/>
      <c r="M36" s="203"/>
      <c r="N36" s="203"/>
      <c r="O36" s="203"/>
      <c r="P36" s="203"/>
      <c r="Q36" s="203"/>
      <c r="R36" s="203"/>
      <c r="S36" s="203"/>
      <c r="T36" s="247">
        <f t="shared" ref="T36:AA36" si="9">SUM(T11:T33)</f>
        <v>137110.73729738459</v>
      </c>
      <c r="U36" s="247">
        <f t="shared" ref="U36:Y36" si="10">SUM(U11:U33)</f>
        <v>6210.5396218865044</v>
      </c>
      <c r="V36" s="247">
        <f>SUM(V11:V33)</f>
        <v>4982.2587186146666</v>
      </c>
      <c r="W36" s="247">
        <f>SUM(W11:W33)</f>
        <v>4480.5614896790439</v>
      </c>
      <c r="X36" s="247">
        <f>SUM(X11:X33)</f>
        <v>1729.9781322074618</v>
      </c>
      <c r="Y36" s="238">
        <f t="shared" si="10"/>
        <v>17972.804405342024</v>
      </c>
      <c r="Z36" s="238">
        <f t="shared" si="9"/>
        <v>967.05830749406903</v>
      </c>
      <c r="AA36" s="247">
        <f t="shared" si="9"/>
        <v>762.9198247133927</v>
      </c>
      <c r="AB36" s="237"/>
    </row>
    <row r="37" spans="1:28" ht="6" customHeight="1" x14ac:dyDescent="0.25">
      <c r="A37" s="28"/>
      <c r="B37" s="28"/>
      <c r="C37" s="28"/>
      <c r="D37" s="234"/>
      <c r="E37" s="234"/>
      <c r="F37" s="239"/>
      <c r="G37" s="148"/>
      <c r="H37" s="148"/>
      <c r="I37" s="240"/>
      <c r="J37" s="212"/>
      <c r="K37" s="212"/>
      <c r="L37" s="212"/>
      <c r="M37" s="212"/>
      <c r="N37" s="212"/>
      <c r="O37" s="212"/>
      <c r="P37" s="212"/>
      <c r="Q37" s="212"/>
      <c r="R37" s="212"/>
      <c r="S37" s="212"/>
      <c r="T37" s="211"/>
      <c r="U37" s="211"/>
      <c r="V37" s="211"/>
      <c r="W37" s="211"/>
      <c r="X37" s="211"/>
      <c r="Y37" s="240"/>
      <c r="Z37" s="240"/>
      <c r="AA37" s="211"/>
      <c r="AB37" s="237"/>
    </row>
    <row r="38" spans="1:28" ht="6" customHeight="1" x14ac:dyDescent="0.25">
      <c r="A38" s="28"/>
      <c r="B38" s="28"/>
      <c r="C38" s="28"/>
      <c r="D38" s="233"/>
      <c r="E38" s="233"/>
      <c r="F38" s="237"/>
      <c r="G38" s="149"/>
      <c r="H38" s="149"/>
      <c r="I38" s="236"/>
      <c r="J38" s="194"/>
      <c r="K38" s="194"/>
      <c r="L38" s="194"/>
      <c r="M38" s="194"/>
      <c r="N38" s="194"/>
      <c r="O38" s="194"/>
      <c r="P38" s="194"/>
      <c r="Q38" s="194"/>
      <c r="R38" s="194"/>
      <c r="S38" s="194"/>
      <c r="T38" s="198"/>
      <c r="U38" s="198"/>
      <c r="V38" s="198"/>
      <c r="W38" s="198"/>
      <c r="X38" s="198"/>
      <c r="Y38" s="236"/>
      <c r="Z38" s="236"/>
      <c r="AA38" s="198"/>
      <c r="AB38" s="237"/>
    </row>
    <row r="39" spans="1:28" x14ac:dyDescent="0.25">
      <c r="A39" s="28" t="s">
        <v>26</v>
      </c>
      <c r="B39" s="28"/>
      <c r="C39" s="28" t="s">
        <v>37</v>
      </c>
      <c r="D39" s="248"/>
      <c r="E39" s="233" t="s">
        <v>37</v>
      </c>
      <c r="F39" s="237" t="s">
        <v>48</v>
      </c>
      <c r="G39" s="149">
        <v>1.1499999999999999</v>
      </c>
      <c r="H39" s="149">
        <v>1.1499999999999999</v>
      </c>
      <c r="I39" s="236">
        <v>50154.127578657834</v>
      </c>
      <c r="J39" s="194">
        <f>INDEX('2006'!$G$50:$G$53,MATCH('2030 Regional ISO'!$E39,'2006'!$B$50:$B$53,0))</f>
        <v>0.99769891022175361</v>
      </c>
      <c r="K39" s="194">
        <f>INDEX('2007'!$G$50:$G$53,MATCH('2030 Regional ISO'!$E39,'2007'!$B$50:$B$53,0))</f>
        <v>0.99017186159882786</v>
      </c>
      <c r="L39" s="194">
        <f>INDEX('2008'!$G$50:$G$53,MATCH('2030 Regional ISO'!$E39,'2008'!$B$50:$B$53,0))</f>
        <v>0.97865618333053672</v>
      </c>
      <c r="M39" s="194">
        <f>INDEX('2009'!$G$50:$G$53,MATCH('2030 Regional ISO'!$E39,'2009'!$B$50:$B$53,0))</f>
        <v>0.93352348278256347</v>
      </c>
      <c r="N39" s="194">
        <f>INDEX('2010'!$G$50:$G$53,MATCH('2030 Regional ISO'!$E39,'2010'!$B$50:$B$53,0))</f>
        <v>0.97805342146300989</v>
      </c>
      <c r="O39" s="194">
        <f>INDEX('2011'!$G$50:$G$53,MATCH('2030 Regional ISO'!$E39,'2011'!$B$50:$B$53,0))</f>
        <v>0.93659679709197663</v>
      </c>
      <c r="P39" s="194">
        <f>INDEX('2012'!$G$50:$G$53,MATCH('2030 Regional ISO'!$E39,'2012'!$B$50:$B$53,0))</f>
        <v>0.99803372530113876</v>
      </c>
      <c r="Q39" s="194">
        <f>INDEX('2013'!$G$50:$G$53,MATCH('2030 Regional ISO'!$E39,'2013'!$B$50:$B$53,0))</f>
        <v>0.99526920755160864</v>
      </c>
      <c r="R39" s="194">
        <f>INDEX('2014'!$G$50:$G$53,MATCH('2030 Regional ISO'!$E39,'2014'!$B$50:$B$53,0))</f>
        <v>0.96858401335435773</v>
      </c>
      <c r="S39" s="194">
        <f t="shared" ref="S39:S42" si="11">MEDIAN(J39:R39)</f>
        <v>0.97865618333053672</v>
      </c>
      <c r="T39" s="198">
        <f>S39*I39</f>
        <v>49083.647074402092</v>
      </c>
      <c r="U39" s="198">
        <f>I39*H39*(1-S39)</f>
        <v>1231.0525798941067</v>
      </c>
      <c r="V39" s="198"/>
      <c r="W39" s="198"/>
      <c r="X39" s="198">
        <f>I39*(G39-S39*H39)</f>
        <v>1231.0525798941085</v>
      </c>
      <c r="Y39" s="236">
        <v>10104.531190578016</v>
      </c>
      <c r="Z39" s="236">
        <f>MIN(X39,Y39)</f>
        <v>1231.0525798941085</v>
      </c>
      <c r="AA39" s="198">
        <f>X39-Z39</f>
        <v>0</v>
      </c>
      <c r="AB39" s="237"/>
    </row>
    <row r="40" spans="1:28" x14ac:dyDescent="0.25">
      <c r="A40" s="28" t="s">
        <v>27</v>
      </c>
      <c r="B40" s="28"/>
      <c r="C40" s="28" t="s">
        <v>48</v>
      </c>
      <c r="D40" s="248"/>
      <c r="E40" s="233" t="s">
        <v>36</v>
      </c>
      <c r="F40" s="237" t="s">
        <v>48</v>
      </c>
      <c r="G40" s="149">
        <v>1.1539999999999999</v>
      </c>
      <c r="H40" s="149">
        <v>1.1539999999999999</v>
      </c>
      <c r="I40" s="236">
        <v>48245.944037584813</v>
      </c>
      <c r="J40" s="194">
        <f>INDEX('2006'!$G$50:$G$53,MATCH('2030 Regional ISO'!$E40,'2006'!$B$50:$B$53,0))</f>
        <v>0.99845827565660039</v>
      </c>
      <c r="K40" s="194">
        <f>INDEX('2007'!$G$50:$G$53,MATCH('2030 Regional ISO'!$E40,'2007'!$B$50:$B$53,0))</f>
        <v>0.93704610707650737</v>
      </c>
      <c r="L40" s="194">
        <f>INDEX('2008'!$G$50:$G$53,MATCH('2030 Regional ISO'!$E40,'2008'!$B$50:$B$53,0))</f>
        <v>0.9390681976483608</v>
      </c>
      <c r="M40" s="194">
        <f>INDEX('2009'!$G$50:$G$53,MATCH('2030 Regional ISO'!$E40,'2009'!$B$50:$B$53,0))</f>
        <v>0.99244053319543524</v>
      </c>
      <c r="N40" s="194">
        <f>INDEX('2010'!$G$50:$G$53,MATCH('2030 Regional ISO'!$E40,'2010'!$B$50:$B$53,0))</f>
        <v>0.99105883452842636</v>
      </c>
      <c r="O40" s="194">
        <f>INDEX('2011'!$G$50:$G$53,MATCH('2030 Regional ISO'!$E40,'2011'!$B$50:$B$53,0))</f>
        <v>0.99386432183962115</v>
      </c>
      <c r="P40" s="194">
        <f>INDEX('2012'!$G$50:$G$53,MATCH('2030 Regional ISO'!$E40,'2012'!$B$50:$B$53,0))</f>
        <v>0.98871397064523014</v>
      </c>
      <c r="Q40" s="194">
        <f>INDEX('2013'!$G$50:$G$53,MATCH('2030 Regional ISO'!$E40,'2013'!$B$50:$B$53,0))</f>
        <v>0.96863596454373635</v>
      </c>
      <c r="R40" s="194">
        <f>INDEX('2014'!$G$50:$G$53,MATCH('2030 Regional ISO'!$E40,'2014'!$B$50:$B$53,0))</f>
        <v>0.98549116258678782</v>
      </c>
      <c r="S40" s="194">
        <f t="shared" si="11"/>
        <v>0.98871397064523014</v>
      </c>
      <c r="T40" s="198">
        <f>S40*I40</f>
        <v>47701.438896928048</v>
      </c>
      <c r="U40" s="198">
        <f>I40*H40*(1-S40)</f>
        <v>628.35893231790783</v>
      </c>
      <c r="V40" s="198"/>
      <c r="W40" s="198"/>
      <c r="X40" s="198">
        <f>I40*(G40-S40*H40)</f>
        <v>628.35893231791169</v>
      </c>
      <c r="Y40" s="236">
        <v>12609.468809421989</v>
      </c>
      <c r="Z40" s="236">
        <f>MIN(X40,Y40)</f>
        <v>628.35893231791169</v>
      </c>
      <c r="AA40" s="198">
        <f>X40-Z40</f>
        <v>0</v>
      </c>
      <c r="AB40" s="237"/>
    </row>
    <row r="41" spans="1:28" x14ac:dyDescent="0.25">
      <c r="A41" s="28" t="s">
        <v>28</v>
      </c>
      <c r="B41" s="28"/>
      <c r="C41" s="28" t="s">
        <v>48</v>
      </c>
      <c r="D41" s="248"/>
      <c r="E41" s="233" t="s">
        <v>38</v>
      </c>
      <c r="F41" s="237" t="s">
        <v>48</v>
      </c>
      <c r="G41" s="149">
        <v>1.139</v>
      </c>
      <c r="H41" s="149">
        <v>1.139</v>
      </c>
      <c r="I41" s="236">
        <v>9755.9217391304301</v>
      </c>
      <c r="J41" s="194">
        <f>INDEX('2006'!$G$50:$G$53,MATCH('2030 Regional ISO'!$E41,'2006'!$B$50:$B$53,0))</f>
        <v>0.9511203616377768</v>
      </c>
      <c r="K41" s="194">
        <f>INDEX('2007'!$G$50:$G$53,MATCH('2030 Regional ISO'!$E41,'2007'!$B$50:$B$53,0))</f>
        <v>0.79611020067406701</v>
      </c>
      <c r="L41" s="194">
        <f>INDEX('2008'!$G$50:$G$53,MATCH('2030 Regional ISO'!$E41,'2008'!$B$50:$B$53,0))</f>
        <v>0.77944055060933259</v>
      </c>
      <c r="M41" s="194">
        <f>INDEX('2009'!$G$50:$G$53,MATCH('2030 Regional ISO'!$E41,'2009'!$B$50:$B$53,0))</f>
        <v>0.85900141863603341</v>
      </c>
      <c r="N41" s="194">
        <f>INDEX('2010'!$G$50:$G$53,MATCH('2030 Regional ISO'!$E41,'2010'!$B$50:$B$53,0))</f>
        <v>0.93007062568387544</v>
      </c>
      <c r="O41" s="194">
        <f>INDEX('2011'!$G$50:$G$53,MATCH('2030 Regional ISO'!$E41,'2011'!$B$50:$B$53,0))</f>
        <v>0.90666151518078497</v>
      </c>
      <c r="P41" s="194">
        <f>INDEX('2012'!$G$50:$G$53,MATCH('2030 Regional ISO'!$E41,'2012'!$B$50:$B$53,0))</f>
        <v>0.71535330407683018</v>
      </c>
      <c r="Q41" s="194">
        <f>INDEX('2013'!$G$50:$G$53,MATCH('2030 Regional ISO'!$E41,'2013'!$B$50:$B$53,0))</f>
        <v>0.83614693877551016</v>
      </c>
      <c r="R41" s="194">
        <f>INDEX('2014'!$G$50:$G$53,MATCH('2030 Regional ISO'!$E41,'2014'!$B$50:$B$53,0))</f>
        <v>0.67624780197484102</v>
      </c>
      <c r="S41" s="194">
        <f t="shared" si="11"/>
        <v>0.83614693877551016</v>
      </c>
      <c r="T41" s="198">
        <f>S41*I41</f>
        <v>8157.3840971073605</v>
      </c>
      <c r="U41" s="198">
        <f>I41*H41*(1-S41)</f>
        <v>1820.7343742642763</v>
      </c>
      <c r="V41" s="198"/>
      <c r="W41" s="198"/>
      <c r="X41" s="198">
        <f>I41*(G41-S41*H41)</f>
        <v>1820.7343742642759</v>
      </c>
      <c r="Y41" s="236">
        <v>496.31867788837758</v>
      </c>
      <c r="Z41" s="236">
        <f>MIN(X41,Y41)</f>
        <v>496.31867788837758</v>
      </c>
      <c r="AA41" s="198">
        <f>X41-Z41</f>
        <v>1324.4156963758983</v>
      </c>
      <c r="AB41" s="237"/>
    </row>
    <row r="42" spans="1:28" x14ac:dyDescent="0.25">
      <c r="A42" s="28" t="s">
        <v>29</v>
      </c>
      <c r="B42" s="28"/>
      <c r="C42" s="28" t="s">
        <v>48</v>
      </c>
      <c r="D42" s="248"/>
      <c r="E42" s="233" t="s">
        <v>35</v>
      </c>
      <c r="F42" s="237" t="s">
        <v>48</v>
      </c>
      <c r="G42" s="149">
        <v>1.161</v>
      </c>
      <c r="H42" s="149">
        <v>1.161</v>
      </c>
      <c r="I42" s="236">
        <v>28954.743942011512</v>
      </c>
      <c r="J42" s="194">
        <f>INDEX('2006'!$G$50:$G$53,MATCH('2030 Regional ISO'!$E42,'2006'!$B$50:$B$53,0))</f>
        <v>0.98313527787780575</v>
      </c>
      <c r="K42" s="194">
        <f>INDEX('2007'!$G$50:$G$53,MATCH('2030 Regional ISO'!$E42,'2007'!$B$50:$B$53,0))</f>
        <v>0.97651602751320232</v>
      </c>
      <c r="L42" s="194">
        <f>INDEX('2008'!$G$50:$G$53,MATCH('2030 Regional ISO'!$E42,'2008'!$B$50:$B$53,0))</f>
        <v>0.94697662112757364</v>
      </c>
      <c r="M42" s="194">
        <f>INDEX('2009'!$G$50:$G$53,MATCH('2030 Regional ISO'!$E42,'2009'!$B$50:$B$53,0))</f>
        <v>0.99564665921403384</v>
      </c>
      <c r="N42" s="194">
        <f>INDEX('2010'!$G$50:$G$53,MATCH('2030 Regional ISO'!$E42,'2010'!$B$50:$B$53,0))</f>
        <v>0.9405647615826852</v>
      </c>
      <c r="O42" s="194">
        <f>INDEX('2011'!$G$50:$G$53,MATCH('2030 Regional ISO'!$E42,'2011'!$B$50:$B$53,0))</f>
        <v>0.99219770562667742</v>
      </c>
      <c r="P42" s="194">
        <f>INDEX('2012'!$G$50:$G$53,MATCH('2030 Regional ISO'!$E42,'2012'!$B$50:$B$53,0))</f>
        <v>0.97216578387964347</v>
      </c>
      <c r="Q42" s="194">
        <f>INDEX('2013'!$G$50:$G$53,MATCH('2030 Regional ISO'!$E42,'2013'!$B$50:$B$53,0))</f>
        <v>0.96371469750628558</v>
      </c>
      <c r="R42" s="194">
        <f>INDEX('2014'!$G$50:$G$53,MATCH('2030 Regional ISO'!$E42,'2014'!$B$50:$B$53,0))</f>
        <v>0.94344825967564017</v>
      </c>
      <c r="S42" s="194">
        <f t="shared" si="11"/>
        <v>0.97216578387964347</v>
      </c>
      <c r="T42" s="198">
        <f>S42*I42</f>
        <v>28148.81134141998</v>
      </c>
      <c r="U42" s="198">
        <f>I42*H42*(1-S42)</f>
        <v>935.68774928676896</v>
      </c>
      <c r="V42" s="198"/>
      <c r="W42" s="198"/>
      <c r="X42" s="198">
        <f>I42*(G42-S42*H42)</f>
        <v>935.68774928676714</v>
      </c>
      <c r="Y42" s="236">
        <v>5573.4701917795765</v>
      </c>
      <c r="Z42" s="236">
        <f>MIN(X42,Y42)</f>
        <v>935.68774928676714</v>
      </c>
      <c r="AA42" s="198">
        <f>X42-Z42</f>
        <v>0</v>
      </c>
      <c r="AB42" s="237"/>
    </row>
    <row r="43" spans="1:28" ht="6" customHeight="1" x14ac:dyDescent="0.25">
      <c r="A43" s="28"/>
      <c r="B43" s="28"/>
      <c r="C43" s="28"/>
      <c r="D43" s="234"/>
      <c r="E43" s="234"/>
      <c r="F43" s="239"/>
      <c r="G43" s="148"/>
      <c r="H43" s="148"/>
      <c r="I43" s="240"/>
      <c r="J43" s="212"/>
      <c r="K43" s="212"/>
      <c r="L43" s="212"/>
      <c r="M43" s="212"/>
      <c r="N43" s="212"/>
      <c r="O43" s="212"/>
      <c r="P43" s="212"/>
      <c r="Q43" s="212"/>
      <c r="R43" s="212"/>
      <c r="S43" s="212"/>
      <c r="T43" s="211"/>
      <c r="U43" s="211"/>
      <c r="V43" s="211"/>
      <c r="W43" s="211"/>
      <c r="X43" s="211"/>
      <c r="Y43" s="240"/>
      <c r="Z43" s="240"/>
      <c r="AA43" s="211"/>
      <c r="AB43" s="237"/>
    </row>
    <row r="44" spans="1:28" ht="6" customHeight="1" x14ac:dyDescent="0.25">
      <c r="A44" s="28"/>
      <c r="B44" s="28"/>
      <c r="C44" s="28"/>
      <c r="D44" s="233"/>
      <c r="E44" s="233"/>
      <c r="F44" s="237"/>
      <c r="G44" s="149"/>
      <c r="H44" s="149"/>
      <c r="I44" s="236"/>
      <c r="J44" s="194"/>
      <c r="K44" s="194"/>
      <c r="L44" s="194"/>
      <c r="M44" s="194"/>
      <c r="N44" s="194"/>
      <c r="O44" s="194"/>
      <c r="P44" s="194"/>
      <c r="Q44" s="194"/>
      <c r="R44" s="194"/>
      <c r="S44" s="194"/>
      <c r="T44" s="198"/>
      <c r="U44" s="198"/>
      <c r="V44" s="198"/>
      <c r="W44" s="198"/>
      <c r="X44" s="198"/>
      <c r="Y44" s="236"/>
      <c r="Z44" s="236"/>
      <c r="AA44" s="198"/>
      <c r="AB44" s="237"/>
    </row>
    <row r="45" spans="1:28" x14ac:dyDescent="0.25">
      <c r="A45" s="28"/>
      <c r="B45" s="28"/>
      <c r="C45" s="28"/>
      <c r="D45" s="233"/>
      <c r="E45" s="189" t="s">
        <v>73</v>
      </c>
      <c r="F45" s="237"/>
      <c r="G45" s="149"/>
      <c r="H45" s="149"/>
      <c r="I45" s="238">
        <f t="shared" ref="I45" si="12">SUM(I39:I42)</f>
        <v>137110.73729738459</v>
      </c>
      <c r="J45" s="203"/>
      <c r="K45" s="203"/>
      <c r="L45" s="203"/>
      <c r="M45" s="203"/>
      <c r="N45" s="203"/>
      <c r="O45" s="203"/>
      <c r="P45" s="203"/>
      <c r="Q45" s="203"/>
      <c r="R45" s="203"/>
      <c r="S45" s="203"/>
      <c r="T45" s="247">
        <f>SUM(T39:T42)</f>
        <v>133091.2814098575</v>
      </c>
      <c r="U45" s="247">
        <f>SUM(U39:U42)</f>
        <v>4615.8336357630596</v>
      </c>
      <c r="V45" s="247"/>
      <c r="W45" s="247"/>
      <c r="X45" s="247">
        <f>SUM(X39:X42)</f>
        <v>4615.8336357630633</v>
      </c>
      <c r="Y45" s="238">
        <f t="shared" ref="Y45:AA45" si="13">SUM(Y39:Y42)</f>
        <v>28783.788869667962</v>
      </c>
      <c r="Z45" s="238">
        <f t="shared" si="13"/>
        <v>3291.4179393871646</v>
      </c>
      <c r="AA45" s="247">
        <f t="shared" si="13"/>
        <v>1324.4156963758983</v>
      </c>
      <c r="AB45" s="237"/>
    </row>
    <row r="46" spans="1:28" ht="6" customHeight="1" thickBot="1" x14ac:dyDescent="0.3">
      <c r="A46" s="172"/>
      <c r="B46" s="172"/>
      <c r="C46" s="172"/>
      <c r="D46" s="187"/>
      <c r="E46" s="187"/>
      <c r="F46" s="187"/>
      <c r="G46" s="144"/>
      <c r="H46" s="144"/>
      <c r="I46" s="209"/>
      <c r="J46" s="206"/>
      <c r="K46" s="206"/>
      <c r="L46" s="206"/>
      <c r="M46" s="206"/>
      <c r="N46" s="206"/>
      <c r="O46" s="206"/>
      <c r="P46" s="206"/>
      <c r="Q46" s="206"/>
      <c r="R46" s="206"/>
      <c r="S46" s="206"/>
      <c r="T46" s="209"/>
      <c r="U46" s="209"/>
      <c r="V46" s="209"/>
      <c r="W46" s="209"/>
      <c r="X46" s="209"/>
      <c r="Y46" s="209"/>
      <c r="Z46" s="209"/>
      <c r="AA46" s="193"/>
      <c r="AB46" s="237"/>
    </row>
    <row r="47" spans="1:28" ht="6" customHeight="1" thickTop="1" x14ac:dyDescent="0.25">
      <c r="A47" s="172"/>
      <c r="B47" s="172"/>
      <c r="C47" s="172"/>
      <c r="D47" s="233"/>
      <c r="E47" s="233"/>
      <c r="F47" s="233"/>
      <c r="G47" s="250"/>
      <c r="H47" s="250"/>
      <c r="I47" s="197"/>
      <c r="J47" s="202"/>
      <c r="K47" s="202"/>
      <c r="L47" s="202"/>
      <c r="M47" s="202"/>
      <c r="N47" s="202"/>
      <c r="O47" s="202"/>
      <c r="P47" s="202"/>
      <c r="Q47" s="202"/>
      <c r="R47" s="202"/>
      <c r="S47" s="202"/>
      <c r="T47" s="197"/>
      <c r="U47" s="232"/>
      <c r="V47" s="232"/>
      <c r="W47" s="232"/>
      <c r="X47" s="232"/>
      <c r="Y47" s="197"/>
      <c r="Z47" s="197"/>
      <c r="AA47" s="192"/>
      <c r="AB47" s="237"/>
    </row>
    <row r="48" spans="1:28" x14ac:dyDescent="0.25">
      <c r="A48" s="172"/>
      <c r="B48" s="172"/>
      <c r="C48" s="172"/>
      <c r="D48" s="233" t="s">
        <v>23</v>
      </c>
      <c r="E48" s="233"/>
      <c r="F48" s="233"/>
      <c r="G48" s="250"/>
      <c r="H48" s="250"/>
      <c r="I48" s="197"/>
      <c r="J48" s="202"/>
      <c r="K48" s="202"/>
      <c r="L48" s="202"/>
      <c r="M48" s="202"/>
      <c r="N48" s="202"/>
      <c r="O48" s="202"/>
      <c r="P48" s="202"/>
      <c r="Q48" s="202"/>
      <c r="R48" s="202"/>
      <c r="S48" s="202"/>
      <c r="T48" s="197"/>
      <c r="U48" s="197"/>
      <c r="V48" s="197"/>
      <c r="W48" s="197"/>
      <c r="X48" s="197"/>
      <c r="Y48" s="197"/>
      <c r="Z48" s="197"/>
      <c r="AA48" s="192"/>
      <c r="AB48" s="237"/>
    </row>
    <row r="49" spans="1:28" x14ac:dyDescent="0.25">
      <c r="A49" s="28"/>
      <c r="B49" s="28"/>
      <c r="C49" s="28"/>
      <c r="D49" s="249" t="str">
        <f>G8</f>
        <v>[1]</v>
      </c>
      <c r="E49" s="190" t="s">
        <v>114</v>
      </c>
      <c r="F49" s="233"/>
      <c r="G49" s="150"/>
      <c r="H49" s="250"/>
      <c r="I49" s="197"/>
      <c r="J49" s="202"/>
      <c r="K49" s="202"/>
      <c r="L49" s="202"/>
      <c r="M49" s="202"/>
      <c r="N49" s="202"/>
      <c r="O49" s="202"/>
      <c r="P49" s="202"/>
      <c r="Q49" s="202"/>
      <c r="R49" s="202"/>
      <c r="S49" s="202"/>
      <c r="T49" s="197"/>
      <c r="U49" s="197"/>
      <c r="V49" s="197"/>
      <c r="W49" s="197"/>
      <c r="X49" s="197"/>
      <c r="Y49" s="197"/>
      <c r="Z49" s="197"/>
      <c r="AA49" s="192"/>
      <c r="AB49" s="237"/>
    </row>
    <row r="50" spans="1:28" x14ac:dyDescent="0.25">
      <c r="A50" s="28"/>
      <c r="B50" s="28"/>
      <c r="C50" s="28"/>
      <c r="D50" s="249" t="str">
        <f>H8</f>
        <v>[2]</v>
      </c>
      <c r="E50" s="190" t="s">
        <v>63</v>
      </c>
      <c r="F50" s="233"/>
      <c r="G50" s="250"/>
      <c r="H50" s="250"/>
      <c r="I50" s="197"/>
      <c r="J50" s="202"/>
      <c r="K50" s="202"/>
      <c r="L50" s="202"/>
      <c r="M50" s="202"/>
      <c r="N50" s="202"/>
      <c r="O50" s="202"/>
      <c r="P50" s="202"/>
      <c r="Q50" s="202"/>
      <c r="R50" s="202"/>
      <c r="S50" s="202"/>
      <c r="T50" s="197"/>
      <c r="U50" s="232"/>
      <c r="V50" s="232"/>
      <c r="W50" s="232"/>
      <c r="X50" s="232"/>
      <c r="Y50" s="197"/>
      <c r="Z50" s="197"/>
      <c r="AA50" s="192"/>
      <c r="AB50" s="237"/>
    </row>
    <row r="51" spans="1:28" x14ac:dyDescent="0.25">
      <c r="A51" s="28"/>
      <c r="B51" s="28"/>
      <c r="C51" s="28"/>
      <c r="D51" s="249" t="str">
        <f>I8</f>
        <v>[3]</v>
      </c>
      <c r="E51" s="190" t="s">
        <v>153</v>
      </c>
      <c r="F51" s="233"/>
      <c r="G51" s="250"/>
      <c r="H51" s="250"/>
      <c r="I51" s="197"/>
      <c r="J51" s="202"/>
      <c r="K51" s="202"/>
      <c r="L51" s="202"/>
      <c r="M51" s="202"/>
      <c r="N51" s="202"/>
      <c r="O51" s="202"/>
      <c r="P51" s="202"/>
      <c r="Q51" s="202"/>
      <c r="R51" s="202"/>
      <c r="S51" s="202"/>
      <c r="T51" s="197"/>
      <c r="U51" s="232"/>
      <c r="V51" s="232"/>
      <c r="W51" s="232"/>
      <c r="X51" s="232"/>
      <c r="Y51" s="197"/>
      <c r="Z51" s="197"/>
      <c r="AA51" s="192"/>
      <c r="AB51" s="237"/>
    </row>
    <row r="52" spans="1:28" s="33" customFormat="1" x14ac:dyDescent="0.25">
      <c r="A52" s="28"/>
      <c r="B52" s="28"/>
      <c r="C52" s="28"/>
      <c r="D52" s="249" t="str">
        <f>S8</f>
        <v>[4]</v>
      </c>
      <c r="E52" s="190" t="s">
        <v>150</v>
      </c>
      <c r="F52" s="190"/>
      <c r="G52" s="250"/>
      <c r="H52" s="250"/>
      <c r="I52" s="197"/>
      <c r="J52" s="213"/>
      <c r="K52" s="213"/>
      <c r="L52" s="213"/>
      <c r="M52" s="213"/>
      <c r="N52" s="213"/>
      <c r="O52" s="213"/>
      <c r="P52" s="213"/>
      <c r="Q52" s="213"/>
      <c r="R52" s="213"/>
      <c r="S52" s="213"/>
      <c r="T52" s="197"/>
      <c r="U52" s="197"/>
      <c r="V52" s="197"/>
      <c r="W52" s="197"/>
      <c r="X52" s="197"/>
      <c r="Y52" s="197"/>
      <c r="Z52" s="197"/>
      <c r="AA52" s="197"/>
      <c r="AB52" s="237"/>
    </row>
    <row r="53" spans="1:28" s="33" customFormat="1" x14ac:dyDescent="0.25">
      <c r="A53" s="28"/>
      <c r="B53" s="28"/>
      <c r="C53" s="28"/>
      <c r="D53" s="249" t="str">
        <f>T8</f>
        <v>[5]</v>
      </c>
      <c r="E53" s="190" t="str">
        <f>CONCATENATE(S8," * ",I8)</f>
        <v>[4] * [3]</v>
      </c>
      <c r="F53" s="190"/>
      <c r="G53" s="250"/>
      <c r="H53" s="250"/>
      <c r="I53" s="197"/>
      <c r="J53" s="213"/>
      <c r="K53" s="213"/>
      <c r="L53" s="213"/>
      <c r="M53" s="213"/>
      <c r="N53" s="213"/>
      <c r="O53" s="213"/>
      <c r="P53" s="213"/>
      <c r="Q53" s="213"/>
      <c r="R53" s="213"/>
      <c r="S53" s="213"/>
      <c r="T53" s="197"/>
      <c r="U53" s="197"/>
      <c r="V53" s="197"/>
      <c r="W53" s="197"/>
      <c r="X53" s="197"/>
      <c r="Y53" s="197"/>
      <c r="Z53" s="197"/>
      <c r="AA53" s="197"/>
      <c r="AB53" s="237"/>
    </row>
    <row r="54" spans="1:28" s="33" customFormat="1" x14ac:dyDescent="0.25">
      <c r="A54" s="28"/>
      <c r="B54" s="28"/>
      <c r="C54" s="28"/>
      <c r="D54" s="249" t="str">
        <f>U8</f>
        <v>[6]</v>
      </c>
      <c r="E54" s="190" t="str">
        <f>"MAX( "&amp;H8&amp;" x "&amp;I8&amp;" x (1- "&amp;S8&amp;")"&amp;", 0 )"</f>
        <v>MAX( [2] x [3] x (1- [4]), 0 )</v>
      </c>
      <c r="F54" s="190"/>
      <c r="G54" s="250"/>
      <c r="H54" s="250"/>
      <c r="I54" s="197"/>
      <c r="J54" s="213"/>
      <c r="K54" s="213"/>
      <c r="L54" s="213"/>
      <c r="M54" s="213"/>
      <c r="N54" s="213"/>
      <c r="O54" s="213"/>
      <c r="P54" s="213"/>
      <c r="Q54" s="213"/>
      <c r="R54" s="213"/>
      <c r="S54" s="213"/>
      <c r="T54" s="197"/>
      <c r="U54" s="197"/>
      <c r="V54" s="197"/>
      <c r="W54" s="197"/>
      <c r="X54" s="197"/>
      <c r="Y54" s="197"/>
      <c r="Z54" s="197"/>
      <c r="AA54" s="197"/>
      <c r="AB54" s="237"/>
    </row>
    <row r="55" spans="1:28" x14ac:dyDescent="0.25">
      <c r="A55" s="28"/>
      <c r="B55" s="28"/>
      <c r="C55" s="28"/>
      <c r="D55" s="249" t="str">
        <f>V8</f>
        <v>[7]</v>
      </c>
      <c r="E55" s="190" t="str">
        <f>"("&amp;H8&amp;" - "&amp;G8&amp;") x "&amp;I8</f>
        <v>([2] - [1]) x [3]</v>
      </c>
      <c r="F55" s="233"/>
      <c r="G55" s="250"/>
      <c r="H55" s="250"/>
      <c r="I55" s="197"/>
      <c r="J55" s="202"/>
      <c r="K55" s="202"/>
      <c r="L55" s="202"/>
      <c r="M55" s="202"/>
      <c r="N55" s="202"/>
      <c r="O55" s="202"/>
      <c r="P55" s="202"/>
      <c r="Q55" s="202"/>
      <c r="R55" s="202"/>
      <c r="S55" s="202"/>
      <c r="T55" s="197"/>
      <c r="U55" s="197"/>
      <c r="V55" s="197"/>
      <c r="W55" s="197"/>
      <c r="X55" s="197"/>
      <c r="Y55" s="197"/>
      <c r="Z55" s="197"/>
      <c r="AA55" s="192"/>
      <c r="AB55" s="237"/>
    </row>
    <row r="56" spans="1:28" x14ac:dyDescent="0.25">
      <c r="A56" s="28"/>
      <c r="B56" s="28"/>
      <c r="C56" s="28"/>
      <c r="D56" s="249" t="str">
        <f>W8</f>
        <v>[8]</v>
      </c>
      <c r="E56" s="190" t="str">
        <f>CONCATENATE("MIN(", U8,",",V8,")")</f>
        <v>MIN([6],[7])</v>
      </c>
      <c r="F56" s="233"/>
      <c r="G56" s="250"/>
      <c r="H56" s="190"/>
      <c r="I56" s="197"/>
      <c r="J56" s="202"/>
      <c r="K56" s="202"/>
      <c r="L56" s="202"/>
      <c r="M56" s="202"/>
      <c r="N56" s="202"/>
      <c r="O56" s="202"/>
      <c r="P56" s="202"/>
      <c r="Q56" s="202"/>
      <c r="R56" s="202"/>
      <c r="S56" s="202"/>
      <c r="T56" s="197"/>
      <c r="U56" s="197"/>
      <c r="V56" s="197"/>
      <c r="W56" s="197"/>
      <c r="X56" s="197"/>
      <c r="Y56" s="197"/>
      <c r="Z56" s="197"/>
      <c r="AA56" s="192"/>
      <c r="AB56" s="237"/>
    </row>
    <row r="57" spans="1:28" x14ac:dyDescent="0.25">
      <c r="A57" s="28"/>
      <c r="B57" s="28"/>
      <c r="C57" s="28"/>
      <c r="D57" s="249" t="str">
        <f>X8</f>
        <v>[9]</v>
      </c>
      <c r="E57" s="233" t="str">
        <f>H8&amp;" x (1- "&amp;S8&amp;") x "&amp;I8&amp;" - "&amp;W8</f>
        <v>[2] x (1- [4]) x [3] - [8]</v>
      </c>
      <c r="F57" s="233"/>
      <c r="G57" s="250"/>
      <c r="H57" s="250"/>
      <c r="I57" s="197"/>
      <c r="J57" s="202"/>
      <c r="K57" s="202"/>
      <c r="L57" s="202"/>
      <c r="M57" s="202"/>
      <c r="N57" s="202"/>
      <c r="O57" s="202"/>
      <c r="P57" s="202"/>
      <c r="Q57" s="202"/>
      <c r="R57" s="202"/>
      <c r="S57" s="202"/>
      <c r="T57" s="197"/>
      <c r="U57" s="197"/>
      <c r="V57" s="197"/>
      <c r="W57" s="197"/>
      <c r="X57" s="197"/>
      <c r="Y57" s="197"/>
      <c r="Z57" s="197"/>
      <c r="AA57" s="192"/>
      <c r="AB57" s="237"/>
    </row>
    <row r="58" spans="1:28" s="35" customFormat="1" x14ac:dyDescent="0.25">
      <c r="A58" s="28"/>
      <c r="B58" s="28"/>
      <c r="C58" s="28"/>
      <c r="D58" s="251" t="str">
        <f>Y8</f>
        <v>[10]</v>
      </c>
      <c r="E58" s="190" t="s">
        <v>155</v>
      </c>
      <c r="F58" s="190"/>
      <c r="G58" s="250"/>
      <c r="H58" s="250"/>
      <c r="I58" s="197"/>
      <c r="J58" s="213"/>
      <c r="K58" s="213"/>
      <c r="L58" s="213"/>
      <c r="M58" s="213"/>
      <c r="N58" s="213"/>
      <c r="O58" s="213"/>
      <c r="P58" s="213"/>
      <c r="Q58" s="213"/>
      <c r="R58" s="213"/>
      <c r="S58" s="213"/>
      <c r="T58" s="197"/>
      <c r="U58" s="197"/>
      <c r="V58" s="197"/>
      <c r="W58" s="197"/>
      <c r="X58" s="197"/>
      <c r="Y58" s="197"/>
      <c r="Z58" s="197"/>
      <c r="AA58" s="192"/>
      <c r="AB58" s="237"/>
    </row>
    <row r="59" spans="1:28" s="35" customFormat="1" x14ac:dyDescent="0.25">
      <c r="A59" s="28"/>
      <c r="B59" s="28"/>
      <c r="C59" s="28"/>
      <c r="D59" s="252" t="str">
        <f>Z8</f>
        <v>[11]</v>
      </c>
      <c r="E59" s="190" t="str">
        <f>CONCATENATE("MAX(MIN(",Y8," - ", W8,",",X8,"), 0)")</f>
        <v>MAX(MIN([10] - [8],[9]), 0)</v>
      </c>
      <c r="F59" s="190"/>
      <c r="G59" s="250"/>
      <c r="H59" s="250"/>
      <c r="I59" s="197"/>
      <c r="J59" s="213"/>
      <c r="K59" s="213"/>
      <c r="L59" s="213"/>
      <c r="M59" s="213"/>
      <c r="N59" s="213"/>
      <c r="O59" s="213"/>
      <c r="P59" s="213"/>
      <c r="Q59" s="213"/>
      <c r="R59" s="213"/>
      <c r="S59" s="213"/>
      <c r="T59" s="197"/>
      <c r="U59" s="197"/>
      <c r="V59" s="197"/>
      <c r="W59" s="197"/>
      <c r="X59" s="197"/>
      <c r="Y59" s="197"/>
      <c r="Z59" s="197"/>
      <c r="AA59" s="192"/>
      <c r="AB59" s="237"/>
    </row>
    <row r="60" spans="1:28" s="35" customFormat="1" x14ac:dyDescent="0.25">
      <c r="A60" s="28"/>
      <c r="B60" s="28"/>
      <c r="C60" s="28"/>
      <c r="D60" s="252" t="str">
        <f>AA8</f>
        <v>[12]</v>
      </c>
      <c r="E60" s="190" t="str">
        <f>X8&amp;" - "&amp;Z8</f>
        <v>[9] - [11]</v>
      </c>
      <c r="F60" s="190"/>
      <c r="G60" s="250"/>
      <c r="H60" s="250"/>
      <c r="I60" s="197"/>
      <c r="J60" s="213"/>
      <c r="K60" s="213"/>
      <c r="L60" s="213"/>
      <c r="M60" s="213"/>
      <c r="N60" s="213"/>
      <c r="O60" s="213"/>
      <c r="P60" s="213"/>
      <c r="Q60" s="213"/>
      <c r="R60" s="213"/>
      <c r="S60" s="213"/>
      <c r="T60" s="197"/>
      <c r="U60" s="197"/>
      <c r="V60" s="197"/>
      <c r="W60" s="197"/>
      <c r="X60" s="197"/>
      <c r="Y60" s="197"/>
      <c r="Z60" s="197"/>
      <c r="AA60" s="192"/>
      <c r="AB60" s="237"/>
    </row>
    <row r="61" spans="1:28" s="35" customFormat="1" x14ac:dyDescent="0.25">
      <c r="A61" s="28"/>
      <c r="B61" s="28"/>
      <c r="C61" s="28"/>
      <c r="D61" s="190"/>
      <c r="E61" s="190"/>
      <c r="F61" s="190"/>
      <c r="G61" s="250"/>
      <c r="H61" s="250"/>
      <c r="I61" s="197"/>
      <c r="J61" s="213"/>
      <c r="K61" s="213"/>
      <c r="L61" s="213"/>
      <c r="M61" s="213"/>
      <c r="N61" s="213"/>
      <c r="O61" s="213"/>
      <c r="P61" s="213"/>
      <c r="Q61" s="213"/>
      <c r="R61" s="213"/>
      <c r="S61" s="213"/>
      <c r="T61" s="197"/>
      <c r="U61" s="197"/>
      <c r="V61" s="197"/>
      <c r="W61" s="197"/>
      <c r="X61" s="197"/>
      <c r="Y61" s="197"/>
      <c r="Z61" s="197"/>
      <c r="AA61" s="192"/>
      <c r="AB61" s="237"/>
    </row>
    <row r="62" spans="1:28" x14ac:dyDescent="0.25">
      <c r="A62" s="28"/>
      <c r="B62" s="28"/>
      <c r="C62" s="28"/>
      <c r="D62" s="190"/>
      <c r="E62" s="190"/>
      <c r="F62" s="190"/>
      <c r="G62" s="250"/>
      <c r="H62" s="250"/>
      <c r="I62" s="197"/>
      <c r="J62" s="213"/>
      <c r="K62" s="213"/>
      <c r="L62" s="213"/>
      <c r="M62" s="213"/>
      <c r="N62" s="213"/>
      <c r="O62" s="213"/>
      <c r="P62" s="213"/>
      <c r="Q62" s="213"/>
      <c r="R62" s="213"/>
      <c r="S62" s="213"/>
      <c r="T62" s="197"/>
      <c r="U62" s="197"/>
      <c r="V62" s="197"/>
      <c r="W62" s="197"/>
      <c r="X62" s="197"/>
      <c r="Y62" s="197"/>
      <c r="Z62" s="197"/>
      <c r="AA62" s="192"/>
      <c r="AB62" s="237"/>
    </row>
    <row r="63" spans="1:28" x14ac:dyDescent="0.25">
      <c r="A63" s="28"/>
      <c r="B63" s="28"/>
      <c r="C63" s="28"/>
      <c r="D63" s="190"/>
      <c r="E63" s="190"/>
      <c r="F63" s="190"/>
      <c r="G63" s="250"/>
      <c r="H63" s="250"/>
      <c r="I63" s="197"/>
      <c r="J63" s="213"/>
      <c r="K63" s="213"/>
      <c r="L63" s="213"/>
      <c r="M63" s="213"/>
      <c r="N63" s="213"/>
      <c r="O63" s="213"/>
      <c r="P63" s="213"/>
      <c r="Q63" s="213"/>
      <c r="R63" s="213"/>
      <c r="S63" s="213"/>
      <c r="T63" s="197"/>
      <c r="U63" s="197"/>
      <c r="V63" s="197"/>
      <c r="W63" s="197"/>
      <c r="X63" s="197"/>
      <c r="Y63" s="197"/>
      <c r="Z63" s="197"/>
      <c r="AA63" s="192"/>
      <c r="AB63" s="237"/>
    </row>
    <row r="64" spans="1:28" x14ac:dyDescent="0.25">
      <c r="A64" s="28"/>
      <c r="B64" s="28"/>
      <c r="C64" s="28"/>
      <c r="D64" s="190"/>
      <c r="E64" s="190"/>
      <c r="F64" s="190"/>
      <c r="G64" s="250"/>
      <c r="H64" s="250"/>
      <c r="I64" s="197"/>
      <c r="J64" s="213"/>
      <c r="K64" s="213"/>
      <c r="L64" s="213"/>
      <c r="M64" s="213"/>
      <c r="N64" s="213"/>
      <c r="O64" s="213"/>
      <c r="P64" s="213"/>
      <c r="Q64" s="213"/>
      <c r="R64" s="213"/>
      <c r="S64" s="213"/>
      <c r="T64" s="197"/>
      <c r="U64" s="197"/>
      <c r="V64" s="197"/>
      <c r="W64" s="197"/>
      <c r="X64" s="197"/>
      <c r="Y64" s="197"/>
      <c r="Z64" s="197"/>
      <c r="AA64" s="192"/>
      <c r="AB64" s="237"/>
    </row>
    <row r="65" spans="1:28" x14ac:dyDescent="0.25">
      <c r="A65" s="28"/>
      <c r="B65" s="28"/>
      <c r="C65" s="28"/>
      <c r="D65" s="190"/>
      <c r="E65" s="190"/>
      <c r="F65" s="190"/>
      <c r="G65" s="250"/>
      <c r="H65" s="250"/>
      <c r="I65" s="197"/>
      <c r="J65" s="213"/>
      <c r="K65" s="213"/>
      <c r="L65" s="213"/>
      <c r="M65" s="213"/>
      <c r="N65" s="213"/>
      <c r="O65" s="213"/>
      <c r="P65" s="213"/>
      <c r="Q65" s="213"/>
      <c r="R65" s="213"/>
      <c r="S65" s="213"/>
      <c r="T65" s="197"/>
      <c r="U65" s="197"/>
      <c r="V65" s="197"/>
      <c r="W65" s="197"/>
      <c r="X65" s="197"/>
      <c r="Y65" s="197"/>
      <c r="Z65" s="197"/>
      <c r="AA65" s="192"/>
      <c r="AB65" s="237"/>
    </row>
    <row r="66" spans="1:28" x14ac:dyDescent="0.25">
      <c r="A66" s="28"/>
      <c r="B66" s="28"/>
      <c r="C66" s="28"/>
      <c r="D66" s="20"/>
      <c r="E66" s="20"/>
      <c r="F66" s="20"/>
      <c r="G66" s="145"/>
      <c r="H66" s="145"/>
      <c r="I66" s="42"/>
      <c r="J66" s="59"/>
      <c r="K66" s="59"/>
      <c r="L66" s="59"/>
      <c r="M66" s="59"/>
      <c r="N66" s="59"/>
      <c r="O66" s="59"/>
      <c r="P66" s="59"/>
      <c r="Q66" s="59"/>
      <c r="R66" s="59"/>
      <c r="S66" s="59"/>
      <c r="T66" s="42"/>
      <c r="U66" s="42"/>
      <c r="V66" s="42"/>
      <c r="W66" s="42"/>
      <c r="X66" s="42"/>
      <c r="Y66" s="42"/>
      <c r="Z66" s="42"/>
      <c r="AA66" s="36"/>
      <c r="AB66" s="77"/>
    </row>
    <row r="67" spans="1:28" x14ac:dyDescent="0.25">
      <c r="A67" s="28"/>
      <c r="B67" s="28"/>
      <c r="C67" s="28"/>
      <c r="D67" s="20"/>
      <c r="E67" s="20"/>
      <c r="F67" s="20"/>
      <c r="G67" s="145"/>
      <c r="H67" s="145"/>
      <c r="I67" s="42"/>
      <c r="J67" s="59"/>
      <c r="K67" s="59"/>
      <c r="L67" s="59"/>
      <c r="M67" s="59"/>
      <c r="N67" s="59"/>
      <c r="O67" s="59"/>
      <c r="P67" s="59"/>
      <c r="Q67" s="59"/>
      <c r="R67" s="59"/>
      <c r="S67" s="59"/>
      <c r="T67" s="42"/>
      <c r="U67" s="42"/>
      <c r="V67" s="42"/>
      <c r="W67" s="42"/>
      <c r="X67" s="42"/>
      <c r="Y67" s="42"/>
      <c r="Z67" s="42"/>
      <c r="AA67" s="36"/>
      <c r="AB67" s="77"/>
    </row>
    <row r="68" spans="1:28" x14ac:dyDescent="0.25">
      <c r="A68" s="28"/>
      <c r="B68" s="28"/>
      <c r="C68" s="28"/>
      <c r="D68" s="20"/>
      <c r="E68" s="20"/>
      <c r="F68" s="20"/>
      <c r="G68" s="145"/>
      <c r="H68" s="145"/>
      <c r="I68" s="42"/>
      <c r="J68" s="59"/>
      <c r="K68" s="59"/>
      <c r="L68" s="59"/>
      <c r="M68" s="59"/>
      <c r="N68" s="59"/>
      <c r="O68" s="59"/>
      <c r="P68" s="59"/>
      <c r="Q68" s="59"/>
      <c r="R68" s="59"/>
      <c r="S68" s="59"/>
      <c r="T68" s="42"/>
      <c r="U68" s="42"/>
      <c r="V68" s="42"/>
      <c r="W68" s="42"/>
      <c r="X68" s="42"/>
      <c r="Y68" s="42"/>
      <c r="Z68" s="42"/>
      <c r="AA68" s="36"/>
      <c r="AB68" s="77"/>
    </row>
    <row r="69" spans="1:28" x14ac:dyDescent="0.25">
      <c r="A69" s="28"/>
      <c r="B69" s="28"/>
      <c r="C69" s="28"/>
      <c r="D69" s="20"/>
      <c r="E69" s="20"/>
      <c r="F69" s="20"/>
      <c r="G69" s="145"/>
      <c r="H69" s="145"/>
      <c r="I69" s="42"/>
      <c r="J69" s="59"/>
      <c r="K69" s="59"/>
      <c r="L69" s="59"/>
      <c r="M69" s="59"/>
      <c r="N69" s="59"/>
      <c r="O69" s="59"/>
      <c r="P69" s="59"/>
      <c r="Q69" s="59"/>
      <c r="R69" s="59"/>
      <c r="S69" s="59"/>
      <c r="T69" s="42"/>
      <c r="U69" s="42"/>
      <c r="V69" s="42"/>
      <c r="W69" s="42"/>
      <c r="X69" s="42"/>
      <c r="Y69" s="42"/>
      <c r="Z69" s="42"/>
      <c r="AA69" s="36"/>
      <c r="AB69" s="77"/>
    </row>
    <row r="70" spans="1:28" x14ac:dyDescent="0.25">
      <c r="A70" s="28"/>
      <c r="B70" s="28"/>
      <c r="C70" s="28"/>
      <c r="D70" s="20"/>
      <c r="E70" s="20"/>
      <c r="F70" s="20"/>
      <c r="G70" s="145"/>
      <c r="H70" s="145"/>
      <c r="I70" s="42"/>
      <c r="J70" s="59"/>
      <c r="K70" s="59"/>
      <c r="L70" s="59"/>
      <c r="M70" s="59"/>
      <c r="N70" s="59"/>
      <c r="O70" s="59"/>
      <c r="P70" s="59"/>
      <c r="Q70" s="59"/>
      <c r="R70" s="59"/>
      <c r="S70" s="59"/>
      <c r="T70" s="42"/>
      <c r="U70" s="42"/>
      <c r="V70" s="42"/>
      <c r="W70" s="42"/>
      <c r="X70" s="42"/>
      <c r="Y70" s="42"/>
      <c r="Z70" s="42"/>
      <c r="AA70" s="36"/>
      <c r="AB70" s="77"/>
    </row>
    <row r="71" spans="1:28" x14ac:dyDescent="0.25">
      <c r="A71" s="28"/>
      <c r="B71" s="28"/>
      <c r="C71" s="28"/>
      <c r="D71" s="20"/>
      <c r="E71" s="20"/>
      <c r="F71" s="20"/>
      <c r="G71" s="145"/>
      <c r="H71" s="145"/>
      <c r="I71" s="42"/>
      <c r="J71" s="59"/>
      <c r="K71" s="59"/>
      <c r="L71" s="59"/>
      <c r="M71" s="59"/>
      <c r="N71" s="59"/>
      <c r="O71" s="59"/>
      <c r="P71" s="59"/>
      <c r="Q71" s="59"/>
      <c r="R71" s="59"/>
      <c r="S71" s="59"/>
      <c r="T71" s="42"/>
      <c r="U71" s="42"/>
      <c r="V71" s="42"/>
      <c r="W71" s="42"/>
      <c r="X71" s="42"/>
      <c r="Y71" s="42"/>
      <c r="Z71" s="42"/>
      <c r="AA71" s="36"/>
      <c r="AB71" s="77"/>
    </row>
    <row r="72" spans="1:28" x14ac:dyDescent="0.25">
      <c r="A72" s="28"/>
      <c r="B72" s="28"/>
      <c r="C72" s="28"/>
      <c r="D72" s="73"/>
      <c r="E72" s="73"/>
      <c r="F72" s="20"/>
      <c r="G72" s="145"/>
      <c r="H72" s="145"/>
      <c r="I72" s="42"/>
      <c r="J72" s="59"/>
      <c r="K72" s="59"/>
      <c r="L72" s="59"/>
      <c r="M72" s="59"/>
      <c r="N72" s="59"/>
      <c r="O72" s="59"/>
      <c r="P72" s="59"/>
      <c r="Q72" s="59"/>
      <c r="R72" s="59"/>
      <c r="S72" s="59"/>
      <c r="T72" s="42"/>
      <c r="U72" s="42"/>
      <c r="V72" s="42"/>
      <c r="W72" s="42"/>
      <c r="X72" s="42"/>
      <c r="Y72" s="42"/>
      <c r="Z72" s="42"/>
      <c r="AA72" s="36"/>
      <c r="AB72" s="77"/>
    </row>
    <row r="73" spans="1:28" x14ac:dyDescent="0.25">
      <c r="A73" s="28"/>
      <c r="B73" s="28"/>
      <c r="C73" s="28"/>
      <c r="D73" s="73"/>
      <c r="E73" s="73"/>
      <c r="F73" s="20"/>
      <c r="G73" s="145"/>
      <c r="H73" s="145"/>
      <c r="I73" s="42"/>
      <c r="J73" s="59"/>
      <c r="K73" s="59"/>
      <c r="L73" s="59"/>
      <c r="M73" s="59"/>
      <c r="N73" s="59"/>
      <c r="O73" s="59"/>
      <c r="P73" s="59"/>
      <c r="Q73" s="59"/>
      <c r="R73" s="59"/>
      <c r="S73" s="59"/>
      <c r="T73" s="42"/>
      <c r="U73" s="42"/>
      <c r="V73" s="42"/>
      <c r="W73" s="42"/>
      <c r="X73" s="42"/>
      <c r="Y73" s="42"/>
      <c r="Z73" s="42"/>
      <c r="AA73" s="36"/>
      <c r="AB73" s="77"/>
    </row>
    <row r="74" spans="1:28" x14ac:dyDescent="0.25">
      <c r="A74" s="28"/>
      <c r="B74" s="28"/>
      <c r="C74" s="28"/>
      <c r="D74" s="73"/>
      <c r="E74" s="73"/>
      <c r="F74" s="20"/>
      <c r="G74" s="145"/>
      <c r="H74" s="145"/>
      <c r="I74" s="42"/>
      <c r="J74" s="59"/>
      <c r="K74" s="59"/>
      <c r="L74" s="59"/>
      <c r="M74" s="59"/>
      <c r="N74" s="59"/>
      <c r="O74" s="59"/>
      <c r="P74" s="59"/>
      <c r="Q74" s="59"/>
      <c r="R74" s="59"/>
      <c r="S74" s="59"/>
      <c r="T74" s="42"/>
      <c r="U74" s="42"/>
      <c r="V74" s="42"/>
      <c r="W74" s="42"/>
      <c r="X74" s="42"/>
      <c r="Y74" s="42"/>
      <c r="Z74" s="42"/>
      <c r="AA74" s="36"/>
      <c r="AB74" s="77"/>
    </row>
    <row r="75" spans="1:28" x14ac:dyDescent="0.25">
      <c r="A75" s="28"/>
      <c r="B75" s="28"/>
      <c r="C75" s="28"/>
      <c r="D75" s="73"/>
      <c r="E75" s="73"/>
      <c r="F75" s="20"/>
      <c r="G75" s="145"/>
      <c r="H75" s="145"/>
      <c r="I75" s="42"/>
      <c r="J75" s="59"/>
      <c r="K75" s="59"/>
      <c r="L75" s="59"/>
      <c r="M75" s="59"/>
      <c r="N75" s="59"/>
      <c r="O75" s="59"/>
      <c r="P75" s="59"/>
      <c r="Q75" s="59"/>
      <c r="R75" s="59"/>
      <c r="S75" s="59"/>
      <c r="T75" s="42"/>
      <c r="U75" s="42"/>
      <c r="V75" s="42"/>
      <c r="W75" s="42"/>
      <c r="X75" s="42"/>
      <c r="Y75" s="42"/>
      <c r="Z75" s="42"/>
      <c r="AA75" s="36"/>
      <c r="AB75" s="77"/>
    </row>
    <row r="76" spans="1:28" x14ac:dyDescent="0.25">
      <c r="A76" s="28"/>
      <c r="B76" s="28"/>
      <c r="C76" s="28"/>
      <c r="D76" s="73"/>
      <c r="E76" s="73"/>
      <c r="F76" s="20"/>
      <c r="G76" s="145"/>
      <c r="H76" s="145"/>
      <c r="I76" s="42"/>
      <c r="J76" s="59"/>
      <c r="K76" s="59"/>
      <c r="L76" s="59"/>
      <c r="M76" s="59"/>
      <c r="N76" s="59"/>
      <c r="O76" s="59"/>
      <c r="P76" s="59"/>
      <c r="Q76" s="59"/>
      <c r="R76" s="59"/>
      <c r="S76" s="59"/>
      <c r="T76" s="42"/>
      <c r="U76" s="42"/>
      <c r="V76" s="42"/>
      <c r="W76" s="42"/>
      <c r="X76" s="42"/>
      <c r="Y76" s="42"/>
      <c r="Z76" s="42"/>
      <c r="AA76" s="36"/>
      <c r="AB76" s="77"/>
    </row>
    <row r="77" spans="1:28" x14ac:dyDescent="0.25">
      <c r="A77" s="28"/>
      <c r="B77" s="28"/>
      <c r="C77" s="28"/>
      <c r="D77" s="73"/>
      <c r="E77" s="73"/>
      <c r="F77" s="20"/>
      <c r="G77" s="145"/>
      <c r="H77" s="145"/>
      <c r="I77" s="42"/>
      <c r="J77" s="59"/>
      <c r="K77" s="59"/>
      <c r="L77" s="59"/>
      <c r="M77" s="59"/>
      <c r="N77" s="59"/>
      <c r="O77" s="59"/>
      <c r="P77" s="59"/>
      <c r="Q77" s="59"/>
      <c r="R77" s="59"/>
      <c r="S77" s="59"/>
      <c r="T77" s="42"/>
      <c r="U77" s="42"/>
      <c r="V77" s="42"/>
      <c r="W77" s="42"/>
      <c r="X77" s="42"/>
      <c r="Y77" s="42"/>
      <c r="Z77" s="42"/>
      <c r="AA77" s="36"/>
      <c r="AB77" s="77"/>
    </row>
    <row r="78" spans="1:28" x14ac:dyDescent="0.25">
      <c r="A78" s="28"/>
      <c r="B78" s="28"/>
      <c r="C78" s="28"/>
      <c r="D78" s="73"/>
      <c r="E78" s="73"/>
      <c r="F78" s="20"/>
      <c r="G78" s="145"/>
      <c r="H78" s="145"/>
      <c r="I78" s="42"/>
      <c r="J78" s="59"/>
      <c r="K78" s="59"/>
      <c r="L78" s="59"/>
      <c r="M78" s="59"/>
      <c r="N78" s="59"/>
      <c r="O78" s="59"/>
      <c r="P78" s="59"/>
      <c r="Q78" s="59"/>
      <c r="R78" s="59"/>
      <c r="S78" s="59"/>
      <c r="T78" s="42"/>
      <c r="U78" s="42"/>
      <c r="V78" s="42"/>
      <c r="W78" s="42"/>
      <c r="X78" s="42"/>
      <c r="Y78" s="42"/>
      <c r="Z78" s="42"/>
      <c r="AA78" s="36"/>
      <c r="AB78" s="77"/>
    </row>
    <row r="79" spans="1:28" x14ac:dyDescent="0.25">
      <c r="A79" s="28"/>
      <c r="B79" s="28"/>
      <c r="C79" s="28"/>
      <c r="D79" s="73"/>
      <c r="E79" s="73"/>
      <c r="F79" s="20"/>
      <c r="G79" s="145"/>
      <c r="H79" s="145"/>
      <c r="I79" s="42"/>
      <c r="J79" s="59"/>
      <c r="K79" s="59"/>
      <c r="L79" s="59"/>
      <c r="M79" s="59"/>
      <c r="N79" s="59"/>
      <c r="O79" s="59"/>
      <c r="P79" s="59"/>
      <c r="Q79" s="59"/>
      <c r="R79" s="59"/>
      <c r="S79" s="59"/>
      <c r="T79" s="42"/>
      <c r="U79" s="42"/>
      <c r="V79" s="42"/>
      <c r="W79" s="42"/>
      <c r="X79" s="42"/>
      <c r="Y79" s="42"/>
      <c r="Z79" s="42"/>
      <c r="AA79" s="36"/>
      <c r="AB79" s="77"/>
    </row>
    <row r="80" spans="1:28" x14ac:dyDescent="0.25">
      <c r="F80" s="33"/>
      <c r="J80" s="54"/>
      <c r="K80" s="54"/>
      <c r="L80" s="54"/>
      <c r="M80" s="54"/>
      <c r="N80" s="54"/>
      <c r="O80" s="54"/>
      <c r="P80" s="54"/>
      <c r="Q80" s="54"/>
      <c r="R80" s="54"/>
      <c r="S80" s="54"/>
    </row>
    <row r="81" spans="6:19" x14ac:dyDescent="0.25">
      <c r="F81" s="33"/>
      <c r="J81" s="54"/>
      <c r="K81" s="54"/>
      <c r="L81" s="54"/>
      <c r="M81" s="54"/>
      <c r="N81" s="54"/>
      <c r="O81" s="54"/>
      <c r="P81" s="54"/>
      <c r="Q81" s="54"/>
      <c r="R81" s="54"/>
      <c r="S81" s="54"/>
    </row>
  </sheetData>
  <conditionalFormatting sqref="X11:AA33 D4:AA10 D34:AA35 D46:AA47 E11:V33 E36:AA45">
    <cfRule type="cellIs" dxfId="9" priority="10" operator="lessThan">
      <formula>0</formula>
    </cfRule>
  </conditionalFormatting>
  <conditionalFormatting sqref="W34:W36">
    <cfRule type="expression" dxfId="8" priority="7">
      <formula>NOT(W34&lt;=Y34)</formula>
    </cfRule>
  </conditionalFormatting>
  <printOptions horizontalCentered="1" verticalCentered="1"/>
  <pageMargins left="0.7" right="0.7" top="0.75" bottom="0.75" header="0.3" footer="0.3"/>
  <pageSetup scale="55" orientation="landscape" horizontalDpi="1200" verticalDpi="1200" r:id="rId1"/>
  <headerFooter scaleWithDoc="0">
    <oddFooter>&amp;R&amp;F&amp;A&amp;P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81"/>
  <sheetViews>
    <sheetView topLeftCell="D2" zoomScale="70" zoomScaleNormal="70" workbookViewId="0">
      <selection activeCell="D2" sqref="D2"/>
    </sheetView>
  </sheetViews>
  <sheetFormatPr defaultRowHeight="15.75" outlineLevelRow="1" outlineLevelCol="1" x14ac:dyDescent="0.25"/>
  <cols>
    <col min="1" max="1" width="38.42578125" style="72" hidden="1" customWidth="1" outlineLevel="1"/>
    <col min="2" max="2" width="14.42578125" style="72" hidden="1" customWidth="1" outlineLevel="1"/>
    <col min="3" max="3" width="14" style="72" hidden="1" customWidth="1" outlineLevel="1"/>
    <col min="4" max="4" width="7.5703125" style="35" customWidth="1" collapsed="1"/>
    <col min="5" max="5" width="40.5703125" style="35" customWidth="1"/>
    <col min="6" max="6" width="11.42578125" style="35" bestFit="1" customWidth="1"/>
    <col min="7" max="7" width="13.85546875" style="181" customWidth="1"/>
    <col min="8" max="8" width="15.140625" style="181" customWidth="1"/>
    <col min="9" max="9" width="12.5703125" style="178" customWidth="1"/>
    <col min="10" max="18" width="8.140625" style="48" hidden="1" customWidth="1" outlineLevel="1"/>
    <col min="19" max="19" width="13" style="48" bestFit="1" customWidth="1" collapsed="1"/>
    <col min="20" max="20" width="12.42578125" style="41" hidden="1" customWidth="1" outlineLevel="1"/>
    <col min="21" max="21" width="17.42578125" style="41" customWidth="1" collapsed="1"/>
    <col min="22" max="22" width="19.140625" style="41" hidden="1" customWidth="1" outlineLevel="1"/>
    <col min="23" max="23" width="17.42578125" style="41" customWidth="1" collapsed="1"/>
    <col min="24" max="24" width="17.28515625" style="41" customWidth="1"/>
    <col min="25" max="25" width="13.140625" style="178" customWidth="1"/>
    <col min="26" max="26" width="20.5703125" style="41" customWidth="1"/>
    <col min="27" max="27" width="22.5703125" style="37" customWidth="1"/>
    <col min="28" max="28" width="20.42578125" style="71" customWidth="1"/>
    <col min="29" max="16384" width="9.140625" style="35"/>
  </cols>
  <sheetData>
    <row r="1" spans="1:54" s="80" customFormat="1" hidden="1" outlineLevel="1" x14ac:dyDescent="0.25">
      <c r="G1" s="183">
        <v>1</v>
      </c>
      <c r="H1" s="183">
        <f>G1+1</f>
        <v>2</v>
      </c>
      <c r="I1" s="183">
        <f>MAX($G$1:H1)+1</f>
        <v>3</v>
      </c>
      <c r="J1" s="183"/>
      <c r="K1" s="56"/>
      <c r="L1" s="56"/>
      <c r="M1" s="56"/>
      <c r="N1" s="56"/>
      <c r="O1" s="56"/>
      <c r="P1" s="56"/>
      <c r="Q1" s="56"/>
      <c r="R1" s="56"/>
      <c r="S1" s="57">
        <f>MAX($G$1:R1)+1</f>
        <v>4</v>
      </c>
      <c r="T1" s="58">
        <f>MAX($G$1:S1)+1</f>
        <v>5</v>
      </c>
      <c r="U1" s="58">
        <f>MAX($G$1:T1)+1</f>
        <v>6</v>
      </c>
      <c r="V1" s="58">
        <f>MAX($G$1:U1)+1</f>
        <v>7</v>
      </c>
      <c r="W1" s="58">
        <f>MAX($G$1:V1)+1</f>
        <v>8</v>
      </c>
      <c r="X1" s="58">
        <f>MAX($G$1:W1)+1</f>
        <v>9</v>
      </c>
      <c r="Y1" s="184">
        <f>MAX($G$1:X1)+1</f>
        <v>10</v>
      </c>
      <c r="Z1" s="58">
        <f>MAX($G$1:Y1)+1</f>
        <v>11</v>
      </c>
      <c r="AA1" s="58">
        <f>MAX($G$1:Z1)+1</f>
        <v>12</v>
      </c>
      <c r="AB1" s="68"/>
    </row>
    <row r="2" spans="1:54" collapsed="1" x14ac:dyDescent="0.25"/>
    <row r="3" spans="1:54" ht="21" x14ac:dyDescent="0.35">
      <c r="D3" s="98" t="s">
        <v>52</v>
      </c>
      <c r="E3" s="98"/>
      <c r="F3" s="13"/>
      <c r="G3" s="142"/>
      <c r="H3" s="143"/>
      <c r="I3" s="180"/>
      <c r="J3" s="47"/>
      <c r="K3" s="47"/>
      <c r="L3" s="47"/>
      <c r="M3" s="47"/>
      <c r="N3" s="47"/>
      <c r="O3" s="47"/>
      <c r="P3" s="47"/>
      <c r="Q3" s="47"/>
      <c r="R3" s="47"/>
      <c r="S3" s="47"/>
      <c r="T3" s="49"/>
      <c r="U3" s="49"/>
      <c r="V3" s="49"/>
      <c r="W3" s="49"/>
      <c r="X3" s="49"/>
      <c r="Y3" s="180"/>
      <c r="Z3" s="49"/>
      <c r="AA3" s="38"/>
    </row>
    <row r="4" spans="1:54" ht="6" customHeight="1" thickBot="1" x14ac:dyDescent="0.3">
      <c r="D4" s="2"/>
      <c r="E4" s="2"/>
      <c r="F4" s="2"/>
      <c r="G4" s="144"/>
      <c r="H4" s="144"/>
      <c r="I4" s="182"/>
      <c r="J4" s="53"/>
      <c r="K4" s="53"/>
      <c r="L4" s="53"/>
      <c r="M4" s="53"/>
      <c r="N4" s="53"/>
      <c r="O4" s="53"/>
      <c r="P4" s="53"/>
      <c r="Q4" s="53"/>
      <c r="R4" s="53"/>
      <c r="S4" s="53"/>
      <c r="T4" s="55"/>
      <c r="U4" s="55"/>
      <c r="V4" s="55"/>
      <c r="W4" s="50"/>
      <c r="X4" s="50"/>
      <c r="Y4" s="182"/>
      <c r="Z4" s="55"/>
      <c r="AA4" s="39"/>
    </row>
    <row r="5" spans="1:54" ht="6" customHeight="1" thickTop="1" x14ac:dyDescent="0.25">
      <c r="D5" s="73"/>
      <c r="E5" s="73"/>
      <c r="F5" s="73"/>
      <c r="G5" s="185"/>
      <c r="H5" s="185"/>
      <c r="I5" s="179"/>
      <c r="J5" s="52"/>
      <c r="K5" s="52"/>
      <c r="L5" s="52"/>
      <c r="M5" s="52"/>
      <c r="N5" s="52"/>
      <c r="O5" s="52"/>
      <c r="P5" s="52"/>
      <c r="Q5" s="52"/>
      <c r="R5" s="52"/>
      <c r="S5" s="52"/>
      <c r="T5" s="42"/>
      <c r="U5" s="62"/>
      <c r="V5" s="62"/>
      <c r="W5" s="51"/>
      <c r="X5" s="51"/>
      <c r="Y5" s="179"/>
      <c r="Z5" s="42"/>
      <c r="AA5" s="36"/>
    </row>
    <row r="6" spans="1:54" s="45" customFormat="1" ht="64.5" customHeight="1" x14ac:dyDescent="0.25">
      <c r="A6" s="79"/>
      <c r="B6" s="79" t="s">
        <v>100</v>
      </c>
      <c r="C6" s="79" t="s">
        <v>100</v>
      </c>
      <c r="D6" s="227" t="s">
        <v>65</v>
      </c>
      <c r="E6" s="227"/>
      <c r="F6" s="228" t="s">
        <v>115</v>
      </c>
      <c r="G6" s="146" t="s">
        <v>112</v>
      </c>
      <c r="H6" s="146" t="s">
        <v>111</v>
      </c>
      <c r="I6" s="241" t="s">
        <v>54</v>
      </c>
      <c r="J6" s="230" t="s">
        <v>42</v>
      </c>
      <c r="K6" s="230" t="s">
        <v>43</v>
      </c>
      <c r="L6" s="230" t="s">
        <v>44</v>
      </c>
      <c r="M6" s="230" t="s">
        <v>45</v>
      </c>
      <c r="N6" s="230" t="s">
        <v>46</v>
      </c>
      <c r="O6" s="230" t="s">
        <v>39</v>
      </c>
      <c r="P6" s="230" t="s">
        <v>40</v>
      </c>
      <c r="Q6" s="230" t="s">
        <v>41</v>
      </c>
      <c r="R6" s="230" t="s">
        <v>47</v>
      </c>
      <c r="S6" s="230" t="s">
        <v>151</v>
      </c>
      <c r="T6" s="229" t="s">
        <v>24</v>
      </c>
      <c r="U6" s="244" t="s">
        <v>74</v>
      </c>
      <c r="V6" s="244" t="s">
        <v>75</v>
      </c>
      <c r="W6" s="229" t="s">
        <v>79</v>
      </c>
      <c r="X6" s="229" t="s">
        <v>80</v>
      </c>
      <c r="Y6" s="241" t="s">
        <v>64</v>
      </c>
      <c r="Z6" s="241" t="s">
        <v>76</v>
      </c>
      <c r="AA6" s="229" t="s">
        <v>77</v>
      </c>
      <c r="AB6" s="229"/>
      <c r="AC6" s="155"/>
    </row>
    <row r="7" spans="1:54" x14ac:dyDescent="0.25">
      <c r="D7" s="233"/>
      <c r="E7" s="233"/>
      <c r="F7" s="237"/>
      <c r="G7" s="147" t="s">
        <v>30</v>
      </c>
      <c r="H7" s="147" t="s">
        <v>30</v>
      </c>
      <c r="I7" s="242" t="s">
        <v>22</v>
      </c>
      <c r="J7" s="204" t="s">
        <v>30</v>
      </c>
      <c r="K7" s="204" t="s">
        <v>30</v>
      </c>
      <c r="L7" s="204" t="s">
        <v>30</v>
      </c>
      <c r="M7" s="204" t="s">
        <v>30</v>
      </c>
      <c r="N7" s="204" t="s">
        <v>30</v>
      </c>
      <c r="O7" s="204" t="s">
        <v>30</v>
      </c>
      <c r="P7" s="204" t="s">
        <v>30</v>
      </c>
      <c r="Q7" s="204" t="s">
        <v>30</v>
      </c>
      <c r="R7" s="204" t="s">
        <v>30</v>
      </c>
      <c r="S7" s="204" t="s">
        <v>30</v>
      </c>
      <c r="T7" s="205" t="s">
        <v>22</v>
      </c>
      <c r="U7" s="205" t="s">
        <v>22</v>
      </c>
      <c r="V7" s="205" t="s">
        <v>22</v>
      </c>
      <c r="W7" s="205" t="s">
        <v>22</v>
      </c>
      <c r="X7" s="205" t="s">
        <v>22</v>
      </c>
      <c r="Y7" s="242" t="s">
        <v>22</v>
      </c>
      <c r="Z7" s="242" t="s">
        <v>22</v>
      </c>
      <c r="AA7" s="205" t="s">
        <v>22</v>
      </c>
      <c r="AB7" s="237"/>
      <c r="AC7" s="233"/>
    </row>
    <row r="8" spans="1:54" x14ac:dyDescent="0.25">
      <c r="D8" s="233"/>
      <c r="E8" s="233"/>
      <c r="F8" s="237"/>
      <c r="G8" s="147" t="str">
        <f>"["&amp;G1&amp;"]"</f>
        <v>[1]</v>
      </c>
      <c r="H8" s="147" t="str">
        <f t="shared" ref="H8:AA8" si="0">"["&amp;H1&amp;"]"</f>
        <v>[2]</v>
      </c>
      <c r="I8" s="242" t="str">
        <f t="shared" si="0"/>
        <v>[3]</v>
      </c>
      <c r="J8" s="204"/>
      <c r="K8" s="204"/>
      <c r="L8" s="204"/>
      <c r="M8" s="204"/>
      <c r="N8" s="204"/>
      <c r="O8" s="204"/>
      <c r="P8" s="204"/>
      <c r="Q8" s="204"/>
      <c r="R8" s="204"/>
      <c r="S8" s="204" t="str">
        <f t="shared" si="0"/>
        <v>[4]</v>
      </c>
      <c r="T8" s="231" t="str">
        <f t="shared" si="0"/>
        <v>[5]</v>
      </c>
      <c r="U8" s="231" t="str">
        <f t="shared" si="0"/>
        <v>[6]</v>
      </c>
      <c r="V8" s="231" t="str">
        <f t="shared" si="0"/>
        <v>[7]</v>
      </c>
      <c r="W8" s="231" t="str">
        <f>"["&amp;W1&amp;"]"</f>
        <v>[8]</v>
      </c>
      <c r="X8" s="231" t="str">
        <f>"["&amp;X1&amp;"]"</f>
        <v>[9]</v>
      </c>
      <c r="Y8" s="243" t="str">
        <f>"["&amp;Y1&amp;"]"</f>
        <v>[10]</v>
      </c>
      <c r="Z8" s="243" t="str">
        <f t="shared" si="0"/>
        <v>[11]</v>
      </c>
      <c r="AA8" s="231" t="str">
        <f t="shared" si="0"/>
        <v>[12]</v>
      </c>
      <c r="AB8" s="237"/>
      <c r="AC8" s="233"/>
    </row>
    <row r="9" spans="1:54" ht="6" customHeight="1" x14ac:dyDescent="0.25">
      <c r="D9" s="234"/>
      <c r="E9" s="234"/>
      <c r="F9" s="239"/>
      <c r="G9" s="148"/>
      <c r="H9" s="148"/>
      <c r="I9" s="240"/>
      <c r="J9" s="212"/>
      <c r="K9" s="212"/>
      <c r="L9" s="212"/>
      <c r="M9" s="212"/>
      <c r="N9" s="212"/>
      <c r="O9" s="212"/>
      <c r="P9" s="212"/>
      <c r="Q9" s="212"/>
      <c r="R9" s="212"/>
      <c r="S9" s="212"/>
      <c r="T9" s="211"/>
      <c r="U9" s="211"/>
      <c r="V9" s="211"/>
      <c r="W9" s="211"/>
      <c r="X9" s="211"/>
      <c r="Y9" s="240"/>
      <c r="Z9" s="240"/>
      <c r="AA9" s="211"/>
      <c r="AB9" s="237"/>
      <c r="AC9" s="233"/>
    </row>
    <row r="10" spans="1:54" ht="6" customHeight="1" x14ac:dyDescent="0.25">
      <c r="D10" s="233"/>
      <c r="E10" s="233"/>
      <c r="F10" s="237"/>
      <c r="G10" s="149"/>
      <c r="H10" s="149"/>
      <c r="I10" s="236"/>
      <c r="J10" s="194"/>
      <c r="K10" s="194"/>
      <c r="L10" s="194"/>
      <c r="M10" s="194"/>
      <c r="N10" s="194"/>
      <c r="O10" s="194"/>
      <c r="P10" s="194"/>
      <c r="Q10" s="194"/>
      <c r="R10" s="194"/>
      <c r="S10" s="194"/>
      <c r="T10" s="198"/>
      <c r="U10" s="198"/>
      <c r="V10" s="198"/>
      <c r="W10" s="198"/>
      <c r="X10" s="198"/>
      <c r="Y10" s="236"/>
      <c r="Z10" s="236"/>
      <c r="AA10" s="198"/>
      <c r="AB10" s="237"/>
      <c r="AC10" s="233"/>
    </row>
    <row r="11" spans="1:54" x14ac:dyDescent="0.25">
      <c r="A11" s="72" t="s">
        <v>26</v>
      </c>
      <c r="B11" s="72" t="s">
        <v>37</v>
      </c>
      <c r="C11" s="104"/>
      <c r="D11" s="245" t="s">
        <v>116</v>
      </c>
      <c r="E11" s="233" t="s">
        <v>18</v>
      </c>
      <c r="F11" s="237" t="s">
        <v>37</v>
      </c>
      <c r="G11" s="235">
        <v>1.1499999999999999</v>
      </c>
      <c r="H11" s="235">
        <v>1.1499999999999999</v>
      </c>
      <c r="I11" s="236">
        <v>47009.573416528947</v>
      </c>
      <c r="J11" s="194">
        <f>INDEX('2006'!$G$25:$G$47,MATCH('2020 Regional ISO'!$E11,'2006'!$B$25:$B$47,0))</f>
        <v>1</v>
      </c>
      <c r="K11" s="194">
        <f>INDEX('2007'!$G$25:$G$47,MATCH('2020 Regional ISO'!$E11,'2007'!$B$25:$B$47,0))</f>
        <v>0.99906024919213998</v>
      </c>
      <c r="L11" s="194">
        <f>INDEX('2008'!$G$25:$G$47,MATCH('2020 Regional ISO'!$E11,'2008'!$B$25:$B$47,0))</f>
        <v>1</v>
      </c>
      <c r="M11" s="194">
        <f>INDEX('2009'!$G$25:$G$47,MATCH('2020 Regional ISO'!$E11,'2009'!$B$25:$B$47,0))</f>
        <v>0.99936019098947904</v>
      </c>
      <c r="N11" s="194">
        <f>INDEX('2010'!$G$25:$G$47,MATCH('2020 Regional ISO'!$E11,'2010'!$B$25:$B$47,0))</f>
        <v>1</v>
      </c>
      <c r="O11" s="194">
        <f>INDEX('2011'!$G$25:$G$47,MATCH('2020 Regional ISO'!$E11,'2011'!$B$25:$B$47,0))</f>
        <v>1</v>
      </c>
      <c r="P11" s="194">
        <f>INDEX('2012'!$G$25:$G$47,MATCH('2020 Regional ISO'!$E11,'2012'!$B$25:$B$47,0))</f>
        <v>1</v>
      </c>
      <c r="Q11" s="194">
        <f>INDEX('2013'!$G$25:$G$47,MATCH('2020 Regional ISO'!$E11,'2013'!$B$25:$B$47,0))</f>
        <v>0.99853660716280523</v>
      </c>
      <c r="R11" s="194">
        <f>INDEX('2014'!$G$25:$G$47,MATCH('2020 Regional ISO'!$E11,'2014'!$B$25:$B$47,0))</f>
        <v>0.99954387012124046</v>
      </c>
      <c r="S11" s="194">
        <f>MEDIAN(J11:R11)</f>
        <v>1</v>
      </c>
      <c r="T11" s="198">
        <f t="shared" ref="T11:T33" si="1">S11*I11</f>
        <v>47009.573416528947</v>
      </c>
      <c r="U11" s="198">
        <f t="shared" ref="U11:U33" si="2">MAX(I11*H11*(1-S11),0)</f>
        <v>0</v>
      </c>
      <c r="V11" s="198">
        <f t="shared" ref="V11:V33" si="3">(H11-G11)*I11</f>
        <v>0</v>
      </c>
      <c r="W11" s="198">
        <f>MIN(V11,U11)</f>
        <v>0</v>
      </c>
      <c r="X11" s="198">
        <f t="shared" ref="X11:X33" si="4">H11*(1-S11)*I11-W11</f>
        <v>0</v>
      </c>
      <c r="Y11" s="236">
        <v>3638.6717439220956</v>
      </c>
      <c r="Z11" s="236">
        <f>MAX(MIN(Y11-W11,X11),0)</f>
        <v>0</v>
      </c>
      <c r="AA11" s="198">
        <f t="shared" ref="AA11:AA33" si="5">X11-Z11</f>
        <v>0</v>
      </c>
      <c r="AB11" s="237"/>
      <c r="AC11" s="233"/>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row>
    <row r="12" spans="1:54" x14ac:dyDescent="0.25">
      <c r="A12" s="72" t="s">
        <v>26</v>
      </c>
      <c r="B12" s="72" t="s">
        <v>37</v>
      </c>
      <c r="C12" s="104"/>
      <c r="D12" s="245" t="s">
        <v>117</v>
      </c>
      <c r="E12" s="233" t="s">
        <v>4</v>
      </c>
      <c r="F12" s="237" t="s">
        <v>37</v>
      </c>
      <c r="G12" s="235">
        <v>1.1499999999999999</v>
      </c>
      <c r="H12" s="235">
        <v>1.1499999999999999</v>
      </c>
      <c r="I12" s="236">
        <v>6359.2093388417188</v>
      </c>
      <c r="J12" s="194">
        <f>INDEX('2006'!$G$25:$G$47,MATCH('2020 Regional ISO'!$E12,'2006'!$B$25:$B$47,0))</f>
        <v>0.99313510607501754</v>
      </c>
      <c r="K12" s="194">
        <f>INDEX('2007'!$G$25:$G$47,MATCH('2020 Regional ISO'!$E12,'2007'!$B$25:$B$47,0))</f>
        <v>0.98937219945199095</v>
      </c>
      <c r="L12" s="194">
        <f>INDEX('2008'!$G$25:$G$47,MATCH('2020 Regional ISO'!$E12,'2008'!$B$25:$B$47,0))</f>
        <v>0.99895134228187921</v>
      </c>
      <c r="M12" s="194">
        <f>INDEX('2009'!$G$25:$G$47,MATCH('2020 Regional ISO'!$E12,'2009'!$B$25:$B$47,0))</f>
        <v>0.99991182046646976</v>
      </c>
      <c r="N12" s="194">
        <f>INDEX('2010'!$G$25:$G$47,MATCH('2020 Regional ISO'!$E12,'2010'!$B$25:$B$47,0))</f>
        <v>0.9183622931198151</v>
      </c>
      <c r="O12" s="194">
        <f>INDEX('2011'!$G$25:$G$47,MATCH('2020 Regional ISO'!$E12,'2011'!$B$25:$B$47,0))</f>
        <v>0.95504230538790902</v>
      </c>
      <c r="P12" s="194">
        <f>INDEX('2012'!$G$25:$G$47,MATCH('2020 Regional ISO'!$E12,'2012'!$B$25:$B$47,0))</f>
        <v>0.95523214598322537</v>
      </c>
      <c r="Q12" s="194">
        <f>INDEX('2013'!$G$25:$G$47,MATCH('2020 Regional ISO'!$E12,'2013'!$B$25:$B$47,0))</f>
        <v>0.92691332063947962</v>
      </c>
      <c r="R12" s="194">
        <f>INDEX('2014'!$G$25:$G$47,MATCH('2020 Regional ISO'!$E12,'2014'!$B$25:$B$47,0))</f>
        <v>0.95898803580499936</v>
      </c>
      <c r="S12" s="194">
        <f t="shared" ref="S12:S33" si="6">MEDIAN(J12:R12)</f>
        <v>0.95898803580499936</v>
      </c>
      <c r="T12" s="198">
        <f t="shared" si="1"/>
        <v>6098.4056731286282</v>
      </c>
      <c r="U12" s="198">
        <f t="shared" si="2"/>
        <v>299.92421557005378</v>
      </c>
      <c r="V12" s="198">
        <f t="shared" si="3"/>
        <v>0</v>
      </c>
      <c r="W12" s="198">
        <f t="shared" ref="W12:W33" si="7">MIN(V12,U12)</f>
        <v>0</v>
      </c>
      <c r="X12" s="198">
        <f t="shared" si="4"/>
        <v>299.92421557005378</v>
      </c>
      <c r="Y12" s="236">
        <v>3750</v>
      </c>
      <c r="Z12" s="236">
        <f t="shared" ref="Z12:Z33" si="8">MAX(MIN(Y12-W12,X12),0)</f>
        <v>299.92421557005378</v>
      </c>
      <c r="AA12" s="198">
        <f t="shared" si="5"/>
        <v>0</v>
      </c>
      <c r="AB12" s="237"/>
      <c r="AC12" s="233"/>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row>
    <row r="13" spans="1:54" x14ac:dyDescent="0.25">
      <c r="A13" s="72" t="s">
        <v>27</v>
      </c>
      <c r="B13" s="72" t="s">
        <v>48</v>
      </c>
      <c r="C13" s="104"/>
      <c r="D13" s="245" t="s">
        <v>118</v>
      </c>
      <c r="E13" s="233" t="s">
        <v>1</v>
      </c>
      <c r="F13" s="237" t="s">
        <v>36</v>
      </c>
      <c r="G13" s="235">
        <v>1.04</v>
      </c>
      <c r="H13" s="235">
        <v>1.1539999999999999</v>
      </c>
      <c r="I13" s="236">
        <v>2311</v>
      </c>
      <c r="J13" s="194">
        <f>INDEX('2006'!$G$25:$G$47,MATCH('2020 Regional ISO'!$E13,'2006'!$B$25:$B$47,0))</f>
        <v>0.96042563366810141</v>
      </c>
      <c r="K13" s="194">
        <f>INDEX('2007'!$G$25:$G$47,MATCH('2020 Regional ISO'!$E13,'2007'!$B$25:$B$47,0))</f>
        <v>0.88496503496503498</v>
      </c>
      <c r="L13" s="194">
        <f>INDEX('2008'!$G$25:$G$47,MATCH('2020 Regional ISO'!$E13,'2008'!$B$25:$B$47,0))</f>
        <v>0.80558239398819109</v>
      </c>
      <c r="M13" s="194">
        <f>INDEX('2009'!$G$25:$G$47,MATCH('2020 Regional ISO'!$E13,'2009'!$B$25:$B$47,0))</f>
        <v>0.80055555555555558</v>
      </c>
      <c r="N13" s="194">
        <f>INDEX('2010'!$G$25:$G$47,MATCH('2020 Regional ISO'!$E13,'2010'!$B$25:$B$47,0))</f>
        <v>0.82972350230414749</v>
      </c>
      <c r="O13" s="194">
        <f>INDEX('2011'!$G$25:$G$47,MATCH('2020 Regional ISO'!$E13,'2011'!$B$25:$B$47,0))</f>
        <v>0.85935121208572429</v>
      </c>
      <c r="P13" s="194">
        <f>INDEX('2012'!$G$25:$G$47,MATCH('2020 Regional ISO'!$E13,'2012'!$B$25:$B$47,0))</f>
        <v>0.97947069008162257</v>
      </c>
      <c r="Q13" s="194">
        <f>INDEX('2013'!$G$25:$G$47,MATCH('2020 Regional ISO'!$E13,'2013'!$B$25:$B$47,0))</f>
        <v>0.89138410227904397</v>
      </c>
      <c r="R13" s="194">
        <f>INDEX('2014'!$G$25:$G$47,MATCH('2020 Regional ISO'!$E13,'2014'!$B$25:$B$47,0))</f>
        <v>0.86803173241852483</v>
      </c>
      <c r="S13" s="194">
        <f t="shared" si="6"/>
        <v>0.86803173241852483</v>
      </c>
      <c r="T13" s="198">
        <f t="shared" si="1"/>
        <v>2006.021333619211</v>
      </c>
      <c r="U13" s="198">
        <f t="shared" si="2"/>
        <v>351.94538100343061</v>
      </c>
      <c r="V13" s="198">
        <f t="shared" si="3"/>
        <v>263.45399999999972</v>
      </c>
      <c r="W13" s="198">
        <f t="shared" si="7"/>
        <v>263.45399999999972</v>
      </c>
      <c r="X13" s="198">
        <f t="shared" si="4"/>
        <v>88.491381003430945</v>
      </c>
      <c r="Y13" s="236">
        <v>150.80820407071212</v>
      </c>
      <c r="Z13" s="236">
        <f t="shared" si="8"/>
        <v>0</v>
      </c>
      <c r="AA13" s="198">
        <f t="shared" si="5"/>
        <v>88.491381003430945</v>
      </c>
      <c r="AB13" s="237"/>
      <c r="AC13" s="233"/>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row>
    <row r="14" spans="1:54" x14ac:dyDescent="0.25">
      <c r="A14" s="72" t="s">
        <v>27</v>
      </c>
      <c r="B14" s="72" t="s">
        <v>37</v>
      </c>
      <c r="C14" s="104"/>
      <c r="D14" s="245" t="s">
        <v>119</v>
      </c>
      <c r="E14" s="233" t="s">
        <v>17</v>
      </c>
      <c r="F14" s="237" t="s">
        <v>36</v>
      </c>
      <c r="G14" s="235">
        <v>1.1539999999999999</v>
      </c>
      <c r="H14" s="235">
        <v>1.1539999999999999</v>
      </c>
      <c r="I14" s="236">
        <v>4594.534332358483</v>
      </c>
      <c r="J14" s="194">
        <f>INDEX('2006'!$G$25:$G$47,MATCH('2020 Regional ISO'!$E14,'2006'!$B$25:$B$47,0))</f>
        <v>0.97403993855606763</v>
      </c>
      <c r="K14" s="194">
        <f>INDEX('2007'!$G$25:$G$47,MATCH('2020 Regional ISO'!$E14,'2007'!$B$25:$B$47,0))</f>
        <v>0.9851380042462845</v>
      </c>
      <c r="L14" s="194">
        <f>INDEX('2008'!$G$25:$G$47,MATCH('2020 Regional ISO'!$E14,'2008'!$B$25:$B$47,0))</f>
        <v>0.98165062795628777</v>
      </c>
      <c r="M14" s="194">
        <f>INDEX('2009'!$G$25:$G$47,MATCH('2020 Regional ISO'!$E14,'2009'!$B$25:$B$47,0))</f>
        <v>0.93505807814149944</v>
      </c>
      <c r="N14" s="194">
        <f>INDEX('2010'!$G$25:$G$47,MATCH('2020 Regional ISO'!$E14,'2010'!$B$25:$B$47,0))</f>
        <v>0.87115204229555732</v>
      </c>
      <c r="O14" s="194">
        <f>INDEX('2011'!$G$25:$G$47,MATCH('2020 Regional ISO'!$E14,'2011'!$B$25:$B$47,0))</f>
        <v>0.83014824075727811</v>
      </c>
      <c r="P14" s="194">
        <f>INDEX('2012'!$G$25:$G$47,MATCH('2020 Regional ISO'!$E14,'2012'!$B$25:$B$47,0))</f>
        <v>0.97599380485286524</v>
      </c>
      <c r="Q14" s="194">
        <f>INDEX('2013'!$G$25:$G$47,MATCH('2020 Regional ISO'!$E14,'2013'!$B$25:$B$47,0))</f>
        <v>0.98583403185247276</v>
      </c>
      <c r="R14" s="194">
        <f>INDEX('2014'!$G$25:$G$47,MATCH('2020 Regional ISO'!$E14,'2014'!$B$25:$B$47,0))</f>
        <v>0.89970301230377603</v>
      </c>
      <c r="S14" s="194">
        <f t="shared" si="6"/>
        <v>0.97403993855606763</v>
      </c>
      <c r="T14" s="198">
        <f t="shared" si="1"/>
        <v>4475.2599387842001</v>
      </c>
      <c r="U14" s="198">
        <f t="shared" si="2"/>
        <v>137.64265018472258</v>
      </c>
      <c r="V14" s="198">
        <f t="shared" si="3"/>
        <v>0</v>
      </c>
      <c r="W14" s="198">
        <f t="shared" si="7"/>
        <v>0</v>
      </c>
      <c r="X14" s="198">
        <f t="shared" si="4"/>
        <v>137.64265018472258</v>
      </c>
      <c r="Y14" s="236">
        <v>0</v>
      </c>
      <c r="Z14" s="236">
        <f t="shared" si="8"/>
        <v>0</v>
      </c>
      <c r="AA14" s="198">
        <f t="shared" si="5"/>
        <v>137.64265018472258</v>
      </c>
      <c r="AB14" s="237"/>
      <c r="AC14" s="233"/>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row>
    <row r="15" spans="1:54" x14ac:dyDescent="0.25">
      <c r="A15" s="72" t="s">
        <v>27</v>
      </c>
      <c r="B15" s="72" t="s">
        <v>48</v>
      </c>
      <c r="C15" s="104"/>
      <c r="D15" s="245" t="s">
        <v>120</v>
      </c>
      <c r="E15" s="233" t="s">
        <v>2</v>
      </c>
      <c r="F15" s="237" t="s">
        <v>36</v>
      </c>
      <c r="G15" s="235">
        <v>1.1539999999999999</v>
      </c>
      <c r="H15" s="235">
        <v>1.1539999999999999</v>
      </c>
      <c r="I15" s="236">
        <v>4006</v>
      </c>
      <c r="J15" s="194">
        <f>INDEX('2006'!$G$25:$G$47,MATCH('2020 Regional ISO'!$E15,'2006'!$B$25:$B$47,0))</f>
        <v>0.99903071875932004</v>
      </c>
      <c r="K15" s="194">
        <f>INDEX('2007'!$G$25:$G$47,MATCH('2020 Regional ISO'!$E15,'2007'!$B$25:$B$47,0))</f>
        <v>0.98337411832445665</v>
      </c>
      <c r="L15" s="194">
        <f>INDEX('2008'!$G$25:$G$47,MATCH('2020 Regional ISO'!$E15,'2008'!$B$25:$B$47,0))</f>
        <v>0.93897285294749655</v>
      </c>
      <c r="M15" s="194">
        <f>INDEX('2009'!$G$25:$G$47,MATCH('2020 Regional ISO'!$E15,'2009'!$B$25:$B$47,0))</f>
        <v>0.91189991710000751</v>
      </c>
      <c r="N15" s="194">
        <f>INDEX('2010'!$G$25:$G$47,MATCH('2020 Regional ISO'!$E15,'2010'!$B$25:$B$47,0))</f>
        <v>0.93560635412630766</v>
      </c>
      <c r="O15" s="194">
        <f>INDEX('2011'!$G$25:$G$47,MATCH('2020 Regional ISO'!$E15,'2011'!$B$25:$B$47,0))</f>
        <v>0.95665047069541453</v>
      </c>
      <c r="P15" s="194">
        <f>INDEX('2012'!$G$25:$G$47,MATCH('2020 Regional ISO'!$E15,'2012'!$B$25:$B$47,0))</f>
        <v>0.92490340709518792</v>
      </c>
      <c r="Q15" s="194">
        <f>INDEX('2013'!$G$25:$G$47,MATCH('2020 Regional ISO'!$E15,'2013'!$B$25:$B$47,0))</f>
        <v>0.99648447864154943</v>
      </c>
      <c r="R15" s="194">
        <f>INDEX('2014'!$G$25:$G$47,MATCH('2020 Regional ISO'!$E15,'2014'!$B$25:$B$47,0))</f>
        <v>0.97787641795251179</v>
      </c>
      <c r="S15" s="194">
        <f t="shared" si="6"/>
        <v>0.95665047069541453</v>
      </c>
      <c r="T15" s="198">
        <f t="shared" si="1"/>
        <v>3832.3417856058304</v>
      </c>
      <c r="U15" s="198">
        <f t="shared" si="2"/>
        <v>200.40157941087145</v>
      </c>
      <c r="V15" s="198">
        <f t="shared" si="3"/>
        <v>0</v>
      </c>
      <c r="W15" s="198">
        <f t="shared" si="7"/>
        <v>0</v>
      </c>
      <c r="X15" s="198">
        <f t="shared" si="4"/>
        <v>200.40157941087145</v>
      </c>
      <c r="Y15" s="236">
        <v>1695.8049358675869</v>
      </c>
      <c r="Z15" s="236">
        <f t="shared" si="8"/>
        <v>200.40157941087145</v>
      </c>
      <c r="AA15" s="198">
        <f t="shared" si="5"/>
        <v>0</v>
      </c>
      <c r="AB15" s="237"/>
      <c r="AC15" s="233"/>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row>
    <row r="16" spans="1:54" x14ac:dyDescent="0.25">
      <c r="A16" s="72" t="s">
        <v>27</v>
      </c>
      <c r="B16" s="72" t="s">
        <v>48</v>
      </c>
      <c r="C16" s="104"/>
      <c r="D16" s="245" t="s">
        <v>121</v>
      </c>
      <c r="E16" s="233" t="s">
        <v>5</v>
      </c>
      <c r="F16" s="237" t="s">
        <v>36</v>
      </c>
      <c r="G16" s="235">
        <v>1.1200000000000001</v>
      </c>
      <c r="H16" s="235">
        <v>1.1539999999999999</v>
      </c>
      <c r="I16" s="236">
        <v>8402</v>
      </c>
      <c r="J16" s="194">
        <f>INDEX('2006'!$G$25:$G$47,MATCH('2020 Regional ISO'!$E16,'2006'!$B$25:$B$47,0))</f>
        <v>0.96922495591569402</v>
      </c>
      <c r="K16" s="194">
        <f>INDEX('2007'!$G$25:$G$47,MATCH('2020 Regional ISO'!$E16,'2007'!$B$25:$B$47,0))</f>
        <v>1</v>
      </c>
      <c r="L16" s="194">
        <f>INDEX('2008'!$G$25:$G$47,MATCH('2020 Regional ISO'!$E16,'2008'!$B$25:$B$47,0))</f>
        <v>0.98557794273594912</v>
      </c>
      <c r="M16" s="194">
        <f>INDEX('2009'!$G$25:$G$47,MATCH('2020 Regional ISO'!$E16,'2009'!$B$25:$B$47,0))</f>
        <v>0.9930797298997609</v>
      </c>
      <c r="N16" s="194">
        <f>INDEX('2010'!$G$25:$G$47,MATCH('2020 Regional ISO'!$E16,'2010'!$B$25:$B$47,0))</f>
        <v>0.93252042636141186</v>
      </c>
      <c r="O16" s="194">
        <f>INDEX('2011'!$G$25:$G$47,MATCH('2020 Regional ISO'!$E16,'2011'!$B$25:$B$47,0))</f>
        <v>1</v>
      </c>
      <c r="P16" s="194">
        <f>INDEX('2012'!$G$25:$G$47,MATCH('2020 Regional ISO'!$E16,'2012'!$B$25:$B$47,0))</f>
        <v>0.95540988913166625</v>
      </c>
      <c r="Q16" s="194">
        <f>INDEX('2013'!$G$25:$G$47,MATCH('2020 Regional ISO'!$E16,'2013'!$B$25:$B$47,0))</f>
        <v>0.99603911375170195</v>
      </c>
      <c r="R16" s="194">
        <f>INDEX('2014'!$G$25:$G$47,MATCH('2020 Regional ISO'!$E16,'2014'!$B$25:$B$47,0))</f>
        <v>0.84796231470677208</v>
      </c>
      <c r="S16" s="194">
        <f t="shared" si="6"/>
        <v>0.98557794273594912</v>
      </c>
      <c r="T16" s="198">
        <f t="shared" si="1"/>
        <v>8280.8258748674452</v>
      </c>
      <c r="U16" s="198">
        <f t="shared" si="2"/>
        <v>139.83494040296904</v>
      </c>
      <c r="V16" s="198">
        <f t="shared" si="3"/>
        <v>285.66799999999841</v>
      </c>
      <c r="W16" s="198">
        <f>MIN(V16,U16)</f>
        <v>139.83494040296904</v>
      </c>
      <c r="X16" s="198">
        <f t="shared" si="4"/>
        <v>0</v>
      </c>
      <c r="Y16" s="236">
        <v>500</v>
      </c>
      <c r="Z16" s="236">
        <f t="shared" si="8"/>
        <v>0</v>
      </c>
      <c r="AA16" s="198">
        <f t="shared" si="5"/>
        <v>0</v>
      </c>
      <c r="AB16" s="237"/>
      <c r="AC16" s="233"/>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row>
    <row r="17" spans="1:52" x14ac:dyDescent="0.25">
      <c r="A17" s="72" t="s">
        <v>27</v>
      </c>
      <c r="B17" s="72" t="s">
        <v>48</v>
      </c>
      <c r="C17" s="104"/>
      <c r="D17" s="245" t="s">
        <v>122</v>
      </c>
      <c r="E17" s="233" t="s">
        <v>20</v>
      </c>
      <c r="F17" s="237" t="s">
        <v>36</v>
      </c>
      <c r="G17" s="235">
        <v>1.1000000000000001</v>
      </c>
      <c r="H17" s="235">
        <v>1.1539999999999999</v>
      </c>
      <c r="I17" s="236">
        <v>1880</v>
      </c>
      <c r="J17" s="194">
        <f>INDEX('2006'!$G$25:$G$47,MATCH('2020 Regional ISO'!$E17,'2006'!$B$25:$B$47,0))</f>
        <v>0.96878806333739342</v>
      </c>
      <c r="K17" s="194">
        <f>INDEX('2007'!$G$25:$G$47,MATCH('2020 Regional ISO'!$E17,'2007'!$B$25:$B$47,0))</f>
        <v>0.94591048257763521</v>
      </c>
      <c r="L17" s="194">
        <f>INDEX('2008'!$G$25:$G$47,MATCH('2020 Regional ISO'!$E17,'2008'!$B$25:$B$47,0))</f>
        <v>0.84578983994432844</v>
      </c>
      <c r="M17" s="194">
        <f>INDEX('2009'!$G$25:$G$47,MATCH('2020 Regional ISO'!$E17,'2009'!$B$25:$B$47,0))</f>
        <v>0.79632792485055504</v>
      </c>
      <c r="N17" s="194">
        <f>INDEX('2010'!$G$25:$G$47,MATCH('2020 Regional ISO'!$E17,'2010'!$B$25:$B$47,0))</f>
        <v>0.85895919574216439</v>
      </c>
      <c r="O17" s="194">
        <f>INDEX('2011'!$G$25:$G$47,MATCH('2020 Regional ISO'!$E17,'2011'!$B$25:$B$47,0))</f>
        <v>0.9254425442544254</v>
      </c>
      <c r="P17" s="194">
        <f>INDEX('2012'!$G$25:$G$47,MATCH('2020 Regional ISO'!$E17,'2012'!$B$25:$B$47,0))</f>
        <v>0.91767039818619811</v>
      </c>
      <c r="Q17" s="194">
        <f>INDEX('2013'!$G$25:$G$47,MATCH('2020 Regional ISO'!$E17,'2013'!$B$25:$B$47,0))</f>
        <v>0.97626674432149096</v>
      </c>
      <c r="R17" s="194">
        <f>INDEX('2014'!$G$25:$G$47,MATCH('2020 Regional ISO'!$E17,'2014'!$B$25:$B$47,0))</f>
        <v>0.89198506176386094</v>
      </c>
      <c r="S17" s="194">
        <f t="shared" si="6"/>
        <v>0.91767039818619811</v>
      </c>
      <c r="T17" s="198">
        <f t="shared" si="1"/>
        <v>1725.2203485900525</v>
      </c>
      <c r="U17" s="198">
        <f t="shared" si="2"/>
        <v>178.61571772707947</v>
      </c>
      <c r="V17" s="198">
        <f t="shared" si="3"/>
        <v>101.51999999999967</v>
      </c>
      <c r="W17" s="198">
        <f t="shared" si="7"/>
        <v>101.51999999999967</v>
      </c>
      <c r="X17" s="198">
        <f t="shared" si="4"/>
        <v>77.095717727079801</v>
      </c>
      <c r="Y17" s="236">
        <v>460.33300685602353</v>
      </c>
      <c r="Z17" s="236">
        <f t="shared" si="8"/>
        <v>77.095717727079801</v>
      </c>
      <c r="AA17" s="198">
        <f t="shared" si="5"/>
        <v>0</v>
      </c>
      <c r="AB17" s="237"/>
      <c r="AC17" s="233"/>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row>
    <row r="18" spans="1:52" x14ac:dyDescent="0.25">
      <c r="A18" s="72" t="s">
        <v>27</v>
      </c>
      <c r="B18" s="72" t="s">
        <v>48</v>
      </c>
      <c r="C18" s="104"/>
      <c r="D18" s="245" t="s">
        <v>123</v>
      </c>
      <c r="E18" s="233" t="s">
        <v>78</v>
      </c>
      <c r="F18" s="237" t="s">
        <v>36</v>
      </c>
      <c r="G18" s="235">
        <v>1.1299999999999999</v>
      </c>
      <c r="H18" s="235">
        <v>1.1539999999999999</v>
      </c>
      <c r="I18" s="236">
        <v>13234</v>
      </c>
      <c r="J18" s="194">
        <f>INDEX('2006'!$G$25:$G$47,MATCH('2020 Regional ISO'!$E18,'2006'!$B$25:$B$47,0))</f>
        <v>0.99893251167288122</v>
      </c>
      <c r="K18" s="194">
        <f>INDEX('2007'!$G$25:$G$47,MATCH('2020 Regional ISO'!$E18,'2007'!$B$25:$B$47,0))</f>
        <v>0.97170175032770456</v>
      </c>
      <c r="L18" s="194">
        <f>INDEX('2008'!$G$25:$G$47,MATCH('2020 Regional ISO'!$E18,'2008'!$B$25:$B$47,0))</f>
        <v>0.99926728788829</v>
      </c>
      <c r="M18" s="194">
        <f>INDEX('2009'!$G$25:$G$47,MATCH('2020 Regional ISO'!$E18,'2009'!$B$25:$B$47,0))</f>
        <v>0.99806515084390923</v>
      </c>
      <c r="N18" s="194">
        <f>INDEX('2010'!$G$25:$G$47,MATCH('2020 Regional ISO'!$E18,'2010'!$B$25:$B$47,0))</f>
        <v>0.98503087843177495</v>
      </c>
      <c r="O18" s="194">
        <f>INDEX('2011'!$G$25:$G$47,MATCH('2020 Regional ISO'!$E18,'2011'!$B$25:$B$47,0))</f>
        <v>0.99550278573297912</v>
      </c>
      <c r="P18" s="194">
        <f>INDEX('2012'!$G$25:$G$47,MATCH('2020 Regional ISO'!$E18,'2012'!$B$25:$B$47,0))</f>
        <v>0.97621594153429969</v>
      </c>
      <c r="Q18" s="194">
        <f>INDEX('2013'!$G$25:$G$47,MATCH('2020 Regional ISO'!$E18,'2013'!$B$25:$B$47,0))</f>
        <v>0.99886733194145505</v>
      </c>
      <c r="R18" s="194">
        <f>INDEX('2014'!$G$25:$G$47,MATCH('2020 Regional ISO'!$E18,'2014'!$B$25:$B$47,0))</f>
        <v>0.99000710170074746</v>
      </c>
      <c r="S18" s="194">
        <f t="shared" si="6"/>
        <v>0.99550278573297912</v>
      </c>
      <c r="T18" s="198">
        <f t="shared" si="1"/>
        <v>13174.483866390246</v>
      </c>
      <c r="U18" s="198">
        <f t="shared" si="2"/>
        <v>68.681618185656433</v>
      </c>
      <c r="V18" s="198">
        <f t="shared" si="3"/>
        <v>317.61600000000027</v>
      </c>
      <c r="W18" s="198">
        <f t="shared" si="7"/>
        <v>68.681618185656433</v>
      </c>
      <c r="X18" s="198">
        <f t="shared" si="4"/>
        <v>0</v>
      </c>
      <c r="Y18" s="236">
        <v>1046.5898442015255</v>
      </c>
      <c r="Z18" s="236">
        <f t="shared" si="8"/>
        <v>0</v>
      </c>
      <c r="AA18" s="198">
        <f t="shared" si="5"/>
        <v>0</v>
      </c>
      <c r="AB18" s="237"/>
      <c r="AC18" s="233"/>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row>
    <row r="19" spans="1:52" x14ac:dyDescent="0.25">
      <c r="A19" s="72" t="s">
        <v>27</v>
      </c>
      <c r="B19" s="72" t="s">
        <v>48</v>
      </c>
      <c r="C19" s="104"/>
      <c r="D19" s="245" t="s">
        <v>124</v>
      </c>
      <c r="E19" s="233" t="s">
        <v>21</v>
      </c>
      <c r="F19" s="237" t="s">
        <v>36</v>
      </c>
      <c r="G19" s="235">
        <v>1.08</v>
      </c>
      <c r="H19" s="235">
        <v>1.1539999999999999</v>
      </c>
      <c r="I19" s="236">
        <v>3753</v>
      </c>
      <c r="J19" s="194">
        <f>INDEX('2006'!$G$25:$G$47,MATCH('2020 Regional ISO'!$E19,'2006'!$B$25:$B$47,0))</f>
        <v>0.99446282665946384</v>
      </c>
      <c r="K19" s="194">
        <f>INDEX('2007'!$G$25:$G$47,MATCH('2020 Regional ISO'!$E19,'2007'!$B$25:$B$47,0))</f>
        <v>0.87875059804524636</v>
      </c>
      <c r="L19" s="194">
        <f>INDEX('2008'!$G$25:$G$47,MATCH('2020 Regional ISO'!$E19,'2008'!$B$25:$B$47,0))</f>
        <v>0.86492846968477122</v>
      </c>
      <c r="M19" s="194">
        <f>INDEX('2009'!$G$25:$G$47,MATCH('2020 Regional ISO'!$E19,'2009'!$B$25:$B$47,0))</f>
        <v>0.96253765060240959</v>
      </c>
      <c r="N19" s="194">
        <f>INDEX('2010'!$G$25:$G$47,MATCH('2020 Regional ISO'!$E19,'2010'!$B$25:$B$47,0))</f>
        <v>0.94544318733948773</v>
      </c>
      <c r="O19" s="194">
        <f>INDEX('2011'!$G$25:$G$47,MATCH('2020 Regional ISO'!$E19,'2011'!$B$25:$B$47,0))</f>
        <v>0.92064828457166914</v>
      </c>
      <c r="P19" s="194">
        <f>INDEX('2012'!$G$25:$G$47,MATCH('2020 Regional ISO'!$E19,'2012'!$B$25:$B$47,0))</f>
        <v>0.89608412896084133</v>
      </c>
      <c r="Q19" s="194">
        <f>INDEX('2013'!$G$25:$G$47,MATCH('2020 Regional ISO'!$E19,'2013'!$B$25:$B$47,0))</f>
        <v>0.90554480980012897</v>
      </c>
      <c r="R19" s="194">
        <f>INDEX('2014'!$G$25:$G$47,MATCH('2020 Regional ISO'!$E19,'2014'!$B$25:$B$47,0))</f>
        <v>0.87365046129686574</v>
      </c>
      <c r="S19" s="194">
        <f t="shared" si="6"/>
        <v>0.90554480980012897</v>
      </c>
      <c r="T19" s="198">
        <f t="shared" si="1"/>
        <v>3398.5096711798842</v>
      </c>
      <c r="U19" s="198">
        <f t="shared" si="2"/>
        <v>409.08183945841381</v>
      </c>
      <c r="V19" s="198">
        <f t="shared" si="3"/>
        <v>277.72199999999941</v>
      </c>
      <c r="W19" s="198">
        <f t="shared" si="7"/>
        <v>277.72199999999941</v>
      </c>
      <c r="X19" s="198">
        <f t="shared" si="4"/>
        <v>131.3598394584144</v>
      </c>
      <c r="Y19" s="236">
        <v>244.90834698285707</v>
      </c>
      <c r="Z19" s="236">
        <f t="shared" si="8"/>
        <v>0</v>
      </c>
      <c r="AA19" s="198">
        <f t="shared" si="5"/>
        <v>131.3598394584144</v>
      </c>
      <c r="AB19" s="237"/>
      <c r="AC19" s="233"/>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row>
    <row r="20" spans="1:52" x14ac:dyDescent="0.25">
      <c r="A20" s="72" t="s">
        <v>27</v>
      </c>
      <c r="B20" s="72" t="s">
        <v>48</v>
      </c>
      <c r="C20" s="104"/>
      <c r="D20" s="245" t="s">
        <v>125</v>
      </c>
      <c r="E20" s="233" t="s">
        <v>6</v>
      </c>
      <c r="F20" s="237" t="s">
        <v>36</v>
      </c>
      <c r="G20" s="235">
        <v>0.84</v>
      </c>
      <c r="H20" s="235">
        <v>1.1539999999999999</v>
      </c>
      <c r="I20" s="236">
        <v>733</v>
      </c>
      <c r="J20" s="194">
        <f>INDEX('2006'!$G$25:$G$47,MATCH('2020 Regional ISO'!$E20,'2006'!$B$25:$B$47,0))</f>
        <v>0.69538188277087032</v>
      </c>
      <c r="K20" s="194">
        <f>INDEX('2007'!$G$25:$G$47,MATCH('2020 Regional ISO'!$E20,'2007'!$B$25:$B$47,0))</f>
        <v>0.6937473415567843</v>
      </c>
      <c r="L20" s="194">
        <f>INDEX('2008'!$G$25:$G$47,MATCH('2020 Regional ISO'!$E20,'2008'!$B$25:$B$47,0))</f>
        <v>0.61443871479571599</v>
      </c>
      <c r="M20" s="194">
        <f>INDEX('2009'!$G$25:$G$47,MATCH('2020 Regional ISO'!$E20,'2009'!$B$25:$B$47,0))</f>
        <v>0.66557242511284365</v>
      </c>
      <c r="N20" s="194">
        <f>INDEX('2010'!$G$25:$G$47,MATCH('2020 Regional ISO'!$E20,'2010'!$B$25:$B$47,0))</f>
        <v>0.6645299145299145</v>
      </c>
      <c r="O20" s="194">
        <f>INDEX('2011'!$G$25:$G$47,MATCH('2020 Regional ISO'!$E20,'2011'!$B$25:$B$47,0))</f>
        <v>0.74730538922155687</v>
      </c>
      <c r="P20" s="194">
        <f>INDEX('2012'!$G$25:$G$47,MATCH('2020 Regional ISO'!$E20,'2012'!$B$25:$B$47,0))</f>
        <v>0.74962063732928674</v>
      </c>
      <c r="Q20" s="194">
        <f>INDEX('2013'!$G$25:$G$47,MATCH('2020 Regional ISO'!$E20,'2013'!$B$25:$B$47,0))</f>
        <v>0.70521707406056189</v>
      </c>
      <c r="R20" s="194">
        <f>INDEX('2014'!$G$25:$G$47,MATCH('2020 Regional ISO'!$E20,'2014'!$B$25:$B$47,0))</f>
        <v>0.69338959212376938</v>
      </c>
      <c r="S20" s="194">
        <f t="shared" si="6"/>
        <v>0.6937473415567843</v>
      </c>
      <c r="T20" s="198">
        <f t="shared" si="1"/>
        <v>508.51680136112287</v>
      </c>
      <c r="U20" s="198">
        <f t="shared" si="2"/>
        <v>259.05361122926416</v>
      </c>
      <c r="V20" s="246">
        <f t="shared" si="3"/>
        <v>230.16199999999995</v>
      </c>
      <c r="W20" s="198">
        <f t="shared" si="7"/>
        <v>230.16199999999995</v>
      </c>
      <c r="X20" s="236">
        <f t="shared" si="4"/>
        <v>28.891611229264214</v>
      </c>
      <c r="Y20" s="236">
        <v>47.833151702220682</v>
      </c>
      <c r="Z20" s="236">
        <f t="shared" si="8"/>
        <v>0</v>
      </c>
      <c r="AA20" s="198">
        <f t="shared" si="5"/>
        <v>28.891611229264214</v>
      </c>
      <c r="AB20" s="237"/>
      <c r="AC20" s="233"/>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row>
    <row r="21" spans="1:52" x14ac:dyDescent="0.25">
      <c r="A21" s="72" t="s">
        <v>27</v>
      </c>
      <c r="B21" s="72" t="s">
        <v>48</v>
      </c>
      <c r="C21" s="104"/>
      <c r="D21" s="245" t="s">
        <v>126</v>
      </c>
      <c r="E21" s="233" t="s">
        <v>7</v>
      </c>
      <c r="F21" s="237" t="s">
        <v>36</v>
      </c>
      <c r="G21" s="235">
        <v>0.77</v>
      </c>
      <c r="H21" s="235">
        <v>1.1539999999999999</v>
      </c>
      <c r="I21" s="236">
        <v>393</v>
      </c>
      <c r="J21" s="194">
        <f>INDEX('2006'!$G$25:$G$47,MATCH('2020 Regional ISO'!$E21,'2006'!$B$25:$B$47,0))</f>
        <v>0.64953987730061347</v>
      </c>
      <c r="K21" s="194">
        <f>INDEX('2007'!$G$25:$G$47,MATCH('2020 Regional ISO'!$E21,'2007'!$B$25:$B$47,0))</f>
        <v>0.64544781643227234</v>
      </c>
      <c r="L21" s="194">
        <f>INDEX('2008'!$G$25:$G$47,MATCH('2020 Regional ISO'!$E21,'2008'!$B$25:$B$47,0))</f>
        <v>0.55973154362416111</v>
      </c>
      <c r="M21" s="194">
        <f>INDEX('2009'!$G$25:$G$47,MATCH('2020 Regional ISO'!$E21,'2009'!$B$25:$B$47,0))</f>
        <v>0.63233190271816886</v>
      </c>
      <c r="N21" s="194">
        <f>INDEX('2010'!$G$25:$G$47,MATCH('2020 Regional ISO'!$E21,'2010'!$B$25:$B$47,0))</f>
        <v>0.58510638297872342</v>
      </c>
      <c r="O21" s="194">
        <f>INDEX('2011'!$G$25:$G$47,MATCH('2020 Regional ISO'!$E21,'2011'!$B$25:$B$47,0))</f>
        <v>0.60798816568047342</v>
      </c>
      <c r="P21" s="194">
        <f>INDEX('2012'!$G$25:$G$47,MATCH('2020 Regional ISO'!$E21,'2012'!$B$25:$B$47,0))</f>
        <v>0.66814814814814816</v>
      </c>
      <c r="Q21" s="194">
        <f>INDEX('2013'!$G$25:$G$47,MATCH('2020 Regional ISO'!$E21,'2013'!$B$25:$B$47,0))</f>
        <v>0.62215909090909094</v>
      </c>
      <c r="R21" s="194">
        <f>INDEX('2014'!$G$25:$G$47,MATCH('2020 Regional ISO'!$E21,'2014'!$B$25:$B$47,0))</f>
        <v>0.64569536423841056</v>
      </c>
      <c r="S21" s="194">
        <f t="shared" si="6"/>
        <v>0.63233190271816886</v>
      </c>
      <c r="T21" s="198">
        <f t="shared" si="1"/>
        <v>248.50643776824037</v>
      </c>
      <c r="U21" s="198">
        <f t="shared" si="2"/>
        <v>166.74557081545061</v>
      </c>
      <c r="V21" s="198">
        <f t="shared" si="3"/>
        <v>150.91199999999995</v>
      </c>
      <c r="W21" s="198">
        <f t="shared" si="7"/>
        <v>150.91199999999995</v>
      </c>
      <c r="X21" s="198">
        <f t="shared" si="4"/>
        <v>15.833570815450656</v>
      </c>
      <c r="Y21" s="236">
        <v>25.645878061354335</v>
      </c>
      <c r="Z21" s="236">
        <f t="shared" si="8"/>
        <v>0</v>
      </c>
      <c r="AA21" s="198">
        <f t="shared" si="5"/>
        <v>15.833570815450656</v>
      </c>
      <c r="AB21" s="237"/>
      <c r="AC21" s="233"/>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row>
    <row r="22" spans="1:52" x14ac:dyDescent="0.25">
      <c r="A22" s="72" t="s">
        <v>27</v>
      </c>
      <c r="B22" s="72" t="s">
        <v>48</v>
      </c>
      <c r="C22" s="104"/>
      <c r="D22" s="245" t="s">
        <v>127</v>
      </c>
      <c r="E22" s="233" t="s">
        <v>8</v>
      </c>
      <c r="F22" s="237" t="s">
        <v>36</v>
      </c>
      <c r="G22" s="235">
        <v>1.1539999999999999</v>
      </c>
      <c r="H22" s="235">
        <v>1.1539999999999999</v>
      </c>
      <c r="I22" s="236">
        <v>855</v>
      </c>
      <c r="J22" s="194">
        <f>INDEX('2006'!$G$25:$G$47,MATCH('2020 Regional ISO'!$E22,'2006'!$B$25:$B$47,0))</f>
        <v>0.97078063672045356</v>
      </c>
      <c r="K22" s="194">
        <f>INDEX('2007'!$G$25:$G$47,MATCH('2020 Regional ISO'!$E22,'2007'!$B$25:$B$47,0))</f>
        <v>0.94782989916703198</v>
      </c>
      <c r="L22" s="194">
        <f>INDEX('2008'!$G$25:$G$47,MATCH('2020 Regional ISO'!$E22,'2008'!$B$25:$B$47,0))</f>
        <v>0.94745351657235244</v>
      </c>
      <c r="M22" s="194">
        <f>INDEX('2009'!$G$25:$G$47,MATCH('2020 Regional ISO'!$E22,'2009'!$B$25:$B$47,0))</f>
        <v>0.94427363566487321</v>
      </c>
      <c r="N22" s="194">
        <f>INDEX('2010'!$G$25:$G$47,MATCH('2020 Regional ISO'!$E22,'2010'!$B$25:$B$47,0))</f>
        <v>0.96030245746691867</v>
      </c>
      <c r="O22" s="194">
        <f>INDEX('2011'!$G$25:$G$47,MATCH('2020 Regional ISO'!$E22,'2011'!$B$25:$B$47,0))</f>
        <v>0.99056603773584906</v>
      </c>
      <c r="P22" s="194">
        <f>INDEX('2012'!$G$25:$G$47,MATCH('2020 Regional ISO'!$E22,'2012'!$B$25:$B$47,0))</f>
        <v>0.98490566037735849</v>
      </c>
      <c r="Q22" s="194">
        <f>INDEX('2013'!$G$25:$G$47,MATCH('2020 Regional ISO'!$E22,'2013'!$B$25:$B$47,0))</f>
        <v>0.94062382562946256</v>
      </c>
      <c r="R22" s="194">
        <f>INDEX('2014'!$G$25:$G$47,MATCH('2020 Regional ISO'!$E22,'2014'!$B$25:$B$47,0))</f>
        <v>0.96925227113906354</v>
      </c>
      <c r="S22" s="194">
        <f t="shared" si="6"/>
        <v>0.96030245746691867</v>
      </c>
      <c r="T22" s="198">
        <f t="shared" si="1"/>
        <v>821.05860113421545</v>
      </c>
      <c r="U22" s="198">
        <f t="shared" si="2"/>
        <v>39.168374291115356</v>
      </c>
      <c r="V22" s="198">
        <f t="shared" si="3"/>
        <v>0</v>
      </c>
      <c r="W22" s="198">
        <f t="shared" si="7"/>
        <v>0</v>
      </c>
      <c r="X22" s="198">
        <f t="shared" si="4"/>
        <v>39.168374291115356</v>
      </c>
      <c r="Y22" s="236">
        <v>55.794467538060964</v>
      </c>
      <c r="Z22" s="236">
        <f t="shared" si="8"/>
        <v>39.168374291115356</v>
      </c>
      <c r="AA22" s="198">
        <f t="shared" si="5"/>
        <v>0</v>
      </c>
      <c r="AB22" s="237"/>
      <c r="AC22" s="233"/>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row>
    <row r="23" spans="1:52" x14ac:dyDescent="0.25">
      <c r="A23" s="72" t="s">
        <v>27</v>
      </c>
      <c r="B23" s="72" t="s">
        <v>48</v>
      </c>
      <c r="C23" s="104"/>
      <c r="D23" s="245" t="s">
        <v>128</v>
      </c>
      <c r="E23" s="233" t="s">
        <v>11</v>
      </c>
      <c r="F23" s="237" t="s">
        <v>36</v>
      </c>
      <c r="G23" s="235">
        <v>0.83</v>
      </c>
      <c r="H23" s="235">
        <v>1.1539999999999999</v>
      </c>
      <c r="I23" s="236">
        <v>5157</v>
      </c>
      <c r="J23" s="194">
        <f>INDEX('2006'!$G$25:$G$47,MATCH('2020 Regional ISO'!$E23,'2006'!$B$25:$B$47,0))</f>
        <v>0.71486360336064725</v>
      </c>
      <c r="K23" s="194">
        <f>INDEX('2007'!$G$25:$G$47,MATCH('2020 Regional ISO'!$E23,'2007'!$B$25:$B$47,0))</f>
        <v>0.65642487593707111</v>
      </c>
      <c r="L23" s="194">
        <f>INDEX('2008'!$G$25:$G$47,MATCH('2020 Regional ISO'!$E23,'2008'!$B$25:$B$47,0))</f>
        <v>0.62103676327562729</v>
      </c>
      <c r="M23" s="194">
        <f>INDEX('2009'!$G$25:$G$47,MATCH('2020 Regional ISO'!$E23,'2009'!$B$25:$B$47,0))</f>
        <v>0.70660732625813083</v>
      </c>
      <c r="N23" s="194">
        <f>INDEX('2010'!$G$25:$G$47,MATCH('2020 Regional ISO'!$E23,'2010'!$B$25:$B$47,0))</f>
        <v>0.68219249934434834</v>
      </c>
      <c r="O23" s="194">
        <f>INDEX('2011'!$G$25:$G$47,MATCH('2020 Regional ISO'!$E23,'2011'!$B$25:$B$47,0))</f>
        <v>0.68664327228862809</v>
      </c>
      <c r="P23" s="194">
        <f>INDEX('2012'!$G$25:$G$47,MATCH('2020 Regional ISO'!$E23,'2012'!$B$25:$B$47,0))</f>
        <v>0.69523178076136805</v>
      </c>
      <c r="Q23" s="194">
        <f>INDEX('2013'!$G$25:$G$47,MATCH('2020 Regional ISO'!$E23,'2013'!$B$25:$B$47,0))</f>
        <v>0.69878631849944828</v>
      </c>
      <c r="R23" s="194">
        <f>INDEX('2014'!$G$25:$G$47,MATCH('2020 Regional ISO'!$E23,'2014'!$B$25:$B$47,0))</f>
        <v>0.67504674838977774</v>
      </c>
      <c r="S23" s="194">
        <f t="shared" si="6"/>
        <v>0.68664327228862809</v>
      </c>
      <c r="T23" s="198">
        <f t="shared" si="1"/>
        <v>3541.0193551924549</v>
      </c>
      <c r="U23" s="198">
        <f t="shared" si="2"/>
        <v>1864.8416641079068</v>
      </c>
      <c r="V23" s="198">
        <f t="shared" si="3"/>
        <v>1670.8679999999997</v>
      </c>
      <c r="W23" s="198">
        <f t="shared" si="7"/>
        <v>1670.8679999999997</v>
      </c>
      <c r="X23" s="198">
        <f t="shared" si="4"/>
        <v>193.9736641079071</v>
      </c>
      <c r="Y23" s="236">
        <v>336.52873578219925</v>
      </c>
      <c r="Z23" s="236">
        <f t="shared" si="8"/>
        <v>0</v>
      </c>
      <c r="AA23" s="198">
        <f t="shared" si="5"/>
        <v>193.9736641079071</v>
      </c>
      <c r="AB23" s="237"/>
      <c r="AC23" s="233"/>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row>
    <row r="24" spans="1:52" x14ac:dyDescent="0.25">
      <c r="A24" s="72" t="s">
        <v>27</v>
      </c>
      <c r="B24" s="72" t="s">
        <v>48</v>
      </c>
      <c r="C24" s="104"/>
      <c r="D24" s="245" t="s">
        <v>129</v>
      </c>
      <c r="E24" s="233" t="s">
        <v>13</v>
      </c>
      <c r="F24" s="237" t="s">
        <v>36</v>
      </c>
      <c r="G24" s="235">
        <v>0.87</v>
      </c>
      <c r="H24" s="235">
        <v>1.1539999999999999</v>
      </c>
      <c r="I24" s="236">
        <v>1830</v>
      </c>
      <c r="J24" s="194">
        <f>INDEX('2006'!$G$25:$G$47,MATCH('2020 Regional ISO'!$E24,'2006'!$B$25:$B$47,0))</f>
        <v>0.77448525319977746</v>
      </c>
      <c r="K24" s="194">
        <f>INDEX('2007'!$G$25:$G$47,MATCH('2020 Regional ISO'!$E24,'2007'!$B$25:$B$47,0))</f>
        <v>0.68915662650602405</v>
      </c>
      <c r="L24" s="194">
        <f>INDEX('2008'!$G$25:$G$47,MATCH('2020 Regional ISO'!$E24,'2008'!$B$25:$B$47,0))</f>
        <v>0.6788408098451767</v>
      </c>
      <c r="M24" s="194">
        <f>INDEX('2009'!$G$25:$G$47,MATCH('2020 Regional ISO'!$E24,'2009'!$B$25:$B$47,0))</f>
        <v>0.76910591099688896</v>
      </c>
      <c r="N24" s="194">
        <f>INDEX('2010'!$G$25:$G$47,MATCH('2020 Regional ISO'!$E24,'2010'!$B$25:$B$47,0))</f>
        <v>0.70839064649243466</v>
      </c>
      <c r="O24" s="194">
        <f>INDEX('2011'!$G$25:$G$47,MATCH('2020 Regional ISO'!$E24,'2011'!$B$25:$B$47,0))</f>
        <v>0.72230215827338129</v>
      </c>
      <c r="P24" s="194">
        <f>INDEX('2012'!$G$25:$G$47,MATCH('2020 Regional ISO'!$E24,'2012'!$B$25:$B$47,0))</f>
        <v>0.72062956717256887</v>
      </c>
      <c r="Q24" s="194">
        <f>INDEX('2013'!$G$25:$G$47,MATCH('2020 Regional ISO'!$E24,'2013'!$B$25:$B$47,0))</f>
        <v>0.73613949053262495</v>
      </c>
      <c r="R24" s="194">
        <f>INDEX('2014'!$G$25:$G$47,MATCH('2020 Regional ISO'!$E24,'2014'!$B$25:$B$47,0))</f>
        <v>0.70876671619613674</v>
      </c>
      <c r="S24" s="194">
        <f t="shared" si="6"/>
        <v>0.72062956717256887</v>
      </c>
      <c r="T24" s="198">
        <f t="shared" si="1"/>
        <v>1318.7521079258011</v>
      </c>
      <c r="U24" s="198">
        <f t="shared" si="2"/>
        <v>589.98006745362557</v>
      </c>
      <c r="V24" s="198">
        <f t="shared" si="3"/>
        <v>519.7199999999998</v>
      </c>
      <c r="W24" s="198">
        <f t="shared" si="7"/>
        <v>519.7199999999998</v>
      </c>
      <c r="X24" s="198">
        <f t="shared" si="4"/>
        <v>70.260067453625766</v>
      </c>
      <c r="Y24" s="236">
        <v>119.41973753760416</v>
      </c>
      <c r="Z24" s="236">
        <f t="shared" si="8"/>
        <v>0</v>
      </c>
      <c r="AA24" s="198">
        <f>X24-Z24</f>
        <v>70.260067453625766</v>
      </c>
      <c r="AB24" s="237"/>
      <c r="AC24" s="233"/>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row>
    <row r="25" spans="1:52" x14ac:dyDescent="0.25">
      <c r="A25" s="72" t="s">
        <v>27</v>
      </c>
      <c r="B25" s="72" t="s">
        <v>48</v>
      </c>
      <c r="C25" s="104"/>
      <c r="D25" s="245" t="s">
        <v>130</v>
      </c>
      <c r="E25" s="233" t="s">
        <v>14</v>
      </c>
      <c r="F25" s="237" t="s">
        <v>36</v>
      </c>
      <c r="G25" s="235">
        <v>0.75</v>
      </c>
      <c r="H25" s="235">
        <v>1.1539999999999999</v>
      </c>
      <c r="I25" s="236">
        <v>1031</v>
      </c>
      <c r="J25" s="194">
        <f>INDEX('2006'!$G$25:$G$47,MATCH('2020 Regional ISO'!$E25,'2006'!$B$25:$B$47,0))</f>
        <v>0.66282118510749866</v>
      </c>
      <c r="K25" s="194">
        <f>INDEX('2007'!$G$25:$G$47,MATCH('2020 Regional ISO'!$E25,'2007'!$B$25:$B$47,0))</f>
        <v>0.59547010797998423</v>
      </c>
      <c r="L25" s="194">
        <f>INDEX('2008'!$G$25:$G$47,MATCH('2020 Regional ISO'!$E25,'2008'!$B$25:$B$47,0))</f>
        <v>0.58435391152211946</v>
      </c>
      <c r="M25" s="194">
        <f>INDEX('2009'!$G$25:$G$47,MATCH('2020 Regional ISO'!$E25,'2009'!$B$25:$B$47,0))</f>
        <v>0.61791546589817481</v>
      </c>
      <c r="N25" s="194">
        <f>INDEX('2010'!$G$25:$G$47,MATCH('2020 Regional ISO'!$E25,'2010'!$B$25:$B$47,0))</f>
        <v>0.60862905284656621</v>
      </c>
      <c r="O25" s="194">
        <f>INDEX('2011'!$G$25:$G$47,MATCH('2020 Regional ISO'!$E25,'2011'!$B$25:$B$47,0))</f>
        <v>0.64009727100783576</v>
      </c>
      <c r="P25" s="194">
        <f>INDEX('2012'!$G$25:$G$47,MATCH('2020 Regional ISO'!$E25,'2012'!$B$25:$B$47,0))</f>
        <v>0.64830625172128886</v>
      </c>
      <c r="Q25" s="194">
        <f>INDEX('2013'!$G$25:$G$47,MATCH('2020 Regional ISO'!$E25,'2013'!$B$25:$B$47,0))</f>
        <v>0.63491655969191274</v>
      </c>
      <c r="R25" s="194">
        <f>INDEX('2014'!$G$25:$G$47,MATCH('2020 Regional ISO'!$E25,'2014'!$B$25:$B$47,0))</f>
        <v>0.60552763819095479</v>
      </c>
      <c r="S25" s="194">
        <f t="shared" si="6"/>
        <v>0.61791546589817481</v>
      </c>
      <c r="T25" s="198">
        <f t="shared" si="1"/>
        <v>637.07084534101818</v>
      </c>
      <c r="U25" s="198">
        <f t="shared" si="2"/>
        <v>454.59424447646489</v>
      </c>
      <c r="V25" s="198">
        <f t="shared" si="3"/>
        <v>416.52399999999989</v>
      </c>
      <c r="W25" s="198">
        <f t="shared" si="7"/>
        <v>416.52399999999989</v>
      </c>
      <c r="X25" s="198">
        <f t="shared" si="4"/>
        <v>38.070244476465007</v>
      </c>
      <c r="Y25" s="236">
        <v>67.279644481568241</v>
      </c>
      <c r="Z25" s="236">
        <f t="shared" si="8"/>
        <v>0</v>
      </c>
      <c r="AA25" s="198">
        <f t="shared" si="5"/>
        <v>38.070244476465007</v>
      </c>
      <c r="AB25" s="237"/>
      <c r="AC25" s="233"/>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row>
    <row r="26" spans="1:52" x14ac:dyDescent="0.25">
      <c r="A26" s="72" t="s">
        <v>27</v>
      </c>
      <c r="B26" s="72" t="s">
        <v>37</v>
      </c>
      <c r="C26" s="104"/>
      <c r="D26" s="245" t="s">
        <v>131</v>
      </c>
      <c r="E26" s="233" t="s">
        <v>16</v>
      </c>
      <c r="F26" s="237" t="s">
        <v>36</v>
      </c>
      <c r="G26" s="235">
        <v>1.1539999999999999</v>
      </c>
      <c r="H26" s="235">
        <v>1.1539999999999999</v>
      </c>
      <c r="I26" s="236">
        <v>676</v>
      </c>
      <c r="J26" s="194">
        <f>INDEX('2006'!$G$25:$G$47,MATCH('2020 Regional ISO'!$E26,'2006'!$B$25:$B$47,0))</f>
        <v>0.99467867376176833</v>
      </c>
      <c r="K26" s="194">
        <f>INDEX('2007'!$G$25:$G$47,MATCH('2020 Regional ISO'!$E26,'2007'!$B$25:$B$47,0))</f>
        <v>0.98501248959200671</v>
      </c>
      <c r="L26" s="194">
        <f>INDEX('2008'!$G$25:$G$47,MATCH('2020 Regional ISO'!$E26,'2008'!$B$25:$B$47,0))</f>
        <v>0.97791666666666666</v>
      </c>
      <c r="M26" s="194">
        <f>INDEX('2009'!$G$25:$G$47,MATCH('2020 Regional ISO'!$E26,'2009'!$B$25:$B$47,0))</f>
        <v>0.94670710571923744</v>
      </c>
      <c r="N26" s="194">
        <f>INDEX('2010'!$G$25:$G$47,MATCH('2020 Regional ISO'!$E26,'2010'!$B$25:$B$47,0))</f>
        <v>0.92051835853131747</v>
      </c>
      <c r="O26" s="194">
        <f>INDEX('2011'!$G$25:$G$47,MATCH('2020 Regional ISO'!$E26,'2011'!$B$25:$B$47,0))</f>
        <v>0.91518051326663763</v>
      </c>
      <c r="P26" s="194">
        <f>INDEX('2012'!$G$25:$G$47,MATCH('2020 Regional ISO'!$E26,'2012'!$B$25:$B$47,0))</f>
        <v>0.97187758478081054</v>
      </c>
      <c r="Q26" s="194">
        <f>INDEX('2013'!$G$25:$G$47,MATCH('2020 Regional ISO'!$E26,'2013'!$B$25:$B$47,0))</f>
        <v>0.98901098901098905</v>
      </c>
      <c r="R26" s="194">
        <f>INDEX('2014'!$G$25:$G$47,MATCH('2020 Regional ISO'!$E26,'2014'!$B$25:$B$47,0))</f>
        <v>0.92567849686847603</v>
      </c>
      <c r="S26" s="194">
        <f t="shared" si="6"/>
        <v>0.97187758478081054</v>
      </c>
      <c r="T26" s="198">
        <f t="shared" si="1"/>
        <v>656.98924731182797</v>
      </c>
      <c r="U26" s="198">
        <f t="shared" si="2"/>
        <v>21.93840860215057</v>
      </c>
      <c r="V26" s="198">
        <f t="shared" si="3"/>
        <v>0</v>
      </c>
      <c r="W26" s="198">
        <f t="shared" si="7"/>
        <v>0</v>
      </c>
      <c r="X26" s="198">
        <f t="shared" si="4"/>
        <v>21.93840860215057</v>
      </c>
      <c r="Y26" s="236">
        <v>111.32825607790429</v>
      </c>
      <c r="Z26" s="236">
        <f t="shared" si="8"/>
        <v>21.93840860215057</v>
      </c>
      <c r="AA26" s="198">
        <f t="shared" si="5"/>
        <v>0</v>
      </c>
      <c r="AB26" s="237"/>
      <c r="AC26" s="233"/>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row>
    <row r="27" spans="1:52" x14ac:dyDescent="0.25">
      <c r="A27" s="72" t="s">
        <v>28</v>
      </c>
      <c r="B27" s="72" t="s">
        <v>48</v>
      </c>
      <c r="C27" s="104"/>
      <c r="D27" s="245" t="s">
        <v>132</v>
      </c>
      <c r="E27" s="233" t="s">
        <v>9</v>
      </c>
      <c r="F27" s="237" t="s">
        <v>38</v>
      </c>
      <c r="G27" s="235">
        <v>1.139</v>
      </c>
      <c r="H27" s="235">
        <v>1.139</v>
      </c>
      <c r="I27" s="236">
        <v>8740</v>
      </c>
      <c r="J27" s="194">
        <f>INDEX('2006'!$G$25:$G$47,MATCH('2020 Regional ISO'!$E27,'2006'!$B$25:$B$47,0))</f>
        <v>1</v>
      </c>
      <c r="K27" s="194">
        <f>INDEX('2007'!$G$25:$G$47,MATCH('2020 Regional ISO'!$E27,'2007'!$B$25:$B$47,0))</f>
        <v>1</v>
      </c>
      <c r="L27" s="194">
        <f>INDEX('2008'!$G$25:$G$47,MATCH('2020 Regional ISO'!$E27,'2008'!$B$25:$B$47,0))</f>
        <v>1</v>
      </c>
      <c r="M27" s="194">
        <f>INDEX('2009'!$G$25:$G$47,MATCH('2020 Regional ISO'!$E27,'2009'!$B$25:$B$47,0))</f>
        <v>1</v>
      </c>
      <c r="N27" s="194">
        <f>INDEX('2010'!$G$25:$G$47,MATCH('2020 Regional ISO'!$E27,'2010'!$B$25:$B$47,0))</f>
        <v>1</v>
      </c>
      <c r="O27" s="194">
        <f>INDEX('2011'!$G$25:$G$47,MATCH('2020 Regional ISO'!$E27,'2011'!$B$25:$B$47,0))</f>
        <v>1</v>
      </c>
      <c r="P27" s="194">
        <f>INDEX('2012'!$G$25:$G$47,MATCH('2020 Regional ISO'!$E27,'2012'!$B$25:$B$47,0))</f>
        <v>1</v>
      </c>
      <c r="Q27" s="194">
        <f>INDEX('2013'!$G$25:$G$47,MATCH('2020 Regional ISO'!$E27,'2013'!$B$25:$B$47,0))</f>
        <v>1</v>
      </c>
      <c r="R27" s="194">
        <f>INDEX('2014'!$G$25:$G$47,MATCH('2020 Regional ISO'!$E27,'2014'!$B$25:$B$47,0))</f>
        <v>1</v>
      </c>
      <c r="S27" s="194">
        <f t="shared" si="6"/>
        <v>1</v>
      </c>
      <c r="T27" s="198">
        <f t="shared" si="1"/>
        <v>8740</v>
      </c>
      <c r="U27" s="198">
        <f t="shared" si="2"/>
        <v>0</v>
      </c>
      <c r="V27" s="198">
        <f t="shared" si="3"/>
        <v>0</v>
      </c>
      <c r="W27" s="198">
        <f t="shared" si="7"/>
        <v>0</v>
      </c>
      <c r="X27" s="198">
        <f t="shared" si="4"/>
        <v>0</v>
      </c>
      <c r="Y27" s="236">
        <v>1046.4550437405551</v>
      </c>
      <c r="Z27" s="236">
        <f t="shared" si="8"/>
        <v>0</v>
      </c>
      <c r="AA27" s="198">
        <f t="shared" si="5"/>
        <v>0</v>
      </c>
      <c r="AB27" s="237"/>
      <c r="AC27" s="233"/>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row>
    <row r="28" spans="1:52" x14ac:dyDescent="0.25">
      <c r="A28" s="72" t="s">
        <v>29</v>
      </c>
      <c r="B28" s="72" t="s">
        <v>48</v>
      </c>
      <c r="C28" s="104"/>
      <c r="D28" s="245" t="s">
        <v>133</v>
      </c>
      <c r="E28" s="233" t="s">
        <v>0</v>
      </c>
      <c r="F28" s="237" t="s">
        <v>35</v>
      </c>
      <c r="G28" s="235">
        <v>1.1499999999999999</v>
      </c>
      <c r="H28" s="235">
        <v>1.161</v>
      </c>
      <c r="I28" s="236">
        <v>7654</v>
      </c>
      <c r="J28" s="194">
        <f>INDEX('2006'!$G$25:$G$47,MATCH('2020 Regional ISO'!$E28,'2006'!$B$25:$B$47,0))</f>
        <v>0.99482360698977912</v>
      </c>
      <c r="K28" s="194">
        <f>INDEX('2007'!$G$25:$G$47,MATCH('2020 Regional ISO'!$E28,'2007'!$B$25:$B$47,0))</f>
        <v>0.99600883992479472</v>
      </c>
      <c r="L28" s="194">
        <f>INDEX('2008'!$G$25:$G$47,MATCH('2020 Regional ISO'!$E28,'2008'!$B$25:$B$47,0))</f>
        <v>0.99787218951698697</v>
      </c>
      <c r="M28" s="194">
        <f>INDEX('2009'!$G$25:$G$47,MATCH('2020 Regional ISO'!$E28,'2009'!$B$25:$B$47,0))</f>
        <v>0.99846039132295872</v>
      </c>
      <c r="N28" s="194">
        <f>INDEX('2010'!$G$25:$G$47,MATCH('2020 Regional ISO'!$E28,'2010'!$B$25:$B$47,0))</f>
        <v>0.99006575185820467</v>
      </c>
      <c r="O28" s="194">
        <f>INDEX('2011'!$G$25:$G$47,MATCH('2020 Regional ISO'!$E28,'2011'!$B$25:$B$47,0))</f>
        <v>1</v>
      </c>
      <c r="P28" s="194">
        <f>INDEX('2012'!$G$25:$G$47,MATCH('2020 Regional ISO'!$E28,'2012'!$B$25:$B$47,0))</f>
        <v>0.99832214765100669</v>
      </c>
      <c r="Q28" s="194">
        <f>INDEX('2013'!$G$25:$G$47,MATCH('2020 Regional ISO'!$E28,'2013'!$B$25:$B$47,0))</f>
        <v>0.99829043801445461</v>
      </c>
      <c r="R28" s="194">
        <f>INDEX('2014'!$G$25:$G$47,MATCH('2020 Regional ISO'!$E28,'2014'!$B$25:$B$47,0))</f>
        <v>0.9926444710354051</v>
      </c>
      <c r="S28" s="194">
        <f t="shared" si="6"/>
        <v>0.99787218951698697</v>
      </c>
      <c r="T28" s="198">
        <f t="shared" si="1"/>
        <v>7637.7137385630185</v>
      </c>
      <c r="U28" s="198">
        <f t="shared" si="2"/>
        <v>18.908349528335755</v>
      </c>
      <c r="V28" s="198">
        <f t="shared" si="3"/>
        <v>84.194000000000926</v>
      </c>
      <c r="W28" s="198">
        <f t="shared" si="7"/>
        <v>18.908349528335755</v>
      </c>
      <c r="X28" s="198">
        <f t="shared" si="4"/>
        <v>0</v>
      </c>
      <c r="Y28" s="236">
        <v>1199.1678149568938</v>
      </c>
      <c r="Z28" s="236">
        <f t="shared" si="8"/>
        <v>0</v>
      </c>
      <c r="AA28" s="198">
        <f t="shared" si="5"/>
        <v>0</v>
      </c>
      <c r="AB28" s="237"/>
      <c r="AC28" s="233"/>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row>
    <row r="29" spans="1:52" x14ac:dyDescent="0.25">
      <c r="A29" s="72" t="s">
        <v>29</v>
      </c>
      <c r="B29" s="72" t="s">
        <v>48</v>
      </c>
      <c r="C29" s="104"/>
      <c r="D29" s="245" t="s">
        <v>134</v>
      </c>
      <c r="E29" s="233" t="s">
        <v>19</v>
      </c>
      <c r="F29" s="237" t="s">
        <v>35</v>
      </c>
      <c r="G29" s="235">
        <v>1.1000000000000001</v>
      </c>
      <c r="H29" s="235">
        <v>1.161</v>
      </c>
      <c r="I29" s="236">
        <v>1944</v>
      </c>
      <c r="J29" s="194">
        <f>INDEX('2006'!$G$25:$G$47,MATCH('2020 Regional ISO'!$E29,'2006'!$B$25:$B$47,0))</f>
        <v>0.9327556325823223</v>
      </c>
      <c r="K29" s="194">
        <f>INDEX('2007'!$G$25:$G$47,MATCH('2020 Regional ISO'!$E29,'2007'!$B$25:$B$47,0))</f>
        <v>0.90452428476380575</v>
      </c>
      <c r="L29" s="194">
        <f>INDEX('2008'!$G$25:$G$47,MATCH('2020 Regional ISO'!$E29,'2008'!$B$25:$B$47,0))</f>
        <v>0.89489340604858703</v>
      </c>
      <c r="M29" s="194">
        <f>INDEX('2009'!$G$25:$G$47,MATCH('2020 Regional ISO'!$E29,'2009'!$B$25:$B$47,0))</f>
        <v>0.94668794892258579</v>
      </c>
      <c r="N29" s="194">
        <f>INDEX('2010'!$G$25:$G$47,MATCH('2020 Regional ISO'!$E29,'2010'!$B$25:$B$47,0))</f>
        <v>0.93547386381262598</v>
      </c>
      <c r="O29" s="194">
        <f>INDEX('2011'!$G$25:$G$47,MATCH('2020 Regional ISO'!$E29,'2011'!$B$25:$B$47,0))</f>
        <v>0.94380530973451326</v>
      </c>
      <c r="P29" s="194">
        <f>INDEX('2012'!$G$25:$G$47,MATCH('2020 Regional ISO'!$E29,'2012'!$B$25:$B$47,0))</f>
        <v>0.91401841401841399</v>
      </c>
      <c r="Q29" s="194">
        <f>INDEX('2013'!$G$25:$G$47,MATCH('2020 Regional ISO'!$E29,'2013'!$B$25:$B$47,0))</f>
        <v>0.9094459713583104</v>
      </c>
      <c r="R29" s="194">
        <f>INDEX('2014'!$G$25:$G$47,MATCH('2020 Regional ISO'!$E29,'2014'!$B$25:$B$47,0))</f>
        <v>0.91703555619020416</v>
      </c>
      <c r="S29" s="194">
        <f t="shared" si="6"/>
        <v>0.91703555619020416</v>
      </c>
      <c r="T29" s="198">
        <f t="shared" si="1"/>
        <v>1782.7171212337569</v>
      </c>
      <c r="U29" s="198">
        <f t="shared" si="2"/>
        <v>187.24942224760824</v>
      </c>
      <c r="V29" s="198">
        <f t="shared" si="3"/>
        <v>118.58399999999989</v>
      </c>
      <c r="W29" s="198">
        <f t="shared" si="7"/>
        <v>118.58399999999989</v>
      </c>
      <c r="X29" s="198">
        <f t="shared" si="4"/>
        <v>68.665422247608376</v>
      </c>
      <c r="Y29" s="236">
        <v>760.93551228104513</v>
      </c>
      <c r="Z29" s="236">
        <f t="shared" si="8"/>
        <v>68.665422247608376</v>
      </c>
      <c r="AA29" s="198">
        <f t="shared" si="5"/>
        <v>0</v>
      </c>
      <c r="AB29" s="237"/>
      <c r="AC29" s="233"/>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row>
    <row r="30" spans="1:52" x14ac:dyDescent="0.25">
      <c r="A30" s="72" t="s">
        <v>29</v>
      </c>
      <c r="B30" s="72" t="s">
        <v>37</v>
      </c>
      <c r="C30" s="104"/>
      <c r="D30" s="245" t="s">
        <v>135</v>
      </c>
      <c r="E30" s="233" t="s">
        <v>3</v>
      </c>
      <c r="F30" s="237" t="s">
        <v>35</v>
      </c>
      <c r="G30" s="235">
        <v>1.161</v>
      </c>
      <c r="H30" s="235">
        <v>1.161</v>
      </c>
      <c r="I30" s="236">
        <v>1049</v>
      </c>
      <c r="J30" s="194">
        <f>INDEX('2006'!$G$25:$G$47,MATCH('2020 Regional ISO'!$E30,'2006'!$B$25:$B$47,0))</f>
        <v>0.96471774193548387</v>
      </c>
      <c r="K30" s="194">
        <f>INDEX('2007'!$G$25:$G$47,MATCH('2020 Regional ISO'!$E30,'2007'!$B$25:$B$47,0))</f>
        <v>0.90222334512379987</v>
      </c>
      <c r="L30" s="194">
        <f>INDEX('2008'!$G$25:$G$47,MATCH('2020 Regional ISO'!$E30,'2008'!$B$25:$B$47,0))</f>
        <v>0.94140323824209715</v>
      </c>
      <c r="M30" s="194">
        <f>INDEX('2009'!$G$25:$G$47,MATCH('2020 Regional ISO'!$E30,'2009'!$B$25:$B$47,0))</f>
        <v>0.99744506898313745</v>
      </c>
      <c r="N30" s="194">
        <f>INDEX('2010'!$G$25:$G$47,MATCH('2020 Regional ISO'!$E30,'2010'!$B$25:$B$47,0))</f>
        <v>0.89858728557013123</v>
      </c>
      <c r="O30" s="194">
        <f>INDEX('2011'!$G$25:$G$47,MATCH('2020 Regional ISO'!$E30,'2011'!$B$25:$B$47,0))</f>
        <v>0.99645479868321096</v>
      </c>
      <c r="P30" s="194">
        <f>INDEX('2012'!$G$25:$G$47,MATCH('2020 Regional ISO'!$E30,'2012'!$B$25:$B$47,0))</f>
        <v>0.97529921059332825</v>
      </c>
      <c r="Q30" s="194">
        <f>INDEX('2013'!$G$25:$G$47,MATCH('2020 Regional ISO'!$E30,'2013'!$B$25:$B$47,0))</f>
        <v>0.98030186748529036</v>
      </c>
      <c r="R30" s="194">
        <f>INDEX('2014'!$G$25:$G$47,MATCH('2020 Regional ISO'!$E30,'2014'!$B$25:$B$47,0))</f>
        <v>0.97437868306430953</v>
      </c>
      <c r="S30" s="194">
        <f t="shared" si="6"/>
        <v>0.97437868306430953</v>
      </c>
      <c r="T30" s="198">
        <f t="shared" si="1"/>
        <v>1022.1232385344607</v>
      </c>
      <c r="U30" s="198">
        <f t="shared" si="2"/>
        <v>31.203920061491139</v>
      </c>
      <c r="V30" s="198">
        <f t="shared" si="3"/>
        <v>0</v>
      </c>
      <c r="W30" s="198">
        <f t="shared" si="7"/>
        <v>0</v>
      </c>
      <c r="X30" s="198">
        <f t="shared" si="4"/>
        <v>31.203920061491139</v>
      </c>
      <c r="Y30" s="236">
        <v>147.42890211640213</v>
      </c>
      <c r="Z30" s="236">
        <f t="shared" si="8"/>
        <v>31.203920061491139</v>
      </c>
      <c r="AA30" s="198">
        <f t="shared" si="5"/>
        <v>0</v>
      </c>
      <c r="AB30" s="237"/>
      <c r="AC30" s="233"/>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row>
    <row r="31" spans="1:52" x14ac:dyDescent="0.25">
      <c r="A31" s="72" t="s">
        <v>29</v>
      </c>
      <c r="B31" s="72" t="s">
        <v>48</v>
      </c>
      <c r="C31" s="104"/>
      <c r="D31" s="245" t="s">
        <v>136</v>
      </c>
      <c r="E31" s="233" t="s">
        <v>10</v>
      </c>
      <c r="F31" s="237" t="s">
        <v>35</v>
      </c>
      <c r="G31" s="235">
        <v>1.1200000000000001</v>
      </c>
      <c r="H31" s="235">
        <v>1.161</v>
      </c>
      <c r="I31" s="236">
        <v>2935</v>
      </c>
      <c r="J31" s="194">
        <f>INDEX('2006'!$G$25:$G$47,MATCH('2020 Regional ISO'!$E31,'2006'!$B$25:$B$47,0))</f>
        <v>0.96429056347589948</v>
      </c>
      <c r="K31" s="194">
        <f>INDEX('2007'!$G$25:$G$47,MATCH('2020 Regional ISO'!$E31,'2007'!$B$25:$B$47,0))</f>
        <v>0.96936351131674381</v>
      </c>
      <c r="L31" s="194">
        <f>INDEX('2008'!$G$25:$G$47,MATCH('2020 Regional ISO'!$E31,'2008'!$B$25:$B$47,0))</f>
        <v>0.98249935182784542</v>
      </c>
      <c r="M31" s="194">
        <f>INDEX('2009'!$G$25:$G$47,MATCH('2020 Regional ISO'!$E31,'2009'!$B$25:$B$47,0))</f>
        <v>0.93510091017016228</v>
      </c>
      <c r="N31" s="194">
        <f>INDEX('2010'!$G$25:$G$47,MATCH('2020 Regional ISO'!$E31,'2010'!$B$25:$B$47,0))</f>
        <v>0.97994450050454085</v>
      </c>
      <c r="O31" s="194">
        <f>INDEX('2011'!$G$25:$G$47,MATCH('2020 Regional ISO'!$E31,'2011'!$B$25:$B$47,0))</f>
        <v>0.89682139253279514</v>
      </c>
      <c r="P31" s="194">
        <f>INDEX('2012'!$G$25:$G$47,MATCH('2020 Regional ISO'!$E31,'2012'!$B$25:$B$47,0))</f>
        <v>0.92971762657046897</v>
      </c>
      <c r="Q31" s="194">
        <f>INDEX('2013'!$G$25:$G$47,MATCH('2020 Regional ISO'!$E31,'2013'!$B$25:$B$47,0))</f>
        <v>0.89850854856311391</v>
      </c>
      <c r="R31" s="194">
        <f>INDEX('2014'!$G$25:$G$47,MATCH('2020 Regional ISO'!$E31,'2014'!$B$25:$B$47,0))</f>
        <v>0.89762057877813506</v>
      </c>
      <c r="S31" s="194">
        <f t="shared" si="6"/>
        <v>0.93510091017016228</v>
      </c>
      <c r="T31" s="198">
        <f t="shared" si="1"/>
        <v>2744.5211713494264</v>
      </c>
      <c r="U31" s="198">
        <f t="shared" si="2"/>
        <v>221.14592006331608</v>
      </c>
      <c r="V31" s="198">
        <f t="shared" si="3"/>
        <v>120.33499999999978</v>
      </c>
      <c r="W31" s="198">
        <f t="shared" si="7"/>
        <v>120.33499999999978</v>
      </c>
      <c r="X31" s="198">
        <f t="shared" si="4"/>
        <v>100.8109200633163</v>
      </c>
      <c r="Y31" s="236">
        <v>1148.8403953420102</v>
      </c>
      <c r="Z31" s="236">
        <f t="shared" si="8"/>
        <v>100.8109200633163</v>
      </c>
      <c r="AA31" s="198">
        <f t="shared" si="5"/>
        <v>0</v>
      </c>
      <c r="AB31" s="237"/>
      <c r="AC31" s="233"/>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row>
    <row r="32" spans="1:52" x14ac:dyDescent="0.25">
      <c r="A32" s="72" t="s">
        <v>29</v>
      </c>
      <c r="B32" s="72" t="s">
        <v>48</v>
      </c>
      <c r="C32" s="104"/>
      <c r="D32" s="245" t="s">
        <v>137</v>
      </c>
      <c r="E32" s="233" t="s">
        <v>12</v>
      </c>
      <c r="F32" s="237" t="s">
        <v>35</v>
      </c>
      <c r="G32" s="235">
        <v>1.161</v>
      </c>
      <c r="H32" s="235">
        <v>1.161</v>
      </c>
      <c r="I32" s="236">
        <v>7431</v>
      </c>
      <c r="J32" s="194">
        <f>INDEX('2006'!$G$25:$G$47,MATCH('2020 Regional ISO'!$E32,'2006'!$B$25:$B$47,0))</f>
        <v>0.99539532794249774</v>
      </c>
      <c r="K32" s="194">
        <f>INDEX('2007'!$G$25:$G$47,MATCH('2020 Regional ISO'!$E32,'2007'!$B$25:$B$47,0))</f>
        <v>0.9935734568823793</v>
      </c>
      <c r="L32" s="194">
        <f>INDEX('2008'!$G$25:$G$47,MATCH('2020 Regional ISO'!$E32,'2008'!$B$25:$B$47,0))</f>
        <v>0.99923997719931601</v>
      </c>
      <c r="M32" s="194">
        <f>INDEX('2009'!$G$25:$G$47,MATCH('2020 Regional ISO'!$E32,'2009'!$B$25:$B$47,0))</f>
        <v>0.99358006042296076</v>
      </c>
      <c r="N32" s="194">
        <f>INDEX('2010'!$G$25:$G$47,MATCH('2020 Regional ISO'!$E32,'2010'!$B$25:$B$47,0))</f>
        <v>0.99189564680456932</v>
      </c>
      <c r="O32" s="194">
        <f>INDEX('2011'!$G$25:$G$47,MATCH('2020 Regional ISO'!$E32,'2011'!$B$25:$B$47,0))</f>
        <v>0.99752314903021755</v>
      </c>
      <c r="P32" s="194">
        <f>INDEX('2012'!$G$25:$G$47,MATCH('2020 Regional ISO'!$E32,'2012'!$B$25:$B$47,0))</f>
        <v>0.9986965103720532</v>
      </c>
      <c r="Q32" s="194">
        <f>INDEX('2013'!$G$25:$G$47,MATCH('2020 Regional ISO'!$E32,'2013'!$B$25:$B$47,0))</f>
        <v>1</v>
      </c>
      <c r="R32" s="194">
        <f>INDEX('2014'!$G$25:$G$47,MATCH('2020 Regional ISO'!$E32,'2014'!$B$25:$B$47,0))</f>
        <v>0.99930015838520758</v>
      </c>
      <c r="S32" s="194">
        <f t="shared" si="6"/>
        <v>0.99752314903021755</v>
      </c>
      <c r="T32" s="198">
        <f t="shared" si="1"/>
        <v>7412.5945204435466</v>
      </c>
      <c r="U32" s="198">
        <f t="shared" si="2"/>
        <v>21.368761765042393</v>
      </c>
      <c r="V32" s="198">
        <f t="shared" si="3"/>
        <v>0</v>
      </c>
      <c r="W32" s="198">
        <f t="shared" si="7"/>
        <v>0</v>
      </c>
      <c r="X32" s="198">
        <f t="shared" si="4"/>
        <v>21.368761765042393</v>
      </c>
      <c r="Y32" s="236">
        <v>961.1537466586185</v>
      </c>
      <c r="Z32" s="236">
        <f t="shared" si="8"/>
        <v>21.368761765042393</v>
      </c>
      <c r="AA32" s="198">
        <f t="shared" si="5"/>
        <v>0</v>
      </c>
      <c r="AB32" s="237"/>
      <c r="AC32" s="233"/>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row>
    <row r="33" spans="1:52" x14ac:dyDescent="0.25">
      <c r="A33" s="72" t="s">
        <v>29</v>
      </c>
      <c r="B33" s="72" t="s">
        <v>48</v>
      </c>
      <c r="C33" s="104"/>
      <c r="D33" s="245" t="s">
        <v>138</v>
      </c>
      <c r="E33" s="233" t="s">
        <v>15</v>
      </c>
      <c r="F33" s="237" t="s">
        <v>35</v>
      </c>
      <c r="G33" s="149">
        <v>1.1499999999999999</v>
      </c>
      <c r="H33" s="149">
        <v>1.161</v>
      </c>
      <c r="I33" s="236">
        <v>3540</v>
      </c>
      <c r="J33" s="194">
        <f>INDEX('2006'!$G$25:$G$47,MATCH('2020 Regional ISO'!$E33,'2006'!$B$25:$B$47,0))</f>
        <v>0.99099622422306133</v>
      </c>
      <c r="K33" s="194">
        <f>INDEX('2007'!$G$25:$G$47,MATCH('2020 Regional ISO'!$E33,'2007'!$B$25:$B$47,0))</f>
        <v>0.97869923317239416</v>
      </c>
      <c r="L33" s="194">
        <f>INDEX('2008'!$G$25:$G$47,MATCH('2020 Regional ISO'!$E33,'2008'!$B$25:$B$47,0))</f>
        <v>0.9956252579446967</v>
      </c>
      <c r="M33" s="194">
        <f>INDEX('2009'!$G$25:$G$47,MATCH('2020 Regional ISO'!$E33,'2009'!$B$25:$B$47,0))</f>
        <v>0.98443083205717208</v>
      </c>
      <c r="N33" s="194">
        <f>INDEX('2010'!$G$25:$G$47,MATCH('2020 Regional ISO'!$E33,'2010'!$B$25:$B$47,0))</f>
        <v>0.99544739673868055</v>
      </c>
      <c r="O33" s="194">
        <f>INDEX('2011'!$G$25:$G$47,MATCH('2020 Regional ISO'!$E33,'2011'!$B$25:$B$47,0))</f>
        <v>0.98626737260092656</v>
      </c>
      <c r="P33" s="194">
        <f>INDEX('2012'!$G$25:$G$47,MATCH('2020 Regional ISO'!$E33,'2012'!$B$25:$B$47,0))</f>
        <v>0.9777202937249666</v>
      </c>
      <c r="Q33" s="194">
        <f>INDEX('2013'!$G$25:$G$47,MATCH('2020 Regional ISO'!$E33,'2013'!$B$25:$B$47,0))</f>
        <v>0.98285578220493686</v>
      </c>
      <c r="R33" s="194">
        <f>INDEX('2014'!$G$25:$G$47,MATCH('2020 Regional ISO'!$E33,'2014'!$B$25:$B$47,0))</f>
        <v>0.90348563689500316</v>
      </c>
      <c r="S33" s="194">
        <f t="shared" si="6"/>
        <v>0.98443083205717208</v>
      </c>
      <c r="T33" s="198">
        <f t="shared" si="1"/>
        <v>3484.8851454823894</v>
      </c>
      <c r="U33" s="198">
        <f t="shared" si="2"/>
        <v>63.988346094946195</v>
      </c>
      <c r="V33" s="198">
        <f t="shared" si="3"/>
        <v>38.940000000000424</v>
      </c>
      <c r="W33" s="198">
        <f t="shared" si="7"/>
        <v>38.940000000000424</v>
      </c>
      <c r="X33" s="198">
        <f t="shared" si="4"/>
        <v>25.048346094945771</v>
      </c>
      <c r="Y33" s="236">
        <v>457.87703716478399</v>
      </c>
      <c r="Z33" s="236">
        <f t="shared" si="8"/>
        <v>25.048346094945771</v>
      </c>
      <c r="AA33" s="198">
        <f t="shared" si="5"/>
        <v>0</v>
      </c>
      <c r="AB33" s="237"/>
      <c r="AC33" s="233"/>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row>
    <row r="34" spans="1:52" ht="6" customHeight="1" x14ac:dyDescent="0.25">
      <c r="D34" s="234"/>
      <c r="E34" s="234"/>
      <c r="F34" s="239"/>
      <c r="G34" s="148"/>
      <c r="H34" s="148"/>
      <c r="I34" s="240"/>
      <c r="J34" s="212"/>
      <c r="K34" s="212"/>
      <c r="L34" s="212"/>
      <c r="M34" s="212"/>
      <c r="N34" s="212"/>
      <c r="O34" s="212"/>
      <c r="P34" s="212"/>
      <c r="Q34" s="212"/>
      <c r="R34" s="212"/>
      <c r="S34" s="212"/>
      <c r="T34" s="211"/>
      <c r="U34" s="211"/>
      <c r="V34" s="211"/>
      <c r="W34" s="211"/>
      <c r="X34" s="211"/>
      <c r="Y34" s="240"/>
      <c r="Z34" s="240"/>
      <c r="AA34" s="211"/>
      <c r="AB34" s="237"/>
      <c r="AC34" s="233"/>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row>
    <row r="35" spans="1:52" ht="6" customHeight="1" x14ac:dyDescent="0.25">
      <c r="D35" s="233"/>
      <c r="E35" s="233"/>
      <c r="F35" s="237"/>
      <c r="G35" s="149"/>
      <c r="H35" s="149"/>
      <c r="I35" s="236"/>
      <c r="J35" s="194"/>
      <c r="K35" s="194"/>
      <c r="L35" s="194"/>
      <c r="M35" s="194"/>
      <c r="N35" s="194"/>
      <c r="O35" s="194"/>
      <c r="P35" s="194"/>
      <c r="Q35" s="194"/>
      <c r="R35" s="194"/>
      <c r="S35" s="194"/>
      <c r="T35" s="198"/>
      <c r="U35" s="198"/>
      <c r="V35" s="198"/>
      <c r="W35" s="198"/>
      <c r="X35" s="198"/>
      <c r="Y35" s="236"/>
      <c r="Z35" s="236"/>
      <c r="AA35" s="198"/>
      <c r="AB35" s="237"/>
      <c r="AC35" s="233"/>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row>
    <row r="36" spans="1:52" x14ac:dyDescent="0.25">
      <c r="D36" s="233"/>
      <c r="E36" s="189" t="s">
        <v>72</v>
      </c>
      <c r="F36" s="237"/>
      <c r="G36" s="149"/>
      <c r="H36" s="149"/>
      <c r="I36" s="238">
        <f>SUM(I11:I33)</f>
        <v>135517.31708772914</v>
      </c>
      <c r="J36" s="203"/>
      <c r="K36" s="203"/>
      <c r="L36" s="203"/>
      <c r="M36" s="203"/>
      <c r="N36" s="203"/>
      <c r="O36" s="203"/>
      <c r="P36" s="203"/>
      <c r="Q36" s="203"/>
      <c r="R36" s="203"/>
      <c r="S36" s="203"/>
      <c r="T36" s="247">
        <f t="shared" ref="T36:AA36" si="9">SUM(T11:T33)</f>
        <v>130557.11024033571</v>
      </c>
      <c r="U36" s="247">
        <f t="shared" si="9"/>
        <v>5726.3146026799141</v>
      </c>
      <c r="V36" s="247">
        <f>SUM(V11:V33)</f>
        <v>4596.2189999999982</v>
      </c>
      <c r="W36" s="247">
        <f>SUM(W11:W33)</f>
        <v>4136.1659081169601</v>
      </c>
      <c r="X36" s="247">
        <f>SUM(X11:X33)</f>
        <v>1590.1486945629556</v>
      </c>
      <c r="Y36" s="238">
        <f t="shared" si="9"/>
        <v>17972.804405342024</v>
      </c>
      <c r="Z36" s="238">
        <f t="shared" si="9"/>
        <v>885.62566583367493</v>
      </c>
      <c r="AA36" s="247">
        <f t="shared" si="9"/>
        <v>704.52302872928067</v>
      </c>
      <c r="AB36" s="237"/>
      <c r="AC36" s="233"/>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row>
    <row r="37" spans="1:52" ht="6" customHeight="1" x14ac:dyDescent="0.25">
      <c r="D37" s="234"/>
      <c r="E37" s="234"/>
      <c r="F37" s="239"/>
      <c r="G37" s="148"/>
      <c r="H37" s="148"/>
      <c r="I37" s="240"/>
      <c r="J37" s="212"/>
      <c r="K37" s="212"/>
      <c r="L37" s="212"/>
      <c r="M37" s="212"/>
      <c r="N37" s="212"/>
      <c r="O37" s="212"/>
      <c r="P37" s="212"/>
      <c r="Q37" s="212"/>
      <c r="R37" s="212"/>
      <c r="S37" s="212"/>
      <c r="T37" s="211"/>
      <c r="U37" s="211"/>
      <c r="V37" s="211"/>
      <c r="W37" s="211"/>
      <c r="X37" s="211"/>
      <c r="Y37" s="240"/>
      <c r="Z37" s="240"/>
      <c r="AA37" s="211"/>
      <c r="AB37" s="237"/>
      <c r="AC37" s="233"/>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row>
    <row r="38" spans="1:52" ht="6" customHeight="1" x14ac:dyDescent="0.25">
      <c r="D38" s="233"/>
      <c r="E38" s="233"/>
      <c r="F38" s="237"/>
      <c r="G38" s="149"/>
      <c r="H38" s="149"/>
      <c r="I38" s="236"/>
      <c r="J38" s="194"/>
      <c r="K38" s="194"/>
      <c r="L38" s="194"/>
      <c r="M38" s="194"/>
      <c r="N38" s="194"/>
      <c r="O38" s="194"/>
      <c r="P38" s="194"/>
      <c r="Q38" s="194"/>
      <c r="R38" s="194"/>
      <c r="S38" s="194"/>
      <c r="T38" s="198"/>
      <c r="U38" s="198"/>
      <c r="V38" s="198"/>
      <c r="W38" s="198"/>
      <c r="X38" s="198"/>
      <c r="Y38" s="236"/>
      <c r="Z38" s="236"/>
      <c r="AA38" s="198"/>
      <c r="AB38" s="237"/>
      <c r="AC38" s="233"/>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row>
    <row r="39" spans="1:52" x14ac:dyDescent="0.25">
      <c r="A39" s="72" t="s">
        <v>26</v>
      </c>
      <c r="C39" s="72" t="s">
        <v>37</v>
      </c>
      <c r="D39" s="248"/>
      <c r="E39" s="233" t="s">
        <v>37</v>
      </c>
      <c r="F39" s="237" t="s">
        <v>48</v>
      </c>
      <c r="G39" s="149">
        <v>1.1499999999999999</v>
      </c>
      <c r="H39" s="149">
        <v>1.1499999999999999</v>
      </c>
      <c r="I39" s="236">
        <v>53107.979089657572</v>
      </c>
      <c r="J39" s="194">
        <f>INDEX('2006'!$G$50:$G$53,MATCH('2020 Regional ISO'!$E39,'2006'!$B$50:$B$53,0))</f>
        <v>0.99769891022175361</v>
      </c>
      <c r="K39" s="194">
        <f>INDEX('2007'!$G$50:$G$53,MATCH('2020 Regional ISO'!$E39,'2007'!$B$50:$B$53,0))</f>
        <v>0.99017186159882786</v>
      </c>
      <c r="L39" s="194">
        <f>INDEX('2008'!$G$50:$G$53,MATCH('2020 Regional ISO'!$E39,'2008'!$B$50:$B$53,0))</f>
        <v>0.97865618333053672</v>
      </c>
      <c r="M39" s="194">
        <f>INDEX('2009'!$G$50:$G$53,MATCH('2020 Regional ISO'!$E39,'2009'!$B$50:$B$53,0))</f>
        <v>0.93352348278256347</v>
      </c>
      <c r="N39" s="194">
        <f>INDEX('2010'!$G$50:$G$53,MATCH('2020 Regional ISO'!$E39,'2010'!$B$50:$B$53,0))</f>
        <v>0.97805342146300989</v>
      </c>
      <c r="O39" s="194">
        <f>INDEX('2011'!$G$50:$G$53,MATCH('2020 Regional ISO'!$E39,'2011'!$B$50:$B$53,0))</f>
        <v>0.93659679709197663</v>
      </c>
      <c r="P39" s="194">
        <f>INDEX('2012'!$G$50:$G$53,MATCH('2020 Regional ISO'!$E39,'2012'!$B$50:$B$53,0))</f>
        <v>0.99803372530113876</v>
      </c>
      <c r="Q39" s="194">
        <f>INDEX('2013'!$G$50:$G$53,MATCH('2020 Regional ISO'!$E39,'2013'!$B$50:$B$53,0))</f>
        <v>0.99526920755160864</v>
      </c>
      <c r="R39" s="194">
        <f>INDEX('2014'!$G$50:$G$53,MATCH('2020 Regional ISO'!$E39,'2014'!$B$50:$B$53,0))</f>
        <v>0.96858401335435773</v>
      </c>
      <c r="S39" s="194">
        <f t="shared" ref="S39:S42" si="10">MEDIAN(J39:R39)</f>
        <v>0.97865618333053672</v>
      </c>
      <c r="T39" s="198">
        <f>S39*I39</f>
        <v>51974.452120282229</v>
      </c>
      <c r="U39" s="198">
        <f>I39*H39*(1-S39)</f>
        <v>1303.5560147816416</v>
      </c>
      <c r="V39" s="198"/>
      <c r="W39" s="198"/>
      <c r="X39" s="198">
        <f>I39*(G39-S39*H39)</f>
        <v>1303.5560147816434</v>
      </c>
      <c r="Y39" s="236">
        <v>10104.531190578016</v>
      </c>
      <c r="Z39" s="236">
        <f>MIN(X39,Y39)</f>
        <v>1303.5560147816434</v>
      </c>
      <c r="AA39" s="198">
        <f>X39-Z39</f>
        <v>0</v>
      </c>
      <c r="AB39" s="237"/>
      <c r="AC39" s="233"/>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row>
    <row r="40" spans="1:52" x14ac:dyDescent="0.25">
      <c r="A40" s="72" t="s">
        <v>27</v>
      </c>
      <c r="C40" s="72" t="s">
        <v>48</v>
      </c>
      <c r="D40" s="248"/>
      <c r="E40" s="233" t="s">
        <v>36</v>
      </c>
      <c r="F40" s="237" t="s">
        <v>48</v>
      </c>
      <c r="G40" s="149">
        <v>1.1539999999999999</v>
      </c>
      <c r="H40" s="149">
        <v>1.1539999999999999</v>
      </c>
      <c r="I40" s="236">
        <v>44624.57621507156</v>
      </c>
      <c r="J40" s="194">
        <f>INDEX('2006'!$G$50:$G$53,MATCH('2020 Regional ISO'!$E40,'2006'!$B$50:$B$53,0))</f>
        <v>0.99845827565660039</v>
      </c>
      <c r="K40" s="194">
        <f>INDEX('2007'!$G$50:$G$53,MATCH('2020 Regional ISO'!$E40,'2007'!$B$50:$B$53,0))</f>
        <v>0.93704610707650737</v>
      </c>
      <c r="L40" s="194">
        <f>INDEX('2008'!$G$50:$G$53,MATCH('2020 Regional ISO'!$E40,'2008'!$B$50:$B$53,0))</f>
        <v>0.9390681976483608</v>
      </c>
      <c r="M40" s="194">
        <f>INDEX('2009'!$G$50:$G$53,MATCH('2020 Regional ISO'!$E40,'2009'!$B$50:$B$53,0))</f>
        <v>0.99244053319543524</v>
      </c>
      <c r="N40" s="194">
        <f>INDEX('2010'!$G$50:$G$53,MATCH('2020 Regional ISO'!$E40,'2010'!$B$50:$B$53,0))</f>
        <v>0.99105883452842636</v>
      </c>
      <c r="O40" s="194">
        <f>INDEX('2011'!$G$50:$G$53,MATCH('2020 Regional ISO'!$E40,'2011'!$B$50:$B$53,0))</f>
        <v>0.99386432183962115</v>
      </c>
      <c r="P40" s="194">
        <f>INDEX('2012'!$G$50:$G$53,MATCH('2020 Regional ISO'!$E40,'2012'!$B$50:$B$53,0))</f>
        <v>0.98871397064523014</v>
      </c>
      <c r="Q40" s="194">
        <f>INDEX('2013'!$G$50:$G$53,MATCH('2020 Regional ISO'!$E40,'2013'!$B$50:$B$53,0))</f>
        <v>0.96863596454373635</v>
      </c>
      <c r="R40" s="194">
        <f>INDEX('2014'!$G$50:$G$53,MATCH('2020 Regional ISO'!$E40,'2014'!$B$50:$B$53,0))</f>
        <v>0.98549116258678782</v>
      </c>
      <c r="S40" s="194">
        <f t="shared" si="10"/>
        <v>0.98871397064523014</v>
      </c>
      <c r="T40" s="198">
        <f>S40*I40</f>
        <v>44120.941937964097</v>
      </c>
      <c r="U40" s="198">
        <f>I40*H40*(1-S40)</f>
        <v>581.19395578201147</v>
      </c>
      <c r="V40" s="198"/>
      <c r="W40" s="198"/>
      <c r="X40" s="198">
        <f>I40*(G40-S40*H40)</f>
        <v>581.19395578201511</v>
      </c>
      <c r="Y40" s="236">
        <v>12609.468809421989</v>
      </c>
      <c r="Z40" s="236">
        <f>MIN(X40,Y40)</f>
        <v>581.19395578201511</v>
      </c>
      <c r="AA40" s="198">
        <f>X40-Z40</f>
        <v>0</v>
      </c>
      <c r="AB40" s="237"/>
      <c r="AC40" s="233"/>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row>
    <row r="41" spans="1:52" x14ac:dyDescent="0.25">
      <c r="A41" s="72" t="s">
        <v>28</v>
      </c>
      <c r="C41" s="72" t="s">
        <v>48</v>
      </c>
      <c r="D41" s="248"/>
      <c r="E41" s="233" t="s">
        <v>38</v>
      </c>
      <c r="F41" s="237" t="s">
        <v>48</v>
      </c>
      <c r="G41" s="149">
        <v>1.139</v>
      </c>
      <c r="H41" s="149">
        <v>1.139</v>
      </c>
      <c r="I41" s="236">
        <v>8740</v>
      </c>
      <c r="J41" s="194">
        <f>INDEX('2006'!$G$50:$G$53,MATCH('2020 Regional ISO'!$E41,'2006'!$B$50:$B$53,0))</f>
        <v>0.9511203616377768</v>
      </c>
      <c r="K41" s="194">
        <f>INDEX('2007'!$G$50:$G$53,MATCH('2020 Regional ISO'!$E41,'2007'!$B$50:$B$53,0))</f>
        <v>0.79611020067406701</v>
      </c>
      <c r="L41" s="194">
        <f>INDEX('2008'!$G$50:$G$53,MATCH('2020 Regional ISO'!$E41,'2008'!$B$50:$B$53,0))</f>
        <v>0.77944055060933259</v>
      </c>
      <c r="M41" s="194">
        <f>INDEX('2009'!$G$50:$G$53,MATCH('2020 Regional ISO'!$E41,'2009'!$B$50:$B$53,0))</f>
        <v>0.85900141863603341</v>
      </c>
      <c r="N41" s="194">
        <f>INDEX('2010'!$G$50:$G$53,MATCH('2020 Regional ISO'!$E41,'2010'!$B$50:$B$53,0))</f>
        <v>0.93007062568387544</v>
      </c>
      <c r="O41" s="194">
        <f>INDEX('2011'!$G$50:$G$53,MATCH('2020 Regional ISO'!$E41,'2011'!$B$50:$B$53,0))</f>
        <v>0.90666151518078497</v>
      </c>
      <c r="P41" s="194">
        <f>INDEX('2012'!$G$50:$G$53,MATCH('2020 Regional ISO'!$E41,'2012'!$B$50:$B$53,0))</f>
        <v>0.71535330407683018</v>
      </c>
      <c r="Q41" s="194">
        <f>INDEX('2013'!$G$50:$G$53,MATCH('2020 Regional ISO'!$E41,'2013'!$B$50:$B$53,0))</f>
        <v>0.83614693877551016</v>
      </c>
      <c r="R41" s="194">
        <f>INDEX('2014'!$G$50:$G$53,MATCH('2020 Regional ISO'!$E41,'2014'!$B$50:$B$53,0))</f>
        <v>0.67624780197484102</v>
      </c>
      <c r="S41" s="194">
        <f t="shared" si="10"/>
        <v>0.83614693877551016</v>
      </c>
      <c r="T41" s="198">
        <f>S41*I41</f>
        <v>7307.9242448979585</v>
      </c>
      <c r="U41" s="198">
        <f>I41*H41*(1-S41)</f>
        <v>1631.134285061225</v>
      </c>
      <c r="V41" s="198"/>
      <c r="W41" s="198"/>
      <c r="X41" s="198">
        <f>I41*(G41-S41*H41)</f>
        <v>1631.1342850612245</v>
      </c>
      <c r="Y41" s="236">
        <v>496.31867788837758</v>
      </c>
      <c r="Z41" s="236">
        <f>MIN(X41,Y41)</f>
        <v>496.31867788837758</v>
      </c>
      <c r="AA41" s="198">
        <f>X41-Z41</f>
        <v>1134.815607172847</v>
      </c>
      <c r="AB41" s="237"/>
      <c r="AC41" s="233"/>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row>
    <row r="42" spans="1:52" x14ac:dyDescent="0.25">
      <c r="A42" s="72" t="s">
        <v>29</v>
      </c>
      <c r="C42" s="72" t="s">
        <v>48</v>
      </c>
      <c r="D42" s="248"/>
      <c r="E42" s="233" t="s">
        <v>35</v>
      </c>
      <c r="F42" s="237" t="s">
        <v>48</v>
      </c>
      <c r="G42" s="149">
        <v>1.161</v>
      </c>
      <c r="H42" s="149">
        <v>1.161</v>
      </c>
      <c r="I42" s="236">
        <v>24084.554935606597</v>
      </c>
      <c r="J42" s="194">
        <f>INDEX('2006'!$G$50:$G$53,MATCH('2020 Regional ISO'!$E42,'2006'!$B$50:$B$53,0))</f>
        <v>0.98313527787780575</v>
      </c>
      <c r="K42" s="194">
        <f>INDEX('2007'!$G$50:$G$53,MATCH('2020 Regional ISO'!$E42,'2007'!$B$50:$B$53,0))</f>
        <v>0.97651602751320232</v>
      </c>
      <c r="L42" s="194">
        <f>INDEX('2008'!$G$50:$G$53,MATCH('2020 Regional ISO'!$E42,'2008'!$B$50:$B$53,0))</f>
        <v>0.94697662112757364</v>
      </c>
      <c r="M42" s="194">
        <f>INDEX('2009'!$G$50:$G$53,MATCH('2020 Regional ISO'!$E42,'2009'!$B$50:$B$53,0))</f>
        <v>0.99564665921403384</v>
      </c>
      <c r="N42" s="194">
        <f>INDEX('2010'!$G$50:$G$53,MATCH('2020 Regional ISO'!$E42,'2010'!$B$50:$B$53,0))</f>
        <v>0.9405647615826852</v>
      </c>
      <c r="O42" s="194">
        <f>INDEX('2011'!$G$50:$G$53,MATCH('2020 Regional ISO'!$E42,'2011'!$B$50:$B$53,0))</f>
        <v>0.99219770562667742</v>
      </c>
      <c r="P42" s="194">
        <f>INDEX('2012'!$G$50:$G$53,MATCH('2020 Regional ISO'!$E42,'2012'!$B$50:$B$53,0))</f>
        <v>0.97216578387964347</v>
      </c>
      <c r="Q42" s="194">
        <f>INDEX('2013'!$G$50:$G$53,MATCH('2020 Regional ISO'!$E42,'2013'!$B$50:$B$53,0))</f>
        <v>0.96371469750628558</v>
      </c>
      <c r="R42" s="194">
        <f>INDEX('2014'!$G$50:$G$53,MATCH('2020 Regional ISO'!$E42,'2014'!$B$50:$B$53,0))</f>
        <v>0.94344825967564017</v>
      </c>
      <c r="S42" s="194">
        <f t="shared" si="10"/>
        <v>0.97216578387964347</v>
      </c>
      <c r="T42" s="198">
        <f>S42*I42</f>
        <v>23414.180228366324</v>
      </c>
      <c r="U42" s="198">
        <f>I42*H42*(1-S42)</f>
        <v>778.30503510595747</v>
      </c>
      <c r="V42" s="198"/>
      <c r="W42" s="198"/>
      <c r="X42" s="198">
        <f>I42*(G42-S42*H42)</f>
        <v>778.30503510595588</v>
      </c>
      <c r="Y42" s="236">
        <v>5573.4701917795765</v>
      </c>
      <c r="Z42" s="236">
        <f>MIN(X42,Y42)</f>
        <v>778.30503510595588</v>
      </c>
      <c r="AA42" s="198">
        <f>X42-Z42</f>
        <v>0</v>
      </c>
      <c r="AB42" s="237"/>
      <c r="AC42" s="233"/>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row>
    <row r="43" spans="1:52" ht="6" customHeight="1" x14ac:dyDescent="0.25">
      <c r="D43" s="234"/>
      <c r="E43" s="234"/>
      <c r="F43" s="239"/>
      <c r="G43" s="148"/>
      <c r="H43" s="148"/>
      <c r="I43" s="240"/>
      <c r="J43" s="212"/>
      <c r="K43" s="212"/>
      <c r="L43" s="212"/>
      <c r="M43" s="212"/>
      <c r="N43" s="212"/>
      <c r="O43" s="212"/>
      <c r="P43" s="212"/>
      <c r="Q43" s="212"/>
      <c r="R43" s="212"/>
      <c r="S43" s="212"/>
      <c r="T43" s="211"/>
      <c r="U43" s="211"/>
      <c r="V43" s="211"/>
      <c r="W43" s="211"/>
      <c r="X43" s="211"/>
      <c r="Y43" s="240"/>
      <c r="Z43" s="240"/>
      <c r="AA43" s="211"/>
      <c r="AB43" s="237"/>
      <c r="AC43" s="233"/>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row>
    <row r="44" spans="1:52" ht="6" customHeight="1" x14ac:dyDescent="0.25">
      <c r="D44" s="233"/>
      <c r="E44" s="233"/>
      <c r="F44" s="237"/>
      <c r="G44" s="149"/>
      <c r="H44" s="149"/>
      <c r="I44" s="236"/>
      <c r="J44" s="194"/>
      <c r="K44" s="194"/>
      <c r="L44" s="194"/>
      <c r="M44" s="194"/>
      <c r="N44" s="194"/>
      <c r="O44" s="194"/>
      <c r="P44" s="194"/>
      <c r="Q44" s="194"/>
      <c r="R44" s="194"/>
      <c r="S44" s="194"/>
      <c r="T44" s="198"/>
      <c r="U44" s="198"/>
      <c r="V44" s="198"/>
      <c r="W44" s="198"/>
      <c r="X44" s="198"/>
      <c r="Y44" s="236"/>
      <c r="Z44" s="236"/>
      <c r="AA44" s="198"/>
      <c r="AB44" s="237"/>
      <c r="AC44" s="233"/>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row>
    <row r="45" spans="1:52" x14ac:dyDescent="0.25">
      <c r="D45" s="233"/>
      <c r="E45" s="189" t="s">
        <v>73</v>
      </c>
      <c r="F45" s="237"/>
      <c r="G45" s="149"/>
      <c r="H45" s="149"/>
      <c r="I45" s="238">
        <f t="shared" ref="I45" si="11">SUM(I39:I42)</f>
        <v>130557.11024033572</v>
      </c>
      <c r="J45" s="203"/>
      <c r="K45" s="203"/>
      <c r="L45" s="203"/>
      <c r="M45" s="203"/>
      <c r="N45" s="203"/>
      <c r="O45" s="203"/>
      <c r="P45" s="203"/>
      <c r="Q45" s="203"/>
      <c r="R45" s="203"/>
      <c r="S45" s="203"/>
      <c r="T45" s="247">
        <f>SUM(T39:T42)</f>
        <v>126817.49853151062</v>
      </c>
      <c r="U45" s="247">
        <f>SUM(U39:U42)</f>
        <v>4294.1892907308356</v>
      </c>
      <c r="V45" s="247"/>
      <c r="W45" s="247"/>
      <c r="X45" s="247">
        <f>SUM(X39:X42)</f>
        <v>4294.1892907308384</v>
      </c>
      <c r="Y45" s="238">
        <f t="shared" ref="Y45:AA45" si="12">SUM(Y39:Y42)</f>
        <v>28783.788869667962</v>
      </c>
      <c r="Z45" s="238">
        <f t="shared" si="12"/>
        <v>3159.3736835579921</v>
      </c>
      <c r="AA45" s="247">
        <f t="shared" si="12"/>
        <v>1134.815607172847</v>
      </c>
      <c r="AB45" s="237"/>
      <c r="AC45" s="233"/>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row>
    <row r="46" spans="1:52" ht="6" customHeight="1" thickBot="1" x14ac:dyDescent="0.3">
      <c r="A46" s="226"/>
      <c r="B46" s="226"/>
      <c r="C46" s="226"/>
      <c r="D46" s="187"/>
      <c r="E46" s="187"/>
      <c r="F46" s="187"/>
      <c r="G46" s="144"/>
      <c r="H46" s="144"/>
      <c r="I46" s="209"/>
      <c r="J46" s="206"/>
      <c r="K46" s="206"/>
      <c r="L46" s="206"/>
      <c r="M46" s="206"/>
      <c r="N46" s="206"/>
      <c r="O46" s="206"/>
      <c r="P46" s="206"/>
      <c r="Q46" s="206"/>
      <c r="R46" s="206"/>
      <c r="S46" s="206"/>
      <c r="T46" s="209"/>
      <c r="U46" s="209"/>
      <c r="V46" s="209"/>
      <c r="W46" s="209"/>
      <c r="X46" s="209"/>
      <c r="Y46" s="209"/>
      <c r="Z46" s="209"/>
      <c r="AA46" s="193"/>
      <c r="AB46" s="237"/>
      <c r="AC46" s="233"/>
    </row>
    <row r="47" spans="1:52" ht="6" customHeight="1" thickTop="1" x14ac:dyDescent="0.25">
      <c r="A47" s="226"/>
      <c r="B47" s="226"/>
      <c r="C47" s="226"/>
      <c r="D47" s="233"/>
      <c r="E47" s="233"/>
      <c r="F47" s="233"/>
      <c r="G47" s="250"/>
      <c r="H47" s="250"/>
      <c r="I47" s="197"/>
      <c r="J47" s="202"/>
      <c r="K47" s="202"/>
      <c r="L47" s="202"/>
      <c r="M47" s="202"/>
      <c r="N47" s="202"/>
      <c r="O47" s="202"/>
      <c r="P47" s="202"/>
      <c r="Q47" s="202"/>
      <c r="R47" s="202"/>
      <c r="S47" s="202"/>
      <c r="T47" s="197"/>
      <c r="U47" s="232"/>
      <c r="V47" s="232"/>
      <c r="W47" s="232"/>
      <c r="X47" s="232"/>
      <c r="Y47" s="197"/>
      <c r="Z47" s="197"/>
      <c r="AA47" s="192"/>
      <c r="AB47" s="237"/>
      <c r="AC47" s="233"/>
    </row>
    <row r="48" spans="1:52" x14ac:dyDescent="0.25">
      <c r="D48" s="233" t="s">
        <v>23</v>
      </c>
      <c r="E48" s="233"/>
      <c r="F48" s="233"/>
      <c r="G48" s="250"/>
      <c r="H48" s="250"/>
      <c r="I48" s="197"/>
      <c r="J48" s="202"/>
      <c r="K48" s="202"/>
      <c r="L48" s="202"/>
      <c r="M48" s="202"/>
      <c r="N48" s="202"/>
      <c r="O48" s="202"/>
      <c r="P48" s="202"/>
      <c r="Q48" s="202"/>
      <c r="R48" s="202"/>
      <c r="S48" s="202"/>
      <c r="T48" s="197"/>
      <c r="U48" s="197"/>
      <c r="V48" s="197"/>
      <c r="W48" s="197"/>
      <c r="X48" s="197"/>
      <c r="Y48" s="197"/>
      <c r="Z48" s="197"/>
      <c r="AA48" s="192"/>
      <c r="AB48" s="237"/>
      <c r="AC48" s="233"/>
    </row>
    <row r="49" spans="1:29" x14ac:dyDescent="0.25">
      <c r="D49" s="249" t="str">
        <f>G8</f>
        <v>[1]</v>
      </c>
      <c r="E49" s="190" t="s">
        <v>114</v>
      </c>
      <c r="F49" s="233"/>
      <c r="G49" s="150"/>
      <c r="H49" s="250"/>
      <c r="I49" s="197"/>
      <c r="J49" s="202"/>
      <c r="K49" s="202"/>
      <c r="L49" s="202"/>
      <c r="M49" s="202"/>
      <c r="N49" s="202"/>
      <c r="O49" s="202"/>
      <c r="P49" s="202"/>
      <c r="Q49" s="202"/>
      <c r="R49" s="202"/>
      <c r="S49" s="202"/>
      <c r="T49" s="197"/>
      <c r="U49" s="197"/>
      <c r="V49" s="197"/>
      <c r="W49" s="197"/>
      <c r="X49" s="197"/>
      <c r="Y49" s="197"/>
      <c r="Z49" s="197"/>
      <c r="AA49" s="192"/>
      <c r="AB49" s="237"/>
      <c r="AC49" s="233"/>
    </row>
    <row r="50" spans="1:29" x14ac:dyDescent="0.25">
      <c r="D50" s="249" t="str">
        <f>H8</f>
        <v>[2]</v>
      </c>
      <c r="E50" s="190" t="s">
        <v>63</v>
      </c>
      <c r="F50" s="233"/>
      <c r="G50" s="250"/>
      <c r="H50" s="250"/>
      <c r="I50" s="197"/>
      <c r="J50" s="202"/>
      <c r="K50" s="202"/>
      <c r="L50" s="202"/>
      <c r="M50" s="202"/>
      <c r="N50" s="202"/>
      <c r="O50" s="202"/>
      <c r="P50" s="202"/>
      <c r="Q50" s="202"/>
      <c r="R50" s="202"/>
      <c r="S50" s="202"/>
      <c r="T50" s="197"/>
      <c r="U50" s="232"/>
      <c r="V50" s="232"/>
      <c r="W50" s="232"/>
      <c r="X50" s="232"/>
      <c r="Y50" s="197"/>
      <c r="Z50" s="197"/>
      <c r="AA50" s="192"/>
      <c r="AB50" s="237"/>
      <c r="AC50" s="233"/>
    </row>
    <row r="51" spans="1:29" x14ac:dyDescent="0.25">
      <c r="D51" s="249" t="str">
        <f>I8</f>
        <v>[3]</v>
      </c>
      <c r="E51" s="267" t="s">
        <v>154</v>
      </c>
      <c r="F51" s="233"/>
      <c r="G51" s="250"/>
      <c r="H51" s="250"/>
      <c r="I51" s="197"/>
      <c r="J51" s="202"/>
      <c r="K51" s="202"/>
      <c r="L51" s="202"/>
      <c r="M51" s="202"/>
      <c r="N51" s="202"/>
      <c r="O51" s="202"/>
      <c r="P51" s="202"/>
      <c r="Q51" s="202"/>
      <c r="R51" s="202"/>
      <c r="S51" s="202"/>
      <c r="T51" s="197"/>
      <c r="U51" s="232"/>
      <c r="V51" s="232"/>
      <c r="W51" s="232"/>
      <c r="X51" s="232"/>
      <c r="Y51" s="197"/>
      <c r="Z51" s="197"/>
      <c r="AA51" s="192"/>
      <c r="AB51" s="237"/>
      <c r="AC51" s="233"/>
    </row>
    <row r="52" spans="1:29" s="33" customFormat="1" x14ac:dyDescent="0.25">
      <c r="A52" s="72"/>
      <c r="B52" s="72"/>
      <c r="C52" s="72"/>
      <c r="D52" s="249" t="str">
        <f>S8</f>
        <v>[4]</v>
      </c>
      <c r="E52" s="190" t="s">
        <v>150</v>
      </c>
      <c r="F52" s="190"/>
      <c r="G52" s="250"/>
      <c r="H52" s="250"/>
      <c r="I52" s="197"/>
      <c r="J52" s="213"/>
      <c r="K52" s="213"/>
      <c r="L52" s="213"/>
      <c r="M52" s="213"/>
      <c r="N52" s="213"/>
      <c r="O52" s="213"/>
      <c r="P52" s="213"/>
      <c r="Q52" s="213"/>
      <c r="R52" s="213"/>
      <c r="S52" s="213"/>
      <c r="T52" s="197"/>
      <c r="U52" s="197"/>
      <c r="V52" s="197"/>
      <c r="W52" s="197"/>
      <c r="X52" s="197"/>
      <c r="Y52" s="197"/>
      <c r="Z52" s="197"/>
      <c r="AA52" s="197"/>
      <c r="AB52" s="237"/>
      <c r="AC52" s="190"/>
    </row>
    <row r="53" spans="1:29" s="33" customFormat="1" x14ac:dyDescent="0.25">
      <c r="A53" s="72"/>
      <c r="B53" s="72"/>
      <c r="C53" s="72"/>
      <c r="D53" s="249" t="str">
        <f>T8</f>
        <v>[5]</v>
      </c>
      <c r="E53" s="190" t="str">
        <f>CONCATENATE(S8," * ",I8)</f>
        <v>[4] * [3]</v>
      </c>
      <c r="F53" s="190"/>
      <c r="G53" s="250"/>
      <c r="H53" s="250"/>
      <c r="I53" s="197"/>
      <c r="J53" s="213"/>
      <c r="K53" s="213"/>
      <c r="L53" s="213"/>
      <c r="M53" s="213"/>
      <c r="N53" s="213"/>
      <c r="O53" s="213"/>
      <c r="P53" s="213"/>
      <c r="Q53" s="213"/>
      <c r="R53" s="213"/>
      <c r="S53" s="213"/>
      <c r="T53" s="197"/>
      <c r="U53" s="197"/>
      <c r="V53" s="197"/>
      <c r="W53" s="197"/>
      <c r="X53" s="197"/>
      <c r="Y53" s="197"/>
      <c r="Z53" s="197"/>
      <c r="AA53" s="197"/>
      <c r="AB53" s="237"/>
      <c r="AC53" s="190"/>
    </row>
    <row r="54" spans="1:29" s="33" customFormat="1" x14ac:dyDescent="0.25">
      <c r="A54" s="72"/>
      <c r="B54" s="72"/>
      <c r="C54" s="72"/>
      <c r="D54" s="249" t="str">
        <f>U8</f>
        <v>[6]</v>
      </c>
      <c r="E54" s="190" t="str">
        <f>"MAX( "&amp;H8&amp;" x "&amp;I8&amp;" x (1- "&amp;S8&amp;")"&amp;", 0 )"</f>
        <v>MAX( [2] x [3] x (1- [4]), 0 )</v>
      </c>
      <c r="F54" s="190"/>
      <c r="G54" s="250"/>
      <c r="H54" s="250"/>
      <c r="I54" s="197"/>
      <c r="J54" s="213"/>
      <c r="K54" s="213"/>
      <c r="L54" s="213"/>
      <c r="M54" s="213"/>
      <c r="N54" s="213"/>
      <c r="O54" s="213"/>
      <c r="P54" s="213"/>
      <c r="Q54" s="213"/>
      <c r="R54" s="213"/>
      <c r="S54" s="213"/>
      <c r="T54" s="197"/>
      <c r="U54" s="197"/>
      <c r="V54" s="197"/>
      <c r="W54" s="197"/>
      <c r="X54" s="197"/>
      <c r="Y54" s="197"/>
      <c r="Z54" s="197"/>
      <c r="AA54" s="197"/>
      <c r="AB54" s="237"/>
      <c r="AC54" s="190"/>
    </row>
    <row r="55" spans="1:29" x14ac:dyDescent="0.25">
      <c r="D55" s="249" t="str">
        <f>V8</f>
        <v>[7]</v>
      </c>
      <c r="E55" s="190" t="str">
        <f>"("&amp;H8&amp;" - "&amp;G8&amp;") x "&amp;I8</f>
        <v>([2] - [1]) x [3]</v>
      </c>
      <c r="F55" s="233"/>
      <c r="G55" s="250"/>
      <c r="H55" s="250"/>
      <c r="I55" s="197"/>
      <c r="J55" s="202"/>
      <c r="K55" s="202"/>
      <c r="L55" s="202"/>
      <c r="M55" s="202"/>
      <c r="N55" s="202"/>
      <c r="O55" s="202"/>
      <c r="P55" s="202"/>
      <c r="Q55" s="202"/>
      <c r="R55" s="202"/>
      <c r="S55" s="202"/>
      <c r="T55" s="197"/>
      <c r="U55" s="197"/>
      <c r="V55" s="197"/>
      <c r="W55" s="197"/>
      <c r="X55" s="197"/>
      <c r="Y55" s="197"/>
      <c r="Z55" s="197"/>
      <c r="AA55" s="192"/>
      <c r="AB55" s="237"/>
      <c r="AC55" s="233"/>
    </row>
    <row r="56" spans="1:29" x14ac:dyDescent="0.25">
      <c r="D56" s="249" t="str">
        <f>W8</f>
        <v>[8]</v>
      </c>
      <c r="E56" s="190" t="str">
        <f>CONCATENATE("MIN(", U8,",",V8,")")</f>
        <v>MIN([6],[7])</v>
      </c>
      <c r="F56" s="233"/>
      <c r="G56" s="250"/>
      <c r="H56" s="190"/>
      <c r="I56" s="197"/>
      <c r="J56" s="202"/>
      <c r="K56" s="202"/>
      <c r="L56" s="202"/>
      <c r="M56" s="202"/>
      <c r="N56" s="202"/>
      <c r="O56" s="202"/>
      <c r="P56" s="202"/>
      <c r="Q56" s="202"/>
      <c r="R56" s="202"/>
      <c r="S56" s="202"/>
      <c r="T56" s="197"/>
      <c r="U56" s="197"/>
      <c r="V56" s="197"/>
      <c r="W56" s="197"/>
      <c r="X56" s="197"/>
      <c r="Y56" s="197"/>
      <c r="Z56" s="197"/>
      <c r="AA56" s="192"/>
      <c r="AB56" s="237"/>
      <c r="AC56" s="233"/>
    </row>
    <row r="57" spans="1:29" x14ac:dyDescent="0.25">
      <c r="D57" s="249" t="str">
        <f>X8</f>
        <v>[9]</v>
      </c>
      <c r="E57" s="233" t="str">
        <f>H8&amp;" x (1- "&amp;S8&amp;") x "&amp;I8&amp;" - "&amp;W8</f>
        <v>[2] x (1- [4]) x [3] - [8]</v>
      </c>
      <c r="F57" s="233"/>
      <c r="G57" s="250"/>
      <c r="H57" s="250"/>
      <c r="I57" s="197"/>
      <c r="J57" s="202"/>
      <c r="K57" s="202"/>
      <c r="L57" s="202"/>
      <c r="M57" s="202"/>
      <c r="N57" s="202"/>
      <c r="O57" s="202"/>
      <c r="P57" s="202"/>
      <c r="Q57" s="202"/>
      <c r="R57" s="202"/>
      <c r="S57" s="202"/>
      <c r="T57" s="197"/>
      <c r="U57" s="197"/>
      <c r="V57" s="197"/>
      <c r="W57" s="197"/>
      <c r="X57" s="197"/>
      <c r="Y57" s="197"/>
      <c r="Z57" s="197"/>
      <c r="AA57" s="192"/>
      <c r="AB57" s="237"/>
      <c r="AC57" s="233"/>
    </row>
    <row r="58" spans="1:29" x14ac:dyDescent="0.25">
      <c r="D58" s="251" t="str">
        <f>Y8</f>
        <v>[10]</v>
      </c>
      <c r="E58" s="190" t="s">
        <v>155</v>
      </c>
      <c r="F58" s="190"/>
      <c r="G58" s="250"/>
      <c r="H58" s="250"/>
      <c r="I58" s="197"/>
      <c r="J58" s="213"/>
      <c r="K58" s="213"/>
      <c r="L58" s="213"/>
      <c r="M58" s="213"/>
      <c r="N58" s="213"/>
      <c r="O58" s="213"/>
      <c r="P58" s="213"/>
      <c r="Q58" s="213"/>
      <c r="R58" s="213"/>
      <c r="S58" s="213"/>
      <c r="T58" s="197"/>
      <c r="U58" s="197"/>
      <c r="V58" s="197"/>
      <c r="W58" s="197"/>
      <c r="X58" s="197"/>
      <c r="Y58" s="197"/>
      <c r="Z58" s="197"/>
      <c r="AA58" s="192"/>
      <c r="AB58" s="237"/>
      <c r="AC58" s="233"/>
    </row>
    <row r="59" spans="1:29" x14ac:dyDescent="0.25">
      <c r="D59" s="252" t="str">
        <f>Z8</f>
        <v>[11]</v>
      </c>
      <c r="E59" s="190" t="str">
        <f>CONCATENATE("MAX(MIN(",Y8," - ", W8,",",X8,"), 0)")</f>
        <v>MAX(MIN([10] - [8],[9]), 0)</v>
      </c>
      <c r="F59" s="190"/>
      <c r="G59" s="250"/>
      <c r="H59" s="250"/>
      <c r="I59" s="197"/>
      <c r="J59" s="213"/>
      <c r="K59" s="213"/>
      <c r="L59" s="213"/>
      <c r="M59" s="213"/>
      <c r="N59" s="213"/>
      <c r="O59" s="213"/>
      <c r="P59" s="213"/>
      <c r="Q59" s="213"/>
      <c r="R59" s="213"/>
      <c r="S59" s="213"/>
      <c r="T59" s="197"/>
      <c r="U59" s="197"/>
      <c r="V59" s="197"/>
      <c r="W59" s="197"/>
      <c r="X59" s="197"/>
      <c r="Y59" s="197"/>
      <c r="Z59" s="197"/>
      <c r="AA59" s="192"/>
      <c r="AB59" s="237"/>
      <c r="AC59" s="233"/>
    </row>
    <row r="60" spans="1:29" x14ac:dyDescent="0.25">
      <c r="D60" s="252" t="str">
        <f>AA8</f>
        <v>[12]</v>
      </c>
      <c r="E60" s="190" t="str">
        <f>X8&amp;" - "&amp;Z8</f>
        <v>[9] - [11]</v>
      </c>
      <c r="F60" s="190"/>
      <c r="G60" s="250"/>
      <c r="H60" s="250"/>
      <c r="I60" s="197"/>
      <c r="J60" s="213"/>
      <c r="K60" s="213"/>
      <c r="L60" s="213"/>
      <c r="M60" s="213"/>
      <c r="N60" s="213"/>
      <c r="O60" s="213"/>
      <c r="P60" s="213"/>
      <c r="Q60" s="213"/>
      <c r="R60" s="213"/>
      <c r="S60" s="213"/>
      <c r="T60" s="197"/>
      <c r="U60" s="197"/>
      <c r="V60" s="197"/>
      <c r="W60" s="197"/>
      <c r="X60" s="197"/>
      <c r="Y60" s="197"/>
      <c r="Z60" s="197"/>
      <c r="AA60" s="192"/>
      <c r="AB60" s="237"/>
      <c r="AC60" s="233"/>
    </row>
    <row r="61" spans="1:29" x14ac:dyDescent="0.25">
      <c r="D61" s="190"/>
      <c r="E61" s="190"/>
      <c r="F61" s="190"/>
      <c r="G61" s="250"/>
      <c r="H61" s="250"/>
      <c r="I61" s="197"/>
      <c r="J61" s="213"/>
      <c r="K61" s="213"/>
      <c r="L61" s="213"/>
      <c r="M61" s="213"/>
      <c r="N61" s="213"/>
      <c r="O61" s="213"/>
      <c r="P61" s="213"/>
      <c r="Q61" s="213"/>
      <c r="R61" s="213"/>
      <c r="S61" s="213"/>
      <c r="T61" s="197"/>
      <c r="U61" s="197"/>
      <c r="V61" s="197"/>
      <c r="W61" s="197"/>
      <c r="X61" s="197"/>
      <c r="Y61" s="197"/>
      <c r="Z61" s="197"/>
      <c r="AA61" s="192"/>
      <c r="AB61" s="237"/>
      <c r="AC61" s="233"/>
    </row>
    <row r="62" spans="1:29" x14ac:dyDescent="0.25">
      <c r="D62" s="190"/>
      <c r="E62" s="190"/>
      <c r="F62" s="190"/>
      <c r="G62" s="250"/>
      <c r="H62" s="250"/>
      <c r="I62" s="197"/>
      <c r="J62" s="213"/>
      <c r="K62" s="213"/>
      <c r="L62" s="213"/>
      <c r="M62" s="213"/>
      <c r="N62" s="213"/>
      <c r="O62" s="213"/>
      <c r="P62" s="213"/>
      <c r="Q62" s="213"/>
      <c r="R62" s="213"/>
      <c r="S62" s="213"/>
      <c r="T62" s="197"/>
      <c r="U62" s="197"/>
      <c r="V62" s="197"/>
      <c r="W62" s="197"/>
      <c r="X62" s="197"/>
      <c r="Y62" s="197"/>
      <c r="Z62" s="197"/>
      <c r="AA62" s="192"/>
      <c r="AB62" s="237"/>
      <c r="AC62" s="233"/>
    </row>
    <row r="63" spans="1:29" x14ac:dyDescent="0.25">
      <c r="D63" s="190"/>
      <c r="E63" s="190"/>
      <c r="F63" s="190"/>
      <c r="G63" s="250"/>
      <c r="H63" s="250"/>
      <c r="I63" s="197"/>
      <c r="J63" s="213"/>
      <c r="K63" s="213"/>
      <c r="L63" s="213"/>
      <c r="M63" s="213"/>
      <c r="N63" s="213"/>
      <c r="O63" s="213"/>
      <c r="P63" s="213"/>
      <c r="Q63" s="213"/>
      <c r="R63" s="213"/>
      <c r="S63" s="213"/>
      <c r="T63" s="197"/>
      <c r="U63" s="197"/>
      <c r="V63" s="197"/>
      <c r="W63" s="197"/>
      <c r="X63" s="197"/>
      <c r="Y63" s="197"/>
      <c r="Z63" s="197"/>
      <c r="AA63" s="192"/>
      <c r="AB63" s="237"/>
      <c r="AC63" s="233"/>
    </row>
    <row r="64" spans="1:29" x14ac:dyDescent="0.25">
      <c r="D64" s="190"/>
      <c r="E64" s="190"/>
      <c r="F64" s="190"/>
      <c r="G64" s="250"/>
      <c r="H64" s="250"/>
      <c r="I64" s="197"/>
      <c r="J64" s="213"/>
      <c r="K64" s="213"/>
      <c r="L64" s="213"/>
      <c r="M64" s="213"/>
      <c r="N64" s="213"/>
      <c r="O64" s="213"/>
      <c r="P64" s="213"/>
      <c r="Q64" s="213"/>
      <c r="R64" s="213"/>
      <c r="S64" s="213"/>
      <c r="T64" s="197"/>
      <c r="U64" s="197"/>
      <c r="V64" s="197"/>
      <c r="W64" s="197"/>
      <c r="X64" s="197"/>
      <c r="Y64" s="197"/>
      <c r="Z64" s="197"/>
      <c r="AA64" s="192"/>
      <c r="AB64" s="237"/>
      <c r="AC64" s="233"/>
    </row>
    <row r="65" spans="4:29" x14ac:dyDescent="0.25">
      <c r="D65" s="190"/>
      <c r="E65" s="190"/>
      <c r="F65" s="190"/>
      <c r="G65" s="250"/>
      <c r="H65" s="250"/>
      <c r="I65" s="197"/>
      <c r="J65" s="213"/>
      <c r="K65" s="213"/>
      <c r="L65" s="213"/>
      <c r="M65" s="213"/>
      <c r="N65" s="213"/>
      <c r="O65" s="213"/>
      <c r="P65" s="213"/>
      <c r="Q65" s="213"/>
      <c r="R65" s="213"/>
      <c r="S65" s="213"/>
      <c r="T65" s="197"/>
      <c r="U65" s="197"/>
      <c r="V65" s="197"/>
      <c r="W65" s="197"/>
      <c r="X65" s="197"/>
      <c r="Y65" s="197"/>
      <c r="Z65" s="197"/>
      <c r="AA65" s="192"/>
      <c r="AB65" s="237"/>
      <c r="AC65" s="233"/>
    </row>
    <row r="66" spans="4:29" x14ac:dyDescent="0.25">
      <c r="D66" s="190"/>
      <c r="E66" s="190"/>
      <c r="F66" s="190"/>
      <c r="G66" s="250"/>
      <c r="H66" s="250"/>
      <c r="I66" s="197"/>
      <c r="J66" s="213"/>
      <c r="K66" s="213"/>
      <c r="L66" s="213"/>
      <c r="M66" s="213"/>
      <c r="N66" s="213"/>
      <c r="O66" s="213"/>
      <c r="P66" s="213"/>
      <c r="Q66" s="213"/>
      <c r="R66" s="213"/>
      <c r="S66" s="213"/>
      <c r="T66" s="197"/>
      <c r="U66" s="197"/>
      <c r="V66" s="197"/>
      <c r="W66" s="197"/>
      <c r="X66" s="197"/>
      <c r="Y66" s="197"/>
      <c r="Z66" s="197"/>
      <c r="AA66" s="192"/>
      <c r="AB66" s="237"/>
      <c r="AC66" s="233"/>
    </row>
    <row r="67" spans="4:29" x14ac:dyDescent="0.25">
      <c r="D67" s="190"/>
      <c r="E67" s="190"/>
      <c r="F67" s="190"/>
      <c r="G67" s="250"/>
      <c r="H67" s="250"/>
      <c r="I67" s="197"/>
      <c r="J67" s="213"/>
      <c r="K67" s="213"/>
      <c r="L67" s="213"/>
      <c r="M67" s="213"/>
      <c r="N67" s="213"/>
      <c r="O67" s="213"/>
      <c r="P67" s="213"/>
      <c r="Q67" s="213"/>
      <c r="R67" s="213"/>
      <c r="S67" s="213"/>
      <c r="T67" s="197"/>
      <c r="U67" s="197"/>
      <c r="V67" s="197"/>
      <c r="W67" s="197"/>
      <c r="X67" s="197"/>
      <c r="Y67" s="197"/>
      <c r="Z67" s="197"/>
      <c r="AA67" s="192"/>
      <c r="AB67" s="237"/>
      <c r="AC67" s="233"/>
    </row>
    <row r="68" spans="4:29" x14ac:dyDescent="0.25">
      <c r="D68" s="190"/>
      <c r="E68" s="190"/>
      <c r="F68" s="190"/>
      <c r="G68" s="250"/>
      <c r="H68" s="250"/>
      <c r="I68" s="197"/>
      <c r="J68" s="213"/>
      <c r="K68" s="213"/>
      <c r="L68" s="213"/>
      <c r="M68" s="213"/>
      <c r="N68" s="213"/>
      <c r="O68" s="213"/>
      <c r="P68" s="213"/>
      <c r="Q68" s="213"/>
      <c r="R68" s="213"/>
      <c r="S68" s="213"/>
      <c r="T68" s="197"/>
      <c r="U68" s="197"/>
      <c r="V68" s="197"/>
      <c r="W68" s="197"/>
      <c r="X68" s="197"/>
      <c r="Y68" s="197"/>
      <c r="Z68" s="197"/>
      <c r="AA68" s="192"/>
      <c r="AB68" s="237"/>
      <c r="AC68" s="233"/>
    </row>
    <row r="69" spans="4:29" x14ac:dyDescent="0.25">
      <c r="D69" s="190"/>
      <c r="E69" s="190"/>
      <c r="F69" s="190"/>
      <c r="G69" s="250"/>
      <c r="H69" s="250"/>
      <c r="I69" s="197"/>
      <c r="J69" s="213"/>
      <c r="K69" s="213"/>
      <c r="L69" s="213"/>
      <c r="M69" s="213"/>
      <c r="N69" s="213"/>
      <c r="O69" s="213"/>
      <c r="P69" s="213"/>
      <c r="Q69" s="213"/>
      <c r="R69" s="213"/>
      <c r="S69" s="213"/>
      <c r="T69" s="197"/>
      <c r="U69" s="197"/>
      <c r="V69" s="197"/>
      <c r="W69" s="197"/>
      <c r="X69" s="197"/>
      <c r="Y69" s="197"/>
      <c r="Z69" s="197"/>
      <c r="AA69" s="192"/>
      <c r="AB69" s="237"/>
      <c r="AC69" s="233"/>
    </row>
    <row r="70" spans="4:29" x14ac:dyDescent="0.25">
      <c r="D70" s="190"/>
      <c r="E70" s="190"/>
      <c r="F70" s="190"/>
      <c r="G70" s="250"/>
      <c r="H70" s="250"/>
      <c r="I70" s="197"/>
      <c r="J70" s="213"/>
      <c r="K70" s="213"/>
      <c r="L70" s="213"/>
      <c r="M70" s="213"/>
      <c r="N70" s="213"/>
      <c r="O70" s="213"/>
      <c r="P70" s="213"/>
      <c r="Q70" s="213"/>
      <c r="R70" s="213"/>
      <c r="S70" s="213"/>
      <c r="T70" s="197"/>
      <c r="U70" s="197"/>
      <c r="V70" s="197"/>
      <c r="W70" s="197"/>
      <c r="X70" s="197"/>
      <c r="Y70" s="197"/>
      <c r="Z70" s="197"/>
      <c r="AA70" s="192"/>
      <c r="AB70" s="237"/>
      <c r="AC70" s="233"/>
    </row>
    <row r="71" spans="4:29" x14ac:dyDescent="0.25">
      <c r="D71" s="190"/>
      <c r="E71" s="190"/>
      <c r="F71" s="190"/>
      <c r="G71" s="250"/>
      <c r="H71" s="250"/>
      <c r="I71" s="197"/>
      <c r="J71" s="213"/>
      <c r="K71" s="213"/>
      <c r="L71" s="213"/>
      <c r="M71" s="213"/>
      <c r="N71" s="213"/>
      <c r="O71" s="213"/>
      <c r="P71" s="213"/>
      <c r="Q71" s="213"/>
      <c r="R71" s="213"/>
      <c r="S71" s="213"/>
      <c r="T71" s="197"/>
      <c r="U71" s="197"/>
      <c r="V71" s="197"/>
      <c r="W71" s="197"/>
      <c r="X71" s="197"/>
      <c r="Y71" s="197"/>
      <c r="Z71" s="197"/>
      <c r="AA71" s="192"/>
      <c r="AB71" s="237"/>
      <c r="AC71" s="233"/>
    </row>
    <row r="72" spans="4:29" x14ac:dyDescent="0.25">
      <c r="D72" s="233"/>
      <c r="E72" s="233"/>
      <c r="F72" s="190"/>
      <c r="G72" s="250"/>
      <c r="H72" s="250"/>
      <c r="I72" s="197"/>
      <c r="J72" s="213"/>
      <c r="K72" s="213"/>
      <c r="L72" s="213"/>
      <c r="M72" s="213"/>
      <c r="N72" s="213"/>
      <c r="O72" s="213"/>
      <c r="P72" s="213"/>
      <c r="Q72" s="213"/>
      <c r="R72" s="213"/>
      <c r="S72" s="213"/>
      <c r="T72" s="197"/>
      <c r="U72" s="197"/>
      <c r="V72" s="197"/>
      <c r="W72" s="197"/>
      <c r="X72" s="197"/>
      <c r="Y72" s="197"/>
      <c r="Z72" s="197"/>
      <c r="AA72" s="192"/>
      <c r="AB72" s="237"/>
      <c r="AC72" s="233"/>
    </row>
    <row r="73" spans="4:29" x14ac:dyDescent="0.25">
      <c r="D73" s="233"/>
      <c r="E73" s="233"/>
      <c r="F73" s="190"/>
      <c r="G73" s="250"/>
      <c r="H73" s="250"/>
      <c r="I73" s="197"/>
      <c r="J73" s="213"/>
      <c r="K73" s="213"/>
      <c r="L73" s="213"/>
      <c r="M73" s="213"/>
      <c r="N73" s="213"/>
      <c r="O73" s="213"/>
      <c r="P73" s="213"/>
      <c r="Q73" s="213"/>
      <c r="R73" s="213"/>
      <c r="S73" s="213"/>
      <c r="T73" s="197"/>
      <c r="U73" s="197"/>
      <c r="V73" s="197"/>
      <c r="W73" s="197"/>
      <c r="X73" s="197"/>
      <c r="Y73" s="197"/>
      <c r="Z73" s="197"/>
      <c r="AA73" s="192"/>
      <c r="AB73" s="237"/>
      <c r="AC73" s="233"/>
    </row>
    <row r="74" spans="4:29" x14ac:dyDescent="0.25">
      <c r="D74" s="233"/>
      <c r="E74" s="233"/>
      <c r="F74" s="190"/>
      <c r="G74" s="250"/>
      <c r="H74" s="250"/>
      <c r="I74" s="197"/>
      <c r="J74" s="213"/>
      <c r="K74" s="213"/>
      <c r="L74" s="213"/>
      <c r="M74" s="213"/>
      <c r="N74" s="213"/>
      <c r="O74" s="213"/>
      <c r="P74" s="213"/>
      <c r="Q74" s="213"/>
      <c r="R74" s="213"/>
      <c r="S74" s="213"/>
      <c r="T74" s="197"/>
      <c r="U74" s="197"/>
      <c r="V74" s="197"/>
      <c r="W74" s="197"/>
      <c r="X74" s="197"/>
      <c r="Y74" s="197"/>
      <c r="Z74" s="197"/>
      <c r="AA74" s="192"/>
      <c r="AB74" s="237"/>
      <c r="AC74" s="233"/>
    </row>
    <row r="75" spans="4:29" x14ac:dyDescent="0.25">
      <c r="D75" s="233"/>
      <c r="E75" s="233"/>
      <c r="F75" s="190"/>
      <c r="G75" s="250"/>
      <c r="H75" s="250"/>
      <c r="I75" s="197"/>
      <c r="J75" s="213"/>
      <c r="K75" s="213"/>
      <c r="L75" s="213"/>
      <c r="M75" s="213"/>
      <c r="N75" s="213"/>
      <c r="O75" s="213"/>
      <c r="P75" s="213"/>
      <c r="Q75" s="213"/>
      <c r="R75" s="213"/>
      <c r="S75" s="213"/>
      <c r="T75" s="197"/>
      <c r="U75" s="197"/>
      <c r="V75" s="197"/>
      <c r="W75" s="197"/>
      <c r="X75" s="197"/>
      <c r="Y75" s="197"/>
      <c r="Z75" s="197"/>
      <c r="AA75" s="192"/>
      <c r="AB75" s="237"/>
      <c r="AC75" s="233"/>
    </row>
    <row r="76" spans="4:29" x14ac:dyDescent="0.25">
      <c r="F76" s="33"/>
      <c r="J76" s="54"/>
      <c r="K76" s="54"/>
      <c r="L76" s="54"/>
      <c r="M76" s="54"/>
      <c r="N76" s="54"/>
      <c r="O76" s="54"/>
      <c r="P76" s="54"/>
      <c r="Q76" s="54"/>
      <c r="R76" s="54"/>
      <c r="S76" s="54"/>
    </row>
    <row r="77" spans="4:29" x14ac:dyDescent="0.25">
      <c r="F77" s="33"/>
      <c r="J77" s="54"/>
      <c r="K77" s="54"/>
      <c r="L77" s="54"/>
      <c r="M77" s="54"/>
      <c r="N77" s="54"/>
      <c r="O77" s="54"/>
      <c r="P77" s="54"/>
      <c r="Q77" s="54"/>
      <c r="R77" s="54"/>
      <c r="S77" s="54"/>
    </row>
    <row r="78" spans="4:29" x14ac:dyDescent="0.25">
      <c r="F78" s="33"/>
      <c r="J78" s="54"/>
      <c r="K78" s="54"/>
      <c r="L78" s="54"/>
      <c r="M78" s="54"/>
      <c r="N78" s="54"/>
      <c r="O78" s="54"/>
      <c r="P78" s="54"/>
      <c r="Q78" s="54"/>
      <c r="R78" s="54"/>
      <c r="S78" s="54"/>
    </row>
    <row r="79" spans="4:29" x14ac:dyDescent="0.25">
      <c r="F79" s="33"/>
      <c r="J79" s="54"/>
      <c r="K79" s="54"/>
      <c r="L79" s="54"/>
      <c r="M79" s="54"/>
      <c r="N79" s="54"/>
      <c r="O79" s="54"/>
      <c r="P79" s="54"/>
      <c r="Q79" s="54"/>
      <c r="R79" s="54"/>
      <c r="S79" s="54"/>
    </row>
    <row r="80" spans="4:29" x14ac:dyDescent="0.25">
      <c r="F80" s="33"/>
      <c r="J80" s="54"/>
      <c r="K80" s="54"/>
      <c r="L80" s="54"/>
      <c r="M80" s="54"/>
      <c r="N80" s="54"/>
      <c r="O80" s="54"/>
      <c r="P80" s="54"/>
      <c r="Q80" s="54"/>
      <c r="R80" s="54"/>
      <c r="S80" s="54"/>
    </row>
    <row r="81" spans="6:19" x14ac:dyDescent="0.25">
      <c r="F81" s="33"/>
      <c r="J81" s="54"/>
      <c r="K81" s="54"/>
      <c r="L81" s="54"/>
      <c r="M81" s="54"/>
      <c r="N81" s="54"/>
      <c r="O81" s="54"/>
      <c r="P81" s="54"/>
      <c r="Q81" s="54"/>
      <c r="R81" s="54"/>
      <c r="S81" s="54"/>
    </row>
  </sheetData>
  <conditionalFormatting sqref="X11:AA33 D4:AA5 D34:AA35 D46:AA47 E11:V33 E36:AA45 D7:AA10 D6:R6 T6:AA6">
    <cfRule type="cellIs" dxfId="7" priority="3" operator="lessThan">
      <formula>0</formula>
    </cfRule>
  </conditionalFormatting>
  <conditionalFormatting sqref="W34:W36">
    <cfRule type="expression" dxfId="6" priority="2">
      <formula>NOT(W34&lt;=Y34)</formula>
    </cfRule>
  </conditionalFormatting>
  <conditionalFormatting sqref="S6">
    <cfRule type="cellIs" dxfId="5" priority="1" operator="lessThan">
      <formula>0</formula>
    </cfRule>
  </conditionalFormatting>
  <printOptions horizontalCentered="1" verticalCentered="1"/>
  <pageMargins left="0.7" right="0.7" top="0.75" bottom="0.75" header="0.3" footer="0.3"/>
  <pageSetup scale="55" orientation="landscape" horizontalDpi="1200" verticalDpi="1200" r:id="rId1"/>
  <headerFooter scaleWithDoc="0">
    <oddFooter>&amp;R&amp;F&amp;A&amp;P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S43"/>
  <sheetViews>
    <sheetView topLeftCell="B2" zoomScale="80" zoomScaleNormal="80" workbookViewId="0">
      <selection activeCell="B3" sqref="B3"/>
    </sheetView>
  </sheetViews>
  <sheetFormatPr defaultRowHeight="15.75" outlineLevelRow="1" outlineLevelCol="1" x14ac:dyDescent="0.25"/>
  <cols>
    <col min="1" max="1" width="38.42578125" style="8" hidden="1" customWidth="1" outlineLevel="1"/>
    <col min="2" max="2" width="4.28515625" style="5" customWidth="1" collapsed="1"/>
    <col min="3" max="3" width="39.140625" style="35" customWidth="1"/>
    <col min="4" max="4" width="12.140625" style="33" bestFit="1" customWidth="1"/>
    <col min="5" max="5" width="11" style="207" customWidth="1"/>
    <col min="6" max="6" width="13.85546875" style="195" customWidth="1"/>
    <col min="7" max="15" width="9" style="48" hidden="1" customWidth="1" outlineLevel="1"/>
    <col min="16" max="16" width="14.7109375" style="48" customWidth="1" collapsed="1"/>
    <col min="17" max="17" width="15.7109375" style="41" customWidth="1"/>
    <col min="18" max="21" width="17.7109375" style="37" customWidth="1"/>
    <col min="22" max="16384" width="9.140625" style="5"/>
  </cols>
  <sheetData>
    <row r="1" spans="1:45" s="151" customFormat="1" hidden="1" outlineLevel="1" x14ac:dyDescent="0.25">
      <c r="E1" s="210">
        <v>1</v>
      </c>
      <c r="F1" s="210">
        <f>MAX($A$1:E$1)+1</f>
        <v>2</v>
      </c>
      <c r="G1" s="210"/>
      <c r="H1" s="210"/>
      <c r="I1" s="210"/>
      <c r="J1" s="210"/>
      <c r="K1" s="210"/>
      <c r="L1" s="210"/>
      <c r="M1" s="210"/>
      <c r="N1" s="210"/>
      <c r="O1" s="210"/>
      <c r="P1" s="152">
        <f>MAX($A$1:O$1)+1</f>
        <v>3</v>
      </c>
      <c r="Q1" s="152">
        <f>MAX($A$1:P$1)+1</f>
        <v>4</v>
      </c>
      <c r="R1" s="152">
        <f>MAX($A$1:Q$1)+1</f>
        <v>5</v>
      </c>
      <c r="S1" s="152">
        <f>MAX($A$1:R$1)+1</f>
        <v>6</v>
      </c>
      <c r="T1" s="152">
        <f>MAX($A$1:S$1)+1</f>
        <v>7</v>
      </c>
      <c r="U1" s="152">
        <f>MAX($A$1:T$1)+1</f>
        <v>8</v>
      </c>
      <c r="V1" s="152"/>
    </row>
    <row r="2" spans="1:45" collapsed="1" x14ac:dyDescent="0.25">
      <c r="E2" s="213"/>
      <c r="F2" s="197"/>
      <c r="G2" s="52"/>
      <c r="H2" s="52"/>
      <c r="I2" s="52"/>
      <c r="J2" s="52"/>
      <c r="K2" s="52"/>
      <c r="L2" s="52"/>
      <c r="M2" s="52"/>
      <c r="N2" s="52"/>
      <c r="O2" s="52"/>
      <c r="P2" s="52"/>
      <c r="Q2" s="42"/>
      <c r="R2" s="36"/>
      <c r="S2" s="36"/>
      <c r="T2" s="36"/>
      <c r="U2" s="36"/>
    </row>
    <row r="3" spans="1:45" ht="21" x14ac:dyDescent="0.35">
      <c r="B3" s="99" t="s">
        <v>53</v>
      </c>
      <c r="C3" s="64"/>
      <c r="D3" s="101"/>
      <c r="E3" s="160"/>
      <c r="F3" s="158"/>
      <c r="G3" s="65"/>
      <c r="H3" s="65"/>
      <c r="I3" s="65"/>
      <c r="J3" s="65"/>
      <c r="K3" s="65"/>
      <c r="L3" s="65"/>
      <c r="M3" s="65"/>
      <c r="N3" s="65"/>
      <c r="O3" s="65"/>
      <c r="P3" s="65"/>
      <c r="Q3" s="66"/>
      <c r="R3" s="67"/>
      <c r="S3" s="66"/>
      <c r="T3" s="66"/>
      <c r="U3" s="66"/>
      <c r="V3" s="63"/>
    </row>
    <row r="4" spans="1:45" ht="6" customHeight="1" thickBot="1" x14ac:dyDescent="0.3">
      <c r="B4" s="6"/>
      <c r="C4" s="6"/>
      <c r="D4" s="102"/>
      <c r="E4" s="166"/>
      <c r="F4" s="209"/>
      <c r="G4" s="53"/>
      <c r="H4" s="53"/>
      <c r="I4" s="53"/>
      <c r="J4" s="53"/>
      <c r="K4" s="53"/>
      <c r="L4" s="53"/>
      <c r="M4" s="53"/>
      <c r="N4" s="53"/>
      <c r="O4" s="53"/>
      <c r="P4" s="53"/>
      <c r="Q4" s="55"/>
      <c r="R4" s="39"/>
      <c r="S4" s="39"/>
      <c r="T4" s="39"/>
      <c r="U4" s="39"/>
    </row>
    <row r="5" spans="1:45" ht="6" customHeight="1" thickTop="1" x14ac:dyDescent="0.25">
      <c r="E5" s="213"/>
      <c r="F5" s="197"/>
      <c r="G5" s="52"/>
      <c r="H5" s="52"/>
      <c r="I5" s="52"/>
      <c r="J5" s="52"/>
      <c r="K5" s="52"/>
      <c r="L5" s="52"/>
      <c r="M5" s="52"/>
      <c r="N5" s="52"/>
      <c r="O5" s="52"/>
      <c r="P5" s="52"/>
      <c r="Q5" s="42"/>
      <c r="R5" s="36"/>
      <c r="S5" s="36"/>
      <c r="T5" s="36"/>
      <c r="U5" s="36"/>
    </row>
    <row r="6" spans="1:45" s="45" customFormat="1" ht="63.75" customHeight="1" x14ac:dyDescent="0.25">
      <c r="A6" s="46"/>
      <c r="B6" s="227" t="s">
        <v>33</v>
      </c>
      <c r="C6" s="227"/>
      <c r="D6" s="253" t="s">
        <v>115</v>
      </c>
      <c r="E6" s="159" t="s">
        <v>113</v>
      </c>
      <c r="F6" s="225" t="s">
        <v>54</v>
      </c>
      <c r="G6" s="223" t="s">
        <v>42</v>
      </c>
      <c r="H6" s="223" t="s">
        <v>43</v>
      </c>
      <c r="I6" s="223" t="s">
        <v>44</v>
      </c>
      <c r="J6" s="223" t="s">
        <v>45</v>
      </c>
      <c r="K6" s="223" t="s">
        <v>46</v>
      </c>
      <c r="L6" s="223" t="s">
        <v>39</v>
      </c>
      <c r="M6" s="223" t="s">
        <v>40</v>
      </c>
      <c r="N6" s="223" t="s">
        <v>41</v>
      </c>
      <c r="O6" s="223" t="s">
        <v>47</v>
      </c>
      <c r="P6" s="230" t="s">
        <v>151</v>
      </c>
      <c r="Q6" s="225" t="s">
        <v>24</v>
      </c>
      <c r="R6" s="244" t="s">
        <v>74</v>
      </c>
      <c r="S6" s="224" t="s">
        <v>64</v>
      </c>
      <c r="T6" s="229" t="s">
        <v>76</v>
      </c>
      <c r="U6" s="229" t="s">
        <v>77</v>
      </c>
    </row>
    <row r="7" spans="1:45" x14ac:dyDescent="0.25">
      <c r="B7" s="233"/>
      <c r="C7" s="233"/>
      <c r="D7" s="190"/>
      <c r="E7" s="163" t="s">
        <v>30</v>
      </c>
      <c r="F7" s="242" t="s">
        <v>22</v>
      </c>
      <c r="G7" s="204" t="s">
        <v>30</v>
      </c>
      <c r="H7" s="204" t="s">
        <v>30</v>
      </c>
      <c r="I7" s="204" t="s">
        <v>30</v>
      </c>
      <c r="J7" s="204" t="s">
        <v>30</v>
      </c>
      <c r="K7" s="204" t="s">
        <v>30</v>
      </c>
      <c r="L7" s="204" t="s">
        <v>30</v>
      </c>
      <c r="M7" s="204" t="s">
        <v>30</v>
      </c>
      <c r="N7" s="204" t="s">
        <v>30</v>
      </c>
      <c r="O7" s="204" t="s">
        <v>30</v>
      </c>
      <c r="P7" s="204" t="s">
        <v>30</v>
      </c>
      <c r="Q7" s="205" t="s">
        <v>22</v>
      </c>
      <c r="R7" s="205" t="s">
        <v>22</v>
      </c>
      <c r="S7" s="205" t="s">
        <v>22</v>
      </c>
      <c r="T7" s="205" t="s">
        <v>22</v>
      </c>
      <c r="U7" s="205" t="s">
        <v>22</v>
      </c>
    </row>
    <row r="8" spans="1:45" x14ac:dyDescent="0.25">
      <c r="B8" s="233"/>
      <c r="C8" s="233"/>
      <c r="D8" s="190"/>
      <c r="E8" s="163" t="str">
        <f>"["&amp;E1&amp;"]"</f>
        <v>[1]</v>
      </c>
      <c r="F8" s="242" t="str">
        <f t="shared" ref="F8:U8" si="0">"["&amp;F1&amp;"]"</f>
        <v>[2]</v>
      </c>
      <c r="G8" s="204"/>
      <c r="H8" s="204"/>
      <c r="I8" s="204"/>
      <c r="J8" s="204"/>
      <c r="K8" s="204"/>
      <c r="L8" s="204"/>
      <c r="M8" s="204"/>
      <c r="N8" s="204"/>
      <c r="O8" s="204"/>
      <c r="P8" s="204" t="str">
        <f t="shared" si="0"/>
        <v>[3]</v>
      </c>
      <c r="Q8" s="204" t="str">
        <f t="shared" si="0"/>
        <v>[4]</v>
      </c>
      <c r="R8" s="205" t="str">
        <f t="shared" si="0"/>
        <v>[5]</v>
      </c>
      <c r="S8" s="205" t="str">
        <f t="shared" si="0"/>
        <v>[6]</v>
      </c>
      <c r="T8" s="205" t="str">
        <f t="shared" si="0"/>
        <v>[7]</v>
      </c>
      <c r="U8" s="205" t="str">
        <f t="shared" si="0"/>
        <v>[8]</v>
      </c>
    </row>
    <row r="9" spans="1:45" ht="6" customHeight="1" x14ac:dyDescent="0.25">
      <c r="B9" s="234"/>
      <c r="C9" s="234"/>
      <c r="D9" s="254"/>
      <c r="E9" s="170"/>
      <c r="F9" s="196"/>
      <c r="G9" s="215"/>
      <c r="H9" s="215"/>
      <c r="I9" s="215"/>
      <c r="J9" s="215"/>
      <c r="K9" s="215"/>
      <c r="L9" s="215"/>
      <c r="M9" s="215"/>
      <c r="N9" s="215"/>
      <c r="O9" s="215"/>
      <c r="P9" s="215"/>
      <c r="Q9" s="196"/>
      <c r="R9" s="214"/>
      <c r="S9" s="214"/>
      <c r="T9" s="214"/>
      <c r="U9" s="214"/>
    </row>
    <row r="10" spans="1:45" ht="6" customHeight="1" x14ac:dyDescent="0.25">
      <c r="B10" s="233"/>
      <c r="C10" s="233"/>
      <c r="D10" s="190"/>
      <c r="E10" s="213"/>
      <c r="F10" s="197"/>
      <c r="G10" s="202"/>
      <c r="H10" s="202"/>
      <c r="I10" s="202"/>
      <c r="J10" s="202"/>
      <c r="K10" s="202"/>
      <c r="L10" s="202"/>
      <c r="M10" s="202"/>
      <c r="N10" s="202"/>
      <c r="O10" s="202"/>
      <c r="P10" s="202"/>
      <c r="Q10" s="197"/>
      <c r="R10" s="192"/>
      <c r="S10" s="192"/>
      <c r="T10" s="192"/>
      <c r="U10" s="192"/>
    </row>
    <row r="11" spans="1:45" x14ac:dyDescent="0.25">
      <c r="A11" s="8" t="s">
        <v>26</v>
      </c>
      <c r="B11" s="233" t="s">
        <v>18</v>
      </c>
      <c r="C11" s="233"/>
      <c r="D11" s="190" t="s">
        <v>37</v>
      </c>
      <c r="E11" s="235">
        <v>1.1499999999999999</v>
      </c>
      <c r="F11" s="236">
        <v>47009.573416528947</v>
      </c>
      <c r="G11" s="194">
        <f>INDEX('2006'!$G$11:$G$12,MATCH('2020 CAISO+PAC'!$B11,'2006'!$B$11:$B$12,0))</f>
        <v>1</v>
      </c>
      <c r="H11" s="194">
        <f>INDEX('2007'!$G$11:$G$12,MATCH('2020 CAISO+PAC'!$B11,'2007'!$B$11:$B$12,0))</f>
        <v>0.99999999999999989</v>
      </c>
      <c r="I11" s="194">
        <f>INDEX('2008'!$G$11:$G$12,MATCH('2020 CAISO+PAC'!$B11,'2008'!$B$11:$B$12,0))</f>
        <v>0.9962493911349245</v>
      </c>
      <c r="J11" s="194">
        <f>INDEX('2009'!$G$11:$G$12,MATCH('2020 CAISO+PAC'!$B11,'2009'!$B$11:$B$12,0))</f>
        <v>1</v>
      </c>
      <c r="K11" s="194">
        <f>INDEX('2010'!$G$11:$G$12,MATCH('2020 CAISO+PAC'!$B11,'2010'!$B$11:$B$12,0))</f>
        <v>0.99659090909090908</v>
      </c>
      <c r="L11" s="194">
        <f>INDEX('2011'!$G$11:$G$12,MATCH('2020 CAISO+PAC'!$B11,'2011'!$B$11:$B$12,0))</f>
        <v>0.99522650431954018</v>
      </c>
      <c r="M11" s="194">
        <f>INDEX('2012'!$G$11:$G$12,MATCH('2020 CAISO+PAC'!$B11,'2012'!$B$11:$B$12,0))</f>
        <v>1</v>
      </c>
      <c r="N11" s="194">
        <f>INDEX('2013'!$G$11:$G$12,MATCH('2020 CAISO+PAC'!$B11,'2013'!$B$11:$B$12,0))</f>
        <v>0.996514667441185</v>
      </c>
      <c r="O11" s="194">
        <f>INDEX('2014'!$G$11:$G$12,MATCH('2020 CAISO+PAC'!$B11,'2014'!$B$11:$B$12,0))</f>
        <v>0.99192481177603464</v>
      </c>
      <c r="P11" s="194">
        <f>MEDIAN(G11:O11)</f>
        <v>0.99659090909090908</v>
      </c>
      <c r="Q11" s="198">
        <f>F11*P11</f>
        <v>46849.313507154417</v>
      </c>
      <c r="R11" s="255">
        <f>E11*(F11-Q11)</f>
        <v>184.29889578070978</v>
      </c>
      <c r="S11" s="198">
        <v>982</v>
      </c>
      <c r="T11" s="198">
        <f>MIN(S11,R11)</f>
        <v>184.29889578070978</v>
      </c>
      <c r="U11" s="198">
        <f>R11-T11</f>
        <v>0</v>
      </c>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row>
    <row r="12" spans="1:45" x14ac:dyDescent="0.25">
      <c r="A12" s="8" t="s">
        <v>29</v>
      </c>
      <c r="B12" s="233" t="s">
        <v>78</v>
      </c>
      <c r="C12" s="233"/>
      <c r="D12" s="190" t="s">
        <v>36</v>
      </c>
      <c r="E12" s="235">
        <v>1.1299999999999999</v>
      </c>
      <c r="F12" s="236">
        <v>13234</v>
      </c>
      <c r="G12" s="194">
        <f>INDEX('2006'!$G$11:$G$12,MATCH('2020 CAISO+PAC'!$B12,'2006'!$B$11:$B$12,0))</f>
        <v>0.98900145620354274</v>
      </c>
      <c r="H12" s="194">
        <f>INDEX('2007'!$G$11:$G$12,MATCH('2020 CAISO+PAC'!$B12,'2007'!$B$11:$B$12,0))</f>
        <v>0.91883208677101802</v>
      </c>
      <c r="I12" s="194">
        <f>INDEX('2008'!$G$11:$G$12,MATCH('2020 CAISO+PAC'!$B12,'2008'!$B$11:$B$12,0))</f>
        <v>0.90805624357293224</v>
      </c>
      <c r="J12" s="194">
        <f>INDEX('2009'!$G$11:$G$12,MATCH('2020 CAISO+PAC'!$B12,'2009'!$B$11:$B$12,0))</f>
        <v>0.8815772683595553</v>
      </c>
      <c r="K12" s="194">
        <f>INDEX('2010'!$G$11:$G$12,MATCH('2020 CAISO+PAC'!$B12,'2010'!$B$11:$B$12,0))</f>
        <v>0.95906232065775454</v>
      </c>
      <c r="L12" s="194">
        <f>INDEX('2011'!$G$11:$G$12,MATCH('2020 CAISO+PAC'!$B12,'2011'!$B$11:$B$12,0))</f>
        <v>0.92192466500519277</v>
      </c>
      <c r="M12" s="194">
        <f>INDEX('2012'!$G$11:$G$12,MATCH('2020 CAISO+PAC'!$B12,'2012'!$B$11:$B$12,0))</f>
        <v>0.95641273771136925</v>
      </c>
      <c r="N12" s="194">
        <f>INDEX('2013'!$G$11:$G$12,MATCH('2020 CAISO+PAC'!$B12,'2013'!$B$11:$B$12,0))</f>
        <v>0.97506381439384426</v>
      </c>
      <c r="O12" s="194">
        <f>INDEX('2014'!$G$11:$G$12,MATCH('2020 CAISO+PAC'!$B12,'2014'!$B$11:$B$12,0))</f>
        <v>0.87773043310612775</v>
      </c>
      <c r="P12" s="194">
        <f>MEDIAN(G12:O12)</f>
        <v>0.92192466500519277</v>
      </c>
      <c r="Q12" s="198">
        <f>F12*P12</f>
        <v>12200.751016678721</v>
      </c>
      <c r="R12" s="255">
        <f>E12*(F12-Q12)</f>
        <v>1167.5713511530446</v>
      </c>
      <c r="S12" s="198">
        <v>776</v>
      </c>
      <c r="T12" s="198">
        <f>MIN(S12,R12)</f>
        <v>776</v>
      </c>
      <c r="U12" s="198">
        <f>R12-T12</f>
        <v>391.57135115304459</v>
      </c>
      <c r="V12" s="266"/>
      <c r="W12" s="188"/>
      <c r="X12" s="188"/>
      <c r="Y12" s="188"/>
      <c r="Z12" s="188"/>
      <c r="AA12" s="188"/>
      <c r="AB12" s="188"/>
      <c r="AC12" s="188"/>
      <c r="AD12" s="188"/>
      <c r="AE12" s="188"/>
      <c r="AF12" s="188"/>
      <c r="AG12" s="188"/>
      <c r="AH12" s="188"/>
      <c r="AI12" s="188"/>
      <c r="AJ12" s="188"/>
      <c r="AK12" s="188"/>
      <c r="AL12" s="188"/>
      <c r="AM12" s="188"/>
      <c r="AN12" s="188"/>
      <c r="AO12" s="188"/>
    </row>
    <row r="13" spans="1:45" ht="6" customHeight="1" x14ac:dyDescent="0.25">
      <c r="B13" s="234"/>
      <c r="C13" s="234"/>
      <c r="D13" s="254"/>
      <c r="E13" s="168"/>
      <c r="F13" s="173"/>
      <c r="G13" s="217"/>
      <c r="H13" s="218"/>
      <c r="I13" s="217"/>
      <c r="J13" s="217"/>
      <c r="K13" s="218"/>
      <c r="L13" s="217"/>
      <c r="M13" s="217"/>
      <c r="N13" s="217"/>
      <c r="O13" s="218"/>
      <c r="P13" s="216"/>
      <c r="Q13" s="221"/>
      <c r="R13" s="211"/>
      <c r="S13" s="200"/>
      <c r="T13" s="200"/>
      <c r="U13" s="200"/>
      <c r="W13" s="188"/>
      <c r="X13" s="188"/>
      <c r="Y13" s="188"/>
      <c r="Z13" s="188"/>
      <c r="AA13" s="188"/>
      <c r="AB13" s="188"/>
      <c r="AC13" s="188"/>
      <c r="AD13" s="188"/>
      <c r="AE13" s="188"/>
      <c r="AF13" s="188"/>
      <c r="AG13" s="188"/>
      <c r="AH13" s="188"/>
      <c r="AI13" s="188"/>
      <c r="AJ13" s="188"/>
      <c r="AK13" s="188"/>
      <c r="AL13" s="188"/>
      <c r="AM13" s="188"/>
      <c r="AN13" s="188"/>
      <c r="AO13" s="188"/>
    </row>
    <row r="14" spans="1:45" ht="6" customHeight="1" x14ac:dyDescent="0.25">
      <c r="B14" s="233"/>
      <c r="C14" s="233"/>
      <c r="D14" s="190"/>
      <c r="E14" s="161"/>
      <c r="F14" s="167"/>
      <c r="G14" s="219"/>
      <c r="H14" s="220"/>
      <c r="I14" s="219"/>
      <c r="J14" s="219"/>
      <c r="K14" s="220"/>
      <c r="L14" s="219"/>
      <c r="M14" s="219"/>
      <c r="N14" s="219"/>
      <c r="O14" s="220"/>
      <c r="P14" s="199"/>
      <c r="Q14" s="222"/>
      <c r="R14" s="201"/>
      <c r="S14" s="201"/>
      <c r="T14" s="201"/>
      <c r="U14" s="201"/>
      <c r="W14" s="188"/>
      <c r="X14" s="188"/>
      <c r="Y14" s="188"/>
      <c r="Z14" s="188"/>
      <c r="AA14" s="188"/>
      <c r="AB14" s="188"/>
      <c r="AC14" s="188"/>
      <c r="AD14" s="188"/>
      <c r="AE14" s="188"/>
      <c r="AF14" s="188"/>
      <c r="AG14" s="188"/>
      <c r="AH14" s="188"/>
      <c r="AI14" s="188"/>
      <c r="AJ14" s="188"/>
      <c r="AK14" s="188"/>
      <c r="AL14" s="188"/>
      <c r="AM14" s="188"/>
      <c r="AN14" s="188"/>
      <c r="AO14" s="188"/>
    </row>
    <row r="15" spans="1:45" x14ac:dyDescent="0.25">
      <c r="B15" s="189" t="s">
        <v>49</v>
      </c>
      <c r="C15" s="189"/>
      <c r="D15" s="256"/>
      <c r="E15" s="235"/>
      <c r="F15" s="238">
        <f>SUM(F11:F12)</f>
        <v>60243.573416528947</v>
      </c>
      <c r="G15" s="203"/>
      <c r="H15" s="203"/>
      <c r="I15" s="203"/>
      <c r="J15" s="203"/>
      <c r="K15" s="203"/>
      <c r="L15" s="203"/>
      <c r="M15" s="203"/>
      <c r="N15" s="203"/>
      <c r="O15" s="203"/>
      <c r="P15" s="203"/>
      <c r="Q15" s="247">
        <f>SUM(Q11:Q12)</f>
        <v>59050.064523833134</v>
      </c>
      <c r="R15" s="247">
        <f>SUM(R11:R12)</f>
        <v>1351.8702469337543</v>
      </c>
      <c r="S15" s="247">
        <f t="shared" ref="S15:U15" si="1">SUM(S11:S12)</f>
        <v>1758</v>
      </c>
      <c r="T15" s="247">
        <f t="shared" si="1"/>
        <v>960.29889578070981</v>
      </c>
      <c r="U15" s="247">
        <f t="shared" si="1"/>
        <v>391.57135115304459</v>
      </c>
      <c r="W15" s="188"/>
      <c r="X15" s="188"/>
      <c r="Y15" s="188"/>
      <c r="Z15" s="188"/>
      <c r="AA15" s="188"/>
      <c r="AB15" s="188"/>
      <c r="AC15" s="188"/>
      <c r="AD15" s="188"/>
      <c r="AE15" s="188"/>
      <c r="AF15" s="188"/>
      <c r="AG15" s="188"/>
      <c r="AH15" s="188"/>
      <c r="AI15" s="188"/>
      <c r="AJ15" s="188"/>
      <c r="AK15" s="188"/>
      <c r="AL15" s="188"/>
      <c r="AM15" s="188"/>
      <c r="AN15" s="188"/>
      <c r="AO15" s="188"/>
    </row>
    <row r="16" spans="1:45" ht="6" customHeight="1" thickBot="1" x14ac:dyDescent="0.3">
      <c r="A16" s="60"/>
      <c r="B16" s="187"/>
      <c r="C16" s="187"/>
      <c r="D16" s="191"/>
      <c r="E16" s="166"/>
      <c r="F16" s="209"/>
      <c r="G16" s="206"/>
      <c r="H16" s="206"/>
      <c r="I16" s="206"/>
      <c r="J16" s="206"/>
      <c r="K16" s="206"/>
      <c r="L16" s="206"/>
      <c r="M16" s="206"/>
      <c r="N16" s="206"/>
      <c r="O16" s="206"/>
      <c r="P16" s="206"/>
      <c r="Q16" s="209"/>
      <c r="R16" s="193"/>
      <c r="S16" s="193"/>
      <c r="T16" s="193"/>
      <c r="U16" s="193"/>
    </row>
    <row r="17" spans="1:21" ht="6" customHeight="1" thickTop="1" x14ac:dyDescent="0.25">
      <c r="B17" s="233"/>
      <c r="C17" s="233"/>
      <c r="D17" s="190"/>
      <c r="E17" s="213"/>
      <c r="F17" s="197"/>
      <c r="G17" s="202"/>
      <c r="H17" s="202"/>
      <c r="I17" s="202"/>
      <c r="J17" s="202"/>
      <c r="K17" s="202"/>
      <c r="L17" s="202"/>
      <c r="M17" s="202"/>
      <c r="N17" s="202"/>
      <c r="O17" s="202"/>
      <c r="P17" s="202"/>
      <c r="Q17" s="197"/>
      <c r="R17" s="192"/>
      <c r="S17" s="192"/>
      <c r="T17" s="192"/>
      <c r="U17" s="192"/>
    </row>
    <row r="18" spans="1:21" x14ac:dyDescent="0.25">
      <c r="B18" s="233" t="s">
        <v>23</v>
      </c>
      <c r="C18" s="233"/>
      <c r="D18" s="190"/>
      <c r="E18" s="213"/>
      <c r="F18" s="197"/>
      <c r="G18" s="202"/>
      <c r="H18" s="202"/>
      <c r="I18" s="202"/>
      <c r="J18" s="202"/>
      <c r="K18" s="202"/>
      <c r="L18" s="202"/>
      <c r="M18" s="202"/>
      <c r="N18" s="202"/>
      <c r="O18" s="202"/>
      <c r="P18" s="202"/>
      <c r="Q18" s="197"/>
      <c r="R18" s="192"/>
      <c r="S18" s="192"/>
      <c r="T18" s="192"/>
      <c r="U18" s="192"/>
    </row>
    <row r="19" spans="1:21" x14ac:dyDescent="0.25">
      <c r="B19" s="257" t="str">
        <f>E8</f>
        <v>[1]</v>
      </c>
      <c r="C19" s="233" t="s">
        <v>66</v>
      </c>
      <c r="D19" s="190"/>
      <c r="E19" s="165"/>
      <c r="F19" s="197"/>
      <c r="G19" s="202"/>
      <c r="H19" s="202"/>
      <c r="I19"/>
      <c r="J19"/>
      <c r="K19"/>
      <c r="L19" s="202"/>
      <c r="M19" s="202"/>
      <c r="N19" s="202"/>
      <c r="O19" s="202"/>
      <c r="P19" s="202"/>
      <c r="Q19" s="197"/>
      <c r="R19" s="202"/>
      <c r="S19" s="192"/>
      <c r="T19" s="192"/>
      <c r="U19" s="192"/>
    </row>
    <row r="20" spans="1:21" x14ac:dyDescent="0.25">
      <c r="B20" s="257" t="str">
        <f>F8</f>
        <v>[2]</v>
      </c>
      <c r="C20" s="267" t="s">
        <v>154</v>
      </c>
      <c r="D20" s="190"/>
      <c r="E20" s="213"/>
      <c r="G20" s="202"/>
      <c r="H20" s="202"/>
      <c r="I20"/>
      <c r="J20"/>
      <c r="K20"/>
      <c r="L20" s="202"/>
      <c r="M20" s="202"/>
      <c r="N20" s="202"/>
      <c r="O20" s="202"/>
      <c r="P20" s="208"/>
      <c r="Q20" s="197"/>
      <c r="R20" s="192"/>
      <c r="S20" s="192"/>
      <c r="T20" s="192"/>
      <c r="U20" s="192"/>
    </row>
    <row r="21" spans="1:21" s="33" customFormat="1" x14ac:dyDescent="0.25">
      <c r="A21" s="8"/>
      <c r="B21" s="258" t="str">
        <f>P8</f>
        <v>[3]</v>
      </c>
      <c r="C21" s="190" t="s">
        <v>150</v>
      </c>
      <c r="D21" s="190"/>
      <c r="E21" s="213"/>
      <c r="F21" s="197"/>
      <c r="G21" s="213"/>
      <c r="H21" s="213"/>
      <c r="I21"/>
      <c r="J21"/>
      <c r="K21"/>
      <c r="L21" s="213"/>
      <c r="M21" s="213"/>
      <c r="N21" s="213"/>
      <c r="O21" s="213"/>
      <c r="P21" s="213"/>
      <c r="Q21" s="197"/>
      <c r="R21" s="197"/>
      <c r="S21" s="197"/>
      <c r="T21" s="197"/>
      <c r="U21" s="197"/>
    </row>
    <row r="22" spans="1:21" s="33" customFormat="1" x14ac:dyDescent="0.25">
      <c r="A22" s="8"/>
      <c r="B22" s="258" t="str">
        <f>Q8</f>
        <v>[4]</v>
      </c>
      <c r="C22" s="190" t="str">
        <f>CONCATENATE(F8," * ",P8)</f>
        <v>[2] * [3]</v>
      </c>
      <c r="D22" s="190"/>
      <c r="E22" s="213"/>
      <c r="F22" s="197"/>
      <c r="G22" s="213"/>
      <c r="H22" s="213"/>
      <c r="I22"/>
      <c r="J22"/>
      <c r="K22"/>
      <c r="L22" s="213"/>
      <c r="M22" s="213"/>
      <c r="N22" s="213"/>
      <c r="O22" s="213"/>
      <c r="P22" s="213"/>
      <c r="Q22" s="197"/>
      <c r="R22" s="197"/>
      <c r="S22" s="197"/>
      <c r="T22" s="197"/>
      <c r="U22" s="197"/>
    </row>
    <row r="23" spans="1:21" s="33" customFormat="1" x14ac:dyDescent="0.25">
      <c r="A23" s="8"/>
      <c r="B23" s="258" t="str">
        <f>R8</f>
        <v>[5]</v>
      </c>
      <c r="C23" s="190" t="str">
        <f>E8&amp;" * ("&amp;F8&amp;" - "&amp;Q8&amp;")"</f>
        <v>[1] * ([2] - [4])</v>
      </c>
      <c r="D23" s="190"/>
      <c r="E23" s="213"/>
      <c r="F23" s="197"/>
      <c r="G23" s="213"/>
      <c r="H23" s="213"/>
      <c r="I23"/>
      <c r="J23"/>
      <c r="K23"/>
      <c r="L23" s="213"/>
      <c r="M23" s="213"/>
      <c r="N23" s="213"/>
      <c r="O23" s="213"/>
      <c r="P23" s="213"/>
      <c r="Q23" s="197"/>
      <c r="R23" s="197"/>
      <c r="S23" s="197"/>
      <c r="T23" s="197"/>
      <c r="U23" s="197"/>
    </row>
    <row r="24" spans="1:21" x14ac:dyDescent="0.25">
      <c r="B24" s="258" t="str">
        <f>S8</f>
        <v>[6]</v>
      </c>
      <c r="C24" s="233" t="s">
        <v>67</v>
      </c>
      <c r="D24" s="190"/>
      <c r="E24" s="213"/>
      <c r="F24" s="197"/>
      <c r="G24" s="202"/>
      <c r="H24" s="202"/>
      <c r="I24"/>
      <c r="J24"/>
      <c r="K24"/>
      <c r="L24" s="202"/>
      <c r="M24" s="202"/>
      <c r="N24" s="202"/>
      <c r="O24" s="202"/>
      <c r="P24" s="202"/>
      <c r="Q24" s="197"/>
      <c r="R24" s="192"/>
      <c r="S24" s="192"/>
      <c r="T24" s="192"/>
      <c r="U24" s="192"/>
    </row>
    <row r="25" spans="1:21" x14ac:dyDescent="0.25">
      <c r="B25" s="258" t="str">
        <f>T8</f>
        <v>[7]</v>
      </c>
      <c r="C25" s="233" t="str">
        <f>CONCATENATE("MAX(",R8,",",S8,")")</f>
        <v>MAX([5],[6])</v>
      </c>
      <c r="D25" s="190"/>
      <c r="E25" s="213"/>
      <c r="F25" s="197"/>
      <c r="G25" s="202"/>
      <c r="H25" s="202"/>
      <c r="I25"/>
      <c r="J25"/>
      <c r="K25"/>
      <c r="L25" s="202"/>
      <c r="M25" s="202"/>
      <c r="N25" s="202"/>
      <c r="O25" s="202"/>
      <c r="P25" s="202"/>
      <c r="Q25" s="197"/>
      <c r="R25" s="192"/>
      <c r="S25" s="192"/>
      <c r="T25" s="192"/>
      <c r="U25" s="192"/>
    </row>
    <row r="26" spans="1:21" x14ac:dyDescent="0.25">
      <c r="B26" s="258" t="str">
        <f>U8</f>
        <v>[8]</v>
      </c>
      <c r="C26" s="190" t="str">
        <f>CONCATENATE(R8," - ",T8)</f>
        <v>[5] - [7]</v>
      </c>
      <c r="D26" s="190"/>
      <c r="E26" s="213"/>
      <c r="F26" s="197"/>
      <c r="G26" s="202"/>
      <c r="H26" s="202"/>
      <c r="I26"/>
      <c r="J26"/>
      <c r="K26"/>
      <c r="L26" s="202"/>
      <c r="M26" s="202"/>
      <c r="N26" s="202"/>
      <c r="O26" s="202"/>
      <c r="P26" s="202"/>
      <c r="Q26" s="197"/>
      <c r="R26" s="192"/>
      <c r="S26" s="192"/>
      <c r="T26" s="192"/>
      <c r="U26" s="192"/>
    </row>
    <row r="27" spans="1:21" x14ac:dyDescent="0.25">
      <c r="B27" s="233"/>
      <c r="C27" s="190"/>
      <c r="D27" s="190"/>
      <c r="E27" s="213"/>
      <c r="F27" s="197"/>
      <c r="G27" s="202"/>
      <c r="H27" s="202"/>
      <c r="I27"/>
      <c r="J27"/>
      <c r="K27"/>
      <c r="L27" s="202"/>
      <c r="M27" s="202"/>
      <c r="N27" s="202"/>
      <c r="O27" s="202"/>
      <c r="P27" s="202"/>
      <c r="Q27" s="197"/>
      <c r="R27" s="192"/>
      <c r="S27" s="192"/>
      <c r="T27" s="192"/>
      <c r="U27" s="192"/>
    </row>
    <row r="28" spans="1:21" x14ac:dyDescent="0.25">
      <c r="B28" s="233"/>
      <c r="C28" s="233"/>
      <c r="D28" s="190"/>
      <c r="E28" s="213"/>
      <c r="F28" s="197"/>
      <c r="G28" s="202"/>
      <c r="H28" s="202"/>
      <c r="I28"/>
      <c r="J28"/>
      <c r="K28"/>
      <c r="L28" s="202"/>
      <c r="M28" s="202"/>
      <c r="N28" s="202"/>
      <c r="O28" s="202"/>
      <c r="P28" s="202"/>
      <c r="Q28" s="197"/>
      <c r="R28" s="192"/>
      <c r="S28" s="192"/>
      <c r="T28" s="192"/>
      <c r="U28" s="192"/>
    </row>
    <row r="29" spans="1:21" x14ac:dyDescent="0.25">
      <c r="B29" s="233"/>
      <c r="C29" s="233"/>
      <c r="D29" s="190"/>
      <c r="E29" s="213"/>
      <c r="F29" s="197"/>
      <c r="G29" s="202"/>
      <c r="H29" s="202"/>
      <c r="I29"/>
      <c r="J29"/>
      <c r="K29"/>
      <c r="L29" s="202"/>
      <c r="M29" s="202"/>
      <c r="N29" s="202"/>
      <c r="O29" s="202"/>
      <c r="P29" s="202"/>
      <c r="Q29" s="197"/>
      <c r="R29" s="192"/>
      <c r="S29" s="192"/>
      <c r="T29" s="192"/>
      <c r="U29" s="192"/>
    </row>
    <row r="30" spans="1:21" x14ac:dyDescent="0.25">
      <c r="B30" s="233"/>
      <c r="C30" s="233"/>
      <c r="D30" s="190"/>
      <c r="E30" s="213"/>
      <c r="F30" s="197"/>
      <c r="G30" s="202"/>
      <c r="H30" s="202"/>
      <c r="I30"/>
      <c r="J30"/>
      <c r="K30"/>
      <c r="L30" s="202"/>
      <c r="M30" s="202"/>
      <c r="N30" s="202"/>
      <c r="O30" s="202"/>
      <c r="P30" s="202"/>
      <c r="Q30" s="197"/>
      <c r="R30" s="192"/>
      <c r="S30" s="192"/>
      <c r="T30" s="192"/>
      <c r="U30" s="192"/>
    </row>
    <row r="31" spans="1:21" x14ac:dyDescent="0.25">
      <c r="B31" s="233"/>
      <c r="C31" s="233"/>
      <c r="D31" s="190"/>
      <c r="E31" s="213"/>
      <c r="F31" s="197"/>
      <c r="G31" s="202"/>
      <c r="H31" s="202"/>
      <c r="I31"/>
      <c r="J31"/>
      <c r="K31"/>
      <c r="L31" s="202"/>
      <c r="M31" s="202"/>
      <c r="N31" s="202"/>
      <c r="O31" s="202"/>
      <c r="P31" s="202"/>
      <c r="Q31" s="197"/>
      <c r="R31" s="192"/>
      <c r="S31" s="192"/>
      <c r="T31" s="192"/>
      <c r="U31" s="192"/>
    </row>
    <row r="32" spans="1:21" x14ac:dyDescent="0.25">
      <c r="B32" s="233"/>
      <c r="C32" s="233"/>
      <c r="D32" s="190"/>
      <c r="E32" s="213"/>
      <c r="F32" s="197"/>
      <c r="G32" s="202"/>
      <c r="H32" s="202"/>
      <c r="I32"/>
      <c r="J32"/>
      <c r="K32"/>
      <c r="L32" s="202"/>
      <c r="M32" s="202"/>
      <c r="N32" s="202"/>
      <c r="O32" s="202"/>
      <c r="P32" s="202"/>
      <c r="Q32" s="197"/>
      <c r="R32" s="192"/>
      <c r="S32" s="192"/>
      <c r="T32" s="192"/>
      <c r="U32" s="192"/>
    </row>
    <row r="33" spans="2:21" x14ac:dyDescent="0.25">
      <c r="B33" s="233"/>
      <c r="C33" s="233"/>
      <c r="D33" s="190"/>
      <c r="E33" s="213"/>
      <c r="F33" s="197"/>
      <c r="G33" s="202"/>
      <c r="H33" s="202"/>
      <c r="I33"/>
      <c r="J33"/>
      <c r="K33"/>
      <c r="L33" s="202"/>
      <c r="M33" s="202"/>
      <c r="N33" s="202"/>
      <c r="O33" s="202"/>
      <c r="P33" s="202"/>
      <c r="Q33" s="197"/>
      <c r="R33" s="192"/>
      <c r="S33" s="192"/>
      <c r="T33" s="192"/>
      <c r="U33" s="192"/>
    </row>
    <row r="34" spans="2:21" x14ac:dyDescent="0.25">
      <c r="B34" s="233"/>
      <c r="C34" s="233"/>
      <c r="D34" s="190"/>
      <c r="E34" s="213"/>
      <c r="F34" s="197"/>
      <c r="G34" s="202"/>
      <c r="H34" s="202"/>
      <c r="I34"/>
      <c r="J34"/>
      <c r="K34"/>
      <c r="L34" s="202"/>
      <c r="M34" s="202"/>
      <c r="N34" s="202"/>
      <c r="O34" s="202"/>
      <c r="P34" s="202"/>
      <c r="Q34" s="197"/>
      <c r="R34" s="192"/>
      <c r="S34" s="192"/>
      <c r="T34" s="192"/>
      <c r="U34" s="192"/>
    </row>
    <row r="35" spans="2:21" x14ac:dyDescent="0.25">
      <c r="B35" s="233"/>
      <c r="C35" s="233"/>
      <c r="D35" s="190"/>
      <c r="E35" s="213"/>
      <c r="F35" s="197"/>
      <c r="G35" s="202"/>
      <c r="H35" s="202"/>
      <c r="I35"/>
      <c r="J35"/>
      <c r="K35"/>
      <c r="L35" s="202"/>
      <c r="M35" s="202"/>
      <c r="N35" s="202"/>
      <c r="O35" s="202"/>
      <c r="P35" s="202"/>
      <c r="Q35" s="197"/>
      <c r="R35" s="192"/>
      <c r="S35" s="192"/>
      <c r="T35" s="192"/>
      <c r="U35" s="192"/>
    </row>
    <row r="36" spans="2:21" x14ac:dyDescent="0.25">
      <c r="B36" s="233"/>
      <c r="C36" s="233"/>
      <c r="D36" s="190"/>
      <c r="E36" s="213"/>
      <c r="F36" s="197"/>
      <c r="G36" s="202"/>
      <c r="H36" s="202"/>
      <c r="I36" s="202"/>
      <c r="J36" s="202"/>
      <c r="K36" s="202"/>
      <c r="L36" s="202"/>
      <c r="M36" s="202"/>
      <c r="N36" s="202"/>
      <c r="O36" s="202"/>
      <c r="P36" s="202"/>
      <c r="Q36" s="197"/>
      <c r="R36" s="192"/>
      <c r="S36" s="192"/>
      <c r="T36" s="192"/>
      <c r="U36" s="192"/>
    </row>
    <row r="37" spans="2:21" x14ac:dyDescent="0.25">
      <c r="B37" s="233"/>
      <c r="C37" s="233"/>
      <c r="D37" s="190"/>
      <c r="E37" s="213"/>
      <c r="F37" s="197"/>
      <c r="G37" s="202"/>
      <c r="H37" s="202"/>
      <c r="I37" s="202"/>
      <c r="J37" s="202"/>
      <c r="K37" s="202"/>
      <c r="L37" s="202"/>
      <c r="M37" s="202"/>
      <c r="N37" s="202"/>
      <c r="O37" s="202"/>
      <c r="P37" s="202"/>
      <c r="Q37" s="197"/>
      <c r="R37" s="192"/>
      <c r="S37" s="192"/>
      <c r="T37" s="192"/>
      <c r="U37" s="192"/>
    </row>
    <row r="38" spans="2:21" x14ac:dyDescent="0.25">
      <c r="B38" s="233"/>
      <c r="C38" s="233"/>
      <c r="D38" s="190"/>
      <c r="E38" s="213"/>
      <c r="F38" s="197"/>
      <c r="G38" s="202"/>
      <c r="H38" s="202"/>
      <c r="I38" s="202"/>
      <c r="J38" s="202"/>
      <c r="K38" s="202"/>
      <c r="L38" s="202"/>
      <c r="M38" s="202"/>
      <c r="N38" s="202"/>
      <c r="O38" s="202"/>
      <c r="P38" s="202"/>
      <c r="Q38" s="197"/>
      <c r="R38" s="192"/>
      <c r="S38" s="192"/>
      <c r="T38" s="192"/>
      <c r="U38" s="192"/>
    </row>
    <row r="39" spans="2:21" x14ac:dyDescent="0.25">
      <c r="B39" s="233"/>
      <c r="C39" s="233"/>
      <c r="D39" s="190"/>
      <c r="E39" s="213"/>
      <c r="F39" s="197"/>
      <c r="G39" s="202"/>
      <c r="H39" s="202"/>
      <c r="I39" s="202"/>
      <c r="J39" s="202"/>
      <c r="K39" s="202"/>
      <c r="L39" s="202"/>
      <c r="M39" s="202"/>
      <c r="N39" s="202"/>
      <c r="O39" s="202"/>
      <c r="P39" s="202"/>
      <c r="Q39" s="197"/>
      <c r="R39" s="192"/>
      <c r="S39" s="192"/>
      <c r="T39" s="192"/>
      <c r="U39" s="192"/>
    </row>
    <row r="40" spans="2:21" x14ac:dyDescent="0.25">
      <c r="B40" s="233"/>
      <c r="C40" s="233"/>
      <c r="D40" s="190"/>
      <c r="E40" s="213"/>
      <c r="F40" s="197"/>
      <c r="G40" s="202"/>
      <c r="H40" s="202"/>
      <c r="I40" s="202"/>
      <c r="J40" s="202"/>
      <c r="K40" s="202"/>
      <c r="L40" s="202"/>
      <c r="M40" s="202"/>
      <c r="N40" s="202"/>
      <c r="O40" s="202"/>
      <c r="P40" s="202"/>
      <c r="Q40" s="197"/>
      <c r="R40" s="192"/>
      <c r="S40" s="192"/>
      <c r="T40" s="192"/>
      <c r="U40" s="192"/>
    </row>
    <row r="41" spans="2:21" x14ac:dyDescent="0.25">
      <c r="B41" s="233"/>
      <c r="C41" s="233"/>
      <c r="D41" s="190"/>
      <c r="E41" s="213"/>
      <c r="F41" s="197"/>
      <c r="G41" s="202"/>
      <c r="H41" s="202"/>
      <c r="I41" s="202"/>
      <c r="J41" s="202"/>
      <c r="K41" s="202"/>
      <c r="L41" s="202"/>
      <c r="M41" s="202"/>
      <c r="N41" s="202"/>
      <c r="O41" s="202"/>
      <c r="P41" s="202"/>
      <c r="Q41" s="197"/>
      <c r="R41" s="192"/>
      <c r="S41" s="192"/>
      <c r="T41" s="192"/>
      <c r="U41" s="192"/>
    </row>
    <row r="42" spans="2:21" x14ac:dyDescent="0.25">
      <c r="B42" s="233"/>
      <c r="C42" s="233"/>
      <c r="D42" s="190"/>
      <c r="E42" s="213"/>
      <c r="F42" s="197"/>
      <c r="G42" s="202"/>
      <c r="H42" s="202"/>
      <c r="I42" s="202"/>
      <c r="J42" s="202"/>
      <c r="K42" s="202"/>
      <c r="L42" s="202"/>
      <c r="M42" s="202"/>
      <c r="N42" s="202"/>
      <c r="O42" s="202"/>
      <c r="P42" s="202"/>
      <c r="Q42" s="197"/>
      <c r="R42" s="192"/>
      <c r="S42" s="192"/>
      <c r="T42" s="192"/>
      <c r="U42" s="192"/>
    </row>
    <row r="43" spans="2:21" x14ac:dyDescent="0.25">
      <c r="B43" s="233"/>
      <c r="C43" s="233"/>
      <c r="D43" s="190"/>
      <c r="E43" s="213"/>
      <c r="F43" s="197"/>
      <c r="G43" s="202"/>
      <c r="H43" s="202"/>
      <c r="I43" s="202"/>
      <c r="J43" s="202"/>
      <c r="K43" s="202"/>
      <c r="L43" s="202"/>
      <c r="M43" s="202"/>
      <c r="N43" s="202"/>
      <c r="O43" s="202"/>
      <c r="P43" s="202"/>
      <c r="Q43" s="197"/>
      <c r="R43" s="192"/>
      <c r="S43" s="192"/>
      <c r="T43" s="192"/>
      <c r="U43" s="192"/>
    </row>
  </sheetData>
  <conditionalFormatting sqref="R14:U14 S13:U13">
    <cfRule type="cellIs" dxfId="4" priority="19" operator="equal">
      <formula>0</formula>
    </cfRule>
  </conditionalFormatting>
  <conditionalFormatting sqref="T6">
    <cfRule type="cellIs" dxfId="3" priority="4" operator="lessThan">
      <formula>0</formula>
    </cfRule>
  </conditionalFormatting>
  <conditionalFormatting sqref="U6">
    <cfRule type="cellIs" dxfId="2" priority="3" operator="lessThan">
      <formula>0</formula>
    </cfRule>
  </conditionalFormatting>
  <conditionalFormatting sqref="R6">
    <cfRule type="cellIs" dxfId="1" priority="2" operator="lessThan">
      <formula>0</formula>
    </cfRule>
  </conditionalFormatting>
  <conditionalFormatting sqref="P6">
    <cfRule type="cellIs" dxfId="0" priority="1" operator="lessThan">
      <formula>0</formula>
    </cfRule>
  </conditionalFormatting>
  <printOptions horizontalCentered="1" verticalCentered="1"/>
  <pageMargins left="0.7" right="0.7" top="0.75" bottom="0.75" header="0.3" footer="0.3"/>
  <pageSetup scale="68" fitToHeight="0" orientation="landscape" horizontalDpi="1200" verticalDpi="1200" r:id="rId1"/>
  <headerFooter scaleWithDoc="0">
    <oddFooter>&amp;R&amp;F&amp;A&amp;P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sheetPr>
  <dimension ref="A1"/>
  <sheetViews>
    <sheetView topLeftCell="A1048576" zoomScale="80" zoomScaleNormal="80" workbookViewId="0">
      <selection activeCell="F14" sqref="F14"/>
    </sheetView>
  </sheetViews>
  <sheetFormatPr defaultRowHeight="15" zeroHeight="1" x14ac:dyDescent="0.25"/>
  <sheetData>
    <row r="1" hidden="1" x14ac:dyDescent="0.25"/>
  </sheetData>
  <printOptions horizontalCentered="1" verticalCentered="1"/>
  <pageMargins left="0.7" right="0.7" top="0.75" bottom="0.75" header="0.3" footer="0.3"/>
  <pageSetup orientation="landscape" horizontalDpi="1200" verticalDpi="1200" r:id="rId1"/>
  <headerFooter scaleWithDoc="0">
    <oddHeader>&amp;R&amp;"Calibri,Regular"&amp;11Privileged and Confidential
Prepared at the Request of Counsel</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G68"/>
  <sheetViews>
    <sheetView view="pageBreakPreview" zoomScale="60" zoomScaleNormal="80" workbookViewId="0"/>
  </sheetViews>
  <sheetFormatPr defaultRowHeight="15.75" outlineLevelRow="1" outlineLevelCol="1" x14ac:dyDescent="0.25"/>
  <cols>
    <col min="1" max="1" width="38.42578125" style="8" customWidth="1" outlineLevel="1"/>
    <col min="2" max="2" width="40.85546875" style="5" customWidth="1"/>
    <col min="3" max="3" width="11.42578125" style="5" bestFit="1" customWidth="1"/>
    <col min="4" max="4" width="33.42578125" style="5" bestFit="1" customWidth="1"/>
    <col min="5" max="5" width="25" style="5" bestFit="1" customWidth="1"/>
    <col min="6" max="6" width="24.42578125" style="5" bestFit="1" customWidth="1"/>
    <col min="7" max="7" width="18.85546875" style="233" bestFit="1" customWidth="1"/>
    <col min="8" max="16384" width="9.140625" style="5"/>
  </cols>
  <sheetData>
    <row r="1" spans="1:7" s="8" customFormat="1" outlineLevel="1" x14ac:dyDescent="0.25">
      <c r="D1" s="8">
        <v>1</v>
      </c>
      <c r="E1" s="8">
        <f t="shared" ref="E1:G1" si="0">D1+1</f>
        <v>2</v>
      </c>
      <c r="F1" s="8">
        <f t="shared" si="0"/>
        <v>3</v>
      </c>
      <c r="G1" s="28">
        <f t="shared" si="0"/>
        <v>4</v>
      </c>
    </row>
    <row r="3" spans="1:7" ht="18.75" x14ac:dyDescent="0.3">
      <c r="B3" s="3" t="s">
        <v>50</v>
      </c>
      <c r="C3" s="10"/>
      <c r="D3" s="10"/>
      <c r="E3" s="10"/>
      <c r="F3" s="10"/>
      <c r="G3" s="157"/>
    </row>
    <row r="4" spans="1:7" ht="6" customHeight="1" thickBot="1" x14ac:dyDescent="0.3">
      <c r="B4" s="6"/>
      <c r="C4" s="6"/>
      <c r="D4" s="6"/>
      <c r="E4" s="6"/>
      <c r="F4" s="6"/>
      <c r="G4" s="187"/>
    </row>
    <row r="5" spans="1:7" ht="6" customHeight="1" thickTop="1" x14ac:dyDescent="0.25"/>
    <row r="6" spans="1:7" x14ac:dyDescent="0.25">
      <c r="B6" s="10"/>
      <c r="C6" s="9" t="s">
        <v>34</v>
      </c>
      <c r="D6" s="9" t="s">
        <v>31</v>
      </c>
      <c r="E6" s="9" t="s">
        <v>32</v>
      </c>
      <c r="F6" s="9" t="s">
        <v>24</v>
      </c>
      <c r="G6" s="162" t="s">
        <v>25</v>
      </c>
    </row>
    <row r="7" spans="1:7" x14ac:dyDescent="0.25">
      <c r="B7" s="9"/>
      <c r="C7" s="9"/>
      <c r="D7" s="9" t="s">
        <v>22</v>
      </c>
      <c r="E7" s="9" t="s">
        <v>22</v>
      </c>
      <c r="F7" s="9" t="s">
        <v>22</v>
      </c>
    </row>
    <row r="8" spans="1:7" x14ac:dyDescent="0.25">
      <c r="B8" s="9"/>
      <c r="C8" s="9"/>
      <c r="D8" s="9" t="str">
        <f>"["&amp;D$1&amp;"]"</f>
        <v>[1]</v>
      </c>
      <c r="E8" s="9" t="str">
        <f t="shared" ref="E8:G8" si="1">"["&amp;E$1&amp;"]"</f>
        <v>[2]</v>
      </c>
      <c r="F8" s="9" t="str">
        <f t="shared" si="1"/>
        <v>[3]</v>
      </c>
      <c r="G8" s="162" t="str">
        <f t="shared" si="1"/>
        <v>[4]</v>
      </c>
    </row>
    <row r="9" spans="1:7" ht="6" customHeight="1" x14ac:dyDescent="0.25">
      <c r="B9" s="7"/>
      <c r="C9" s="7"/>
      <c r="D9" s="7"/>
      <c r="E9" s="7"/>
      <c r="F9" s="7"/>
      <c r="G9" s="234"/>
    </row>
    <row r="10" spans="1:7" ht="6" customHeight="1" x14ac:dyDescent="0.25"/>
    <row r="11" spans="1:7" x14ac:dyDescent="0.25">
      <c r="A11" s="8" t="s">
        <v>26</v>
      </c>
      <c r="B11" s="5" t="s">
        <v>18</v>
      </c>
      <c r="C11" s="5" t="s">
        <v>37</v>
      </c>
      <c r="D11" s="14">
        <v>44395.25</v>
      </c>
      <c r="E11" s="15">
        <v>53028.242500000008</v>
      </c>
      <c r="F11" s="16">
        <v>44036.75</v>
      </c>
      <c r="G11" s="176">
        <f>IFERROR(F11/D11,"")</f>
        <v>0.99192481177603464</v>
      </c>
    </row>
    <row r="12" spans="1:7" x14ac:dyDescent="0.25">
      <c r="A12" s="8" t="s">
        <v>27</v>
      </c>
      <c r="B12" s="5" t="s">
        <v>78</v>
      </c>
      <c r="C12" s="5" t="s">
        <v>36</v>
      </c>
      <c r="D12" s="14">
        <v>10244.025</v>
      </c>
      <c r="E12" s="15">
        <v>53028.242500000008</v>
      </c>
      <c r="F12" s="16">
        <v>8991.4925000000003</v>
      </c>
      <c r="G12" s="176">
        <f t="shared" ref="G12" si="2">IFERROR(F12/D12,"")</f>
        <v>0.87773043310612775</v>
      </c>
    </row>
    <row r="13" spans="1:7" ht="6" customHeight="1" thickBot="1" x14ac:dyDescent="0.3">
      <c r="B13" s="6"/>
      <c r="C13" s="6"/>
      <c r="D13" s="6"/>
      <c r="E13" s="6"/>
      <c r="F13" s="6"/>
      <c r="G13" s="187"/>
    </row>
    <row r="14" spans="1:7" ht="6" customHeight="1" thickTop="1" x14ac:dyDescent="0.25"/>
    <row r="17" spans="1:7" ht="18.75" x14ac:dyDescent="0.3">
      <c r="B17" s="3" t="s">
        <v>51</v>
      </c>
      <c r="C17" s="3"/>
      <c r="D17" s="4"/>
      <c r="E17" s="4"/>
      <c r="F17" s="4"/>
      <c r="G17" s="171"/>
    </row>
    <row r="18" spans="1:7" ht="6" customHeight="1" thickBot="1" x14ac:dyDescent="0.3">
      <c r="B18" s="6"/>
      <c r="C18" s="6"/>
      <c r="D18" s="6"/>
      <c r="E18" s="6"/>
      <c r="F18" s="6"/>
      <c r="G18" s="187"/>
    </row>
    <row r="19" spans="1:7" ht="6" customHeight="1" thickTop="1" x14ac:dyDescent="0.25"/>
    <row r="20" spans="1:7" x14ac:dyDescent="0.25">
      <c r="B20" s="10"/>
      <c r="C20" s="9" t="s">
        <v>34</v>
      </c>
      <c r="D20" s="9" t="s">
        <v>31</v>
      </c>
      <c r="E20" s="9" t="s">
        <v>32</v>
      </c>
      <c r="F20" s="9" t="s">
        <v>24</v>
      </c>
      <c r="G20" s="162" t="s">
        <v>25</v>
      </c>
    </row>
    <row r="21" spans="1:7" x14ac:dyDescent="0.25">
      <c r="B21" s="9"/>
      <c r="C21" s="9"/>
      <c r="D21" s="9" t="s">
        <v>22</v>
      </c>
      <c r="E21" s="9" t="s">
        <v>22</v>
      </c>
      <c r="F21" s="9" t="s">
        <v>22</v>
      </c>
    </row>
    <row r="22" spans="1:7" x14ac:dyDescent="0.25">
      <c r="B22" s="9"/>
      <c r="C22" s="9"/>
      <c r="D22" s="9" t="str">
        <f>"["&amp;D$1&amp;"]"</f>
        <v>[1]</v>
      </c>
      <c r="E22" s="9" t="str">
        <f t="shared" ref="E22:G22" si="3">"["&amp;E$1&amp;"]"</f>
        <v>[2]</v>
      </c>
      <c r="F22" s="9" t="str">
        <f t="shared" si="3"/>
        <v>[3]</v>
      </c>
      <c r="G22" s="162" t="str">
        <f t="shared" si="3"/>
        <v>[4]</v>
      </c>
    </row>
    <row r="23" spans="1:7" ht="6" customHeight="1" x14ac:dyDescent="0.25">
      <c r="B23" s="7"/>
      <c r="C23" s="7"/>
      <c r="D23" s="7"/>
      <c r="E23" s="7"/>
      <c r="F23" s="7"/>
      <c r="G23" s="234"/>
    </row>
    <row r="24" spans="1:7" ht="6" customHeight="1" x14ac:dyDescent="0.25"/>
    <row r="25" spans="1:7" x14ac:dyDescent="0.25">
      <c r="A25" s="8" t="s">
        <v>26</v>
      </c>
      <c r="B25" s="5" t="s">
        <v>18</v>
      </c>
      <c r="C25" s="5" t="s">
        <v>37</v>
      </c>
      <c r="D25" s="14">
        <v>44395.25</v>
      </c>
      <c r="E25" s="15">
        <v>50397.032499999994</v>
      </c>
      <c r="F25" s="16">
        <v>44375</v>
      </c>
      <c r="G25" s="176">
        <f t="shared" ref="G25:G47" si="4">IFERROR(F25/D25,"")</f>
        <v>0.99954387012124046</v>
      </c>
    </row>
    <row r="26" spans="1:7" x14ac:dyDescent="0.25">
      <c r="A26" s="8" t="s">
        <v>26</v>
      </c>
      <c r="B26" s="5" t="s">
        <v>4</v>
      </c>
      <c r="C26" s="5" t="s">
        <v>37</v>
      </c>
      <c r="D26" s="14">
        <v>6279.57</v>
      </c>
      <c r="E26" s="15">
        <v>50397.032499999994</v>
      </c>
      <c r="F26" s="16">
        <v>6022.0324999999993</v>
      </c>
      <c r="G26" s="176">
        <f t="shared" si="4"/>
        <v>0.95898803580499936</v>
      </c>
    </row>
    <row r="27" spans="1:7" x14ac:dyDescent="0.25">
      <c r="A27" s="8" t="s">
        <v>27</v>
      </c>
      <c r="B27" s="5" t="s">
        <v>1</v>
      </c>
      <c r="C27" s="5" t="s">
        <v>36</v>
      </c>
      <c r="D27" s="14">
        <v>2332</v>
      </c>
      <c r="E27" s="15">
        <v>35229.907500000001</v>
      </c>
      <c r="F27" s="16">
        <v>2024.25</v>
      </c>
      <c r="G27" s="176">
        <f t="shared" si="4"/>
        <v>0.86803173241852483</v>
      </c>
    </row>
    <row r="28" spans="1:7" x14ac:dyDescent="0.25">
      <c r="A28" s="8" t="s">
        <v>27</v>
      </c>
      <c r="B28" s="5" t="s">
        <v>17</v>
      </c>
      <c r="C28" s="5" t="s">
        <v>36</v>
      </c>
      <c r="D28" s="14">
        <v>2946.25</v>
      </c>
      <c r="E28" s="15">
        <v>35229.907500000001</v>
      </c>
      <c r="F28" s="16">
        <v>2650.75</v>
      </c>
      <c r="G28" s="176">
        <f t="shared" si="4"/>
        <v>0.89970301230377603</v>
      </c>
    </row>
    <row r="29" spans="1:7" x14ac:dyDescent="0.25">
      <c r="A29" s="8" t="s">
        <v>27</v>
      </c>
      <c r="B29" s="5" t="s">
        <v>2</v>
      </c>
      <c r="C29" s="5" t="s">
        <v>36</v>
      </c>
      <c r="D29" s="14">
        <v>3548.25</v>
      </c>
      <c r="E29" s="15">
        <v>35229.907500000001</v>
      </c>
      <c r="F29" s="16">
        <v>3469.75</v>
      </c>
      <c r="G29" s="176">
        <f t="shared" si="4"/>
        <v>0.97787641795251179</v>
      </c>
    </row>
    <row r="30" spans="1:7" x14ac:dyDescent="0.25">
      <c r="A30" s="8" t="s">
        <v>27</v>
      </c>
      <c r="B30" s="5" t="s">
        <v>5</v>
      </c>
      <c r="C30" s="5" t="s">
        <v>36</v>
      </c>
      <c r="D30" s="14">
        <v>5784.75</v>
      </c>
      <c r="E30" s="15">
        <v>35229.907500000001</v>
      </c>
      <c r="F30" s="16">
        <v>4905.25</v>
      </c>
      <c r="G30" s="176">
        <f t="shared" si="4"/>
        <v>0.84796231470677208</v>
      </c>
    </row>
    <row r="31" spans="1:7" x14ac:dyDescent="0.25">
      <c r="A31" s="8" t="s">
        <v>27</v>
      </c>
      <c r="B31" s="5" t="s">
        <v>20</v>
      </c>
      <c r="C31" s="5" t="s">
        <v>36</v>
      </c>
      <c r="D31" s="14">
        <v>1740.5</v>
      </c>
      <c r="E31" s="15">
        <v>35229.907500000001</v>
      </c>
      <c r="F31" s="16">
        <v>1552.5</v>
      </c>
      <c r="G31" s="176">
        <f t="shared" si="4"/>
        <v>0.89198506176386094</v>
      </c>
    </row>
    <row r="32" spans="1:7" x14ac:dyDescent="0.25">
      <c r="A32" s="8" t="s">
        <v>27</v>
      </c>
      <c r="B32" s="5" t="s">
        <v>78</v>
      </c>
      <c r="C32" s="5" t="s">
        <v>36</v>
      </c>
      <c r="D32" s="14">
        <v>10244.025</v>
      </c>
      <c r="E32" s="15">
        <v>35229.907500000001</v>
      </c>
      <c r="F32" s="16">
        <v>10141.657499999999</v>
      </c>
      <c r="G32" s="176">
        <f t="shared" si="4"/>
        <v>0.99000710170074746</v>
      </c>
    </row>
    <row r="33" spans="1:7" x14ac:dyDescent="0.25">
      <c r="A33" s="8" t="s">
        <v>27</v>
      </c>
      <c r="B33" s="5" t="s">
        <v>21</v>
      </c>
      <c r="C33" s="5" t="s">
        <v>36</v>
      </c>
      <c r="D33" s="14">
        <v>3820.75</v>
      </c>
      <c r="E33" s="15">
        <v>35229.907500000001</v>
      </c>
      <c r="F33" s="16">
        <v>3338</v>
      </c>
      <c r="G33" s="176">
        <f t="shared" si="4"/>
        <v>0.87365046129686574</v>
      </c>
    </row>
    <row r="34" spans="1:7" x14ac:dyDescent="0.25">
      <c r="A34" s="8" t="s">
        <v>27</v>
      </c>
      <c r="B34" s="5" t="s">
        <v>6</v>
      </c>
      <c r="C34" s="5" t="s">
        <v>36</v>
      </c>
      <c r="D34" s="14">
        <v>711</v>
      </c>
      <c r="E34" s="15">
        <v>35229.907500000001</v>
      </c>
      <c r="F34" s="16">
        <v>493</v>
      </c>
      <c r="G34" s="176">
        <f t="shared" si="4"/>
        <v>0.69338959212376938</v>
      </c>
    </row>
    <row r="35" spans="1:7" x14ac:dyDescent="0.25">
      <c r="A35" s="8" t="s">
        <v>27</v>
      </c>
      <c r="B35" s="5" t="s">
        <v>7</v>
      </c>
      <c r="C35" s="5" t="s">
        <v>36</v>
      </c>
      <c r="D35" s="14">
        <v>377.5</v>
      </c>
      <c r="E35" s="15">
        <v>35229.907500000001</v>
      </c>
      <c r="F35" s="16">
        <v>243.75</v>
      </c>
      <c r="G35" s="176">
        <f t="shared" si="4"/>
        <v>0.64569536423841056</v>
      </c>
    </row>
    <row r="36" spans="1:7" x14ac:dyDescent="0.25">
      <c r="A36" s="8" t="s">
        <v>27</v>
      </c>
      <c r="B36" s="5" t="s">
        <v>8</v>
      </c>
      <c r="C36" s="5" t="s">
        <v>36</v>
      </c>
      <c r="D36" s="14">
        <v>715.5</v>
      </c>
      <c r="E36" s="15">
        <v>35229.907500000001</v>
      </c>
      <c r="F36" s="16">
        <v>693.5</v>
      </c>
      <c r="G36" s="176">
        <f t="shared" si="4"/>
        <v>0.96925227113906354</v>
      </c>
    </row>
    <row r="37" spans="1:7" x14ac:dyDescent="0.25">
      <c r="A37" s="8" t="s">
        <v>27</v>
      </c>
      <c r="B37" s="5" t="s">
        <v>11</v>
      </c>
      <c r="C37" s="5" t="s">
        <v>36</v>
      </c>
      <c r="D37" s="14">
        <v>4813</v>
      </c>
      <c r="E37" s="15">
        <v>35229.907500000001</v>
      </c>
      <c r="F37" s="16">
        <v>3249</v>
      </c>
      <c r="G37" s="176">
        <f t="shared" si="4"/>
        <v>0.67504674838977774</v>
      </c>
    </row>
    <row r="38" spans="1:7" x14ac:dyDescent="0.25">
      <c r="A38" s="8" t="s">
        <v>27</v>
      </c>
      <c r="B38" s="5" t="s">
        <v>13</v>
      </c>
      <c r="C38" s="5" t="s">
        <v>36</v>
      </c>
      <c r="D38" s="14">
        <v>1850.75</v>
      </c>
      <c r="E38" s="15">
        <v>35229.907500000001</v>
      </c>
      <c r="F38" s="16">
        <v>1311.75</v>
      </c>
      <c r="G38" s="176">
        <f t="shared" si="4"/>
        <v>0.70876671619613674</v>
      </c>
    </row>
    <row r="39" spans="1:7" x14ac:dyDescent="0.25">
      <c r="A39" s="8" t="s">
        <v>27</v>
      </c>
      <c r="B39" s="5" t="s">
        <v>14</v>
      </c>
      <c r="C39" s="5" t="s">
        <v>36</v>
      </c>
      <c r="D39" s="14">
        <v>995</v>
      </c>
      <c r="E39" s="15">
        <v>35229.907500000001</v>
      </c>
      <c r="F39" s="16">
        <v>602.5</v>
      </c>
      <c r="G39" s="176">
        <f t="shared" si="4"/>
        <v>0.60552763819095479</v>
      </c>
    </row>
    <row r="40" spans="1:7" x14ac:dyDescent="0.25">
      <c r="A40" s="8" t="s">
        <v>27</v>
      </c>
      <c r="B40" s="5" t="s">
        <v>16</v>
      </c>
      <c r="C40" s="5" t="s">
        <v>36</v>
      </c>
      <c r="D40" s="14">
        <v>598.75</v>
      </c>
      <c r="E40" s="15">
        <v>35229.907500000001</v>
      </c>
      <c r="F40" s="16">
        <v>554.25</v>
      </c>
      <c r="G40" s="176">
        <f>IFERROR(F40/D40,"")</f>
        <v>0.92567849686847603</v>
      </c>
    </row>
    <row r="41" spans="1:7" x14ac:dyDescent="0.25">
      <c r="A41" s="8" t="s">
        <v>28</v>
      </c>
      <c r="B41" s="5" t="s">
        <v>9</v>
      </c>
      <c r="C41" s="5" t="s">
        <v>38</v>
      </c>
      <c r="D41" s="14">
        <v>7393</v>
      </c>
      <c r="E41" s="15">
        <v>7393</v>
      </c>
      <c r="F41" s="16">
        <v>7393</v>
      </c>
      <c r="G41" s="176">
        <f t="shared" si="4"/>
        <v>1</v>
      </c>
    </row>
    <row r="42" spans="1:7" x14ac:dyDescent="0.25">
      <c r="A42" s="8" t="s">
        <v>29</v>
      </c>
      <c r="B42" s="5" t="s">
        <v>0</v>
      </c>
      <c r="C42" s="5" t="s">
        <v>35</v>
      </c>
      <c r="D42" s="14">
        <v>7103.5</v>
      </c>
      <c r="E42" s="15">
        <v>21303.5</v>
      </c>
      <c r="F42" s="16">
        <v>7051.25</v>
      </c>
      <c r="G42" s="176">
        <f t="shared" si="4"/>
        <v>0.9926444710354051</v>
      </c>
    </row>
    <row r="43" spans="1:7" x14ac:dyDescent="0.25">
      <c r="A43" s="8" t="s">
        <v>29</v>
      </c>
      <c r="B43" s="5" t="s">
        <v>19</v>
      </c>
      <c r="C43" s="5" t="s">
        <v>35</v>
      </c>
      <c r="D43" s="14">
        <v>1750.75</v>
      </c>
      <c r="E43" s="15">
        <v>21303.5</v>
      </c>
      <c r="F43" s="16">
        <v>1605.5</v>
      </c>
      <c r="G43" s="176">
        <f t="shared" si="4"/>
        <v>0.91703555619020416</v>
      </c>
    </row>
    <row r="44" spans="1:7" x14ac:dyDescent="0.25">
      <c r="A44" s="8" t="s">
        <v>29</v>
      </c>
      <c r="B44" s="5" t="s">
        <v>3</v>
      </c>
      <c r="C44" s="5" t="s">
        <v>35</v>
      </c>
      <c r="D44" s="14">
        <v>975.75</v>
      </c>
      <c r="E44" s="15">
        <v>21303.5</v>
      </c>
      <c r="F44" s="16">
        <v>950.75</v>
      </c>
      <c r="G44" s="176">
        <f t="shared" si="4"/>
        <v>0.97437868306430953</v>
      </c>
    </row>
    <row r="45" spans="1:7" x14ac:dyDescent="0.25">
      <c r="A45" s="8" t="s">
        <v>29</v>
      </c>
      <c r="B45" s="5" t="s">
        <v>10</v>
      </c>
      <c r="C45" s="5" t="s">
        <v>35</v>
      </c>
      <c r="D45" s="14">
        <v>1943.75</v>
      </c>
      <c r="E45" s="15">
        <v>21303.5</v>
      </c>
      <c r="F45" s="16">
        <v>1744.75</v>
      </c>
      <c r="G45" s="176">
        <f t="shared" si="4"/>
        <v>0.89762057877813506</v>
      </c>
    </row>
    <row r="46" spans="1:7" x14ac:dyDescent="0.25">
      <c r="A46" s="8" t="s">
        <v>29</v>
      </c>
      <c r="B46" s="5" t="s">
        <v>12</v>
      </c>
      <c r="C46" s="5" t="s">
        <v>35</v>
      </c>
      <c r="D46" s="14">
        <v>6787.25</v>
      </c>
      <c r="E46" s="15">
        <v>21303.5</v>
      </c>
      <c r="F46" s="16">
        <v>6782.5</v>
      </c>
      <c r="G46" s="176">
        <f t="shared" si="4"/>
        <v>0.99930015838520758</v>
      </c>
    </row>
    <row r="47" spans="1:7" x14ac:dyDescent="0.25">
      <c r="A47" s="8" t="s">
        <v>29</v>
      </c>
      <c r="B47" s="5" t="s">
        <v>15</v>
      </c>
      <c r="C47" s="5" t="s">
        <v>35</v>
      </c>
      <c r="D47" s="14">
        <v>3507.25</v>
      </c>
      <c r="E47" s="15">
        <v>21303.5</v>
      </c>
      <c r="F47" s="16">
        <v>3168.75</v>
      </c>
      <c r="G47" s="176">
        <f t="shared" si="4"/>
        <v>0.90348563689500316</v>
      </c>
    </row>
    <row r="48" spans="1:7" ht="6" customHeight="1" x14ac:dyDescent="0.25">
      <c r="A48" s="11"/>
      <c r="B48" s="7"/>
      <c r="C48" s="7"/>
      <c r="D48" s="17"/>
      <c r="E48" s="18"/>
      <c r="F48" s="19"/>
      <c r="G48" s="169"/>
    </row>
    <row r="49" spans="1:7" ht="6" customHeight="1" x14ac:dyDescent="0.25">
      <c r="D49" s="14"/>
      <c r="E49" s="15"/>
      <c r="F49" s="16"/>
      <c r="G49" s="176"/>
    </row>
    <row r="50" spans="1:7" x14ac:dyDescent="0.25">
      <c r="A50" s="8" t="s">
        <v>26</v>
      </c>
      <c r="B50" s="5" t="s">
        <v>37</v>
      </c>
      <c r="C50" s="5" t="s">
        <v>48</v>
      </c>
      <c r="D50" s="14">
        <v>50397.032499999994</v>
      </c>
      <c r="E50" s="15">
        <v>108630.77249999999</v>
      </c>
      <c r="F50" s="16">
        <v>48813.759999999995</v>
      </c>
      <c r="G50" s="176">
        <f>IFERROR(F50/D50,"")</f>
        <v>0.96858401335435773</v>
      </c>
    </row>
    <row r="51" spans="1:7" x14ac:dyDescent="0.25">
      <c r="A51" s="8" t="s">
        <v>27</v>
      </c>
      <c r="B51" s="5" t="s">
        <v>36</v>
      </c>
      <c r="C51" s="5" t="s">
        <v>48</v>
      </c>
      <c r="D51" s="14">
        <v>35229.907500000001</v>
      </c>
      <c r="E51" s="15">
        <v>108630.77249999999</v>
      </c>
      <c r="F51" s="16">
        <v>34718.762499999997</v>
      </c>
      <c r="G51" s="176">
        <f t="shared" ref="G51:G53" si="5">IFERROR(F51/D51,"")</f>
        <v>0.98549116258678782</v>
      </c>
    </row>
    <row r="52" spans="1:7" x14ac:dyDescent="0.25">
      <c r="A52" s="8" t="s">
        <v>28</v>
      </c>
      <c r="B52" s="5" t="s">
        <v>38</v>
      </c>
      <c r="C52" s="5" t="s">
        <v>48</v>
      </c>
      <c r="D52" s="14">
        <v>7393</v>
      </c>
      <c r="E52" s="15">
        <v>108630.77249999999</v>
      </c>
      <c r="F52" s="16">
        <v>4999.5</v>
      </c>
      <c r="G52" s="176">
        <f t="shared" si="5"/>
        <v>0.67624780197484102</v>
      </c>
    </row>
    <row r="53" spans="1:7" x14ac:dyDescent="0.25">
      <c r="A53" s="8" t="s">
        <v>29</v>
      </c>
      <c r="B53" s="5" t="s">
        <v>35</v>
      </c>
      <c r="C53" s="5" t="s">
        <v>48</v>
      </c>
      <c r="D53" s="14">
        <v>21303.5</v>
      </c>
      <c r="E53" s="15">
        <v>108630.77249999999</v>
      </c>
      <c r="F53" s="16">
        <v>20098.75</v>
      </c>
      <c r="G53" s="176">
        <f t="shared" si="5"/>
        <v>0.94344825967564017</v>
      </c>
    </row>
    <row r="54" spans="1:7" ht="6" customHeight="1" thickBot="1" x14ac:dyDescent="0.3">
      <c r="B54" s="6"/>
      <c r="C54" s="2"/>
      <c r="D54" s="6"/>
      <c r="E54" s="6"/>
      <c r="F54" s="6"/>
      <c r="G54" s="187"/>
    </row>
    <row r="55" spans="1:7" ht="6" customHeight="1" thickTop="1" x14ac:dyDescent="0.25">
      <c r="C55" s="1"/>
    </row>
    <row r="56" spans="1:7" x14ac:dyDescent="0.25">
      <c r="B56" s="5" t="s">
        <v>152</v>
      </c>
    </row>
    <row r="57" spans="1:7" x14ac:dyDescent="0.25">
      <c r="D57" s="12"/>
      <c r="F57" s="12"/>
      <c r="G57" s="174"/>
    </row>
    <row r="58" spans="1:7" x14ac:dyDescent="0.25">
      <c r="F58" s="12"/>
    </row>
    <row r="61" spans="1:7" x14ac:dyDescent="0.25">
      <c r="G61" s="174"/>
    </row>
    <row r="68" ht="6" customHeight="1" x14ac:dyDescent="0.25"/>
  </sheetData>
  <sortState ref="B11:J37">
    <sortCondition ref="C11:C37"/>
    <sortCondition ref="B11:B37"/>
  </sortState>
  <printOptions horizontalCentered="1" verticalCentered="1"/>
  <pageMargins left="0.7" right="0.7" top="0.75" bottom="0.75" header="0.3" footer="0.3"/>
  <pageSetup scale="73" orientation="landscape" horizontalDpi="1200" verticalDpi="1200" r:id="rId1"/>
  <headerFooter scaleWithDoc="0">
    <oddFooter>&amp;R&amp;F&amp;A&amp;P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G68"/>
  <sheetViews>
    <sheetView view="pageBreakPreview" zoomScale="60" zoomScaleNormal="80" workbookViewId="0"/>
  </sheetViews>
  <sheetFormatPr defaultRowHeight="15.75" outlineLevelRow="1" outlineLevelCol="1" x14ac:dyDescent="0.25"/>
  <cols>
    <col min="1" max="1" width="38.42578125" style="8" customWidth="1" outlineLevel="1"/>
    <col min="2" max="2" width="40.85546875" style="5" customWidth="1"/>
    <col min="3" max="3" width="11.42578125" style="5" bestFit="1" customWidth="1"/>
    <col min="4" max="4" width="33.42578125" style="5" bestFit="1" customWidth="1"/>
    <col min="5" max="5" width="25" style="5" bestFit="1" customWidth="1"/>
    <col min="6" max="6" width="24.42578125" style="5" bestFit="1" customWidth="1"/>
    <col min="7" max="7" width="18.85546875" style="233" bestFit="1" customWidth="1"/>
    <col min="8" max="16384" width="9.140625" style="5"/>
  </cols>
  <sheetData>
    <row r="1" spans="1:7" s="8" customFormat="1" outlineLevel="1" x14ac:dyDescent="0.25">
      <c r="D1" s="8">
        <v>1</v>
      </c>
      <c r="E1" s="8">
        <f t="shared" ref="E1:G1" si="0">D1+1</f>
        <v>2</v>
      </c>
      <c r="F1" s="8">
        <f t="shared" si="0"/>
        <v>3</v>
      </c>
      <c r="G1" s="28">
        <f t="shared" si="0"/>
        <v>4</v>
      </c>
    </row>
    <row r="3" spans="1:7" ht="18.75" x14ac:dyDescent="0.3">
      <c r="B3" s="3" t="s">
        <v>50</v>
      </c>
      <c r="C3" s="10"/>
      <c r="D3" s="10"/>
      <c r="E3" s="10"/>
      <c r="F3" s="10"/>
      <c r="G3" s="157"/>
    </row>
    <row r="4" spans="1:7" ht="6" customHeight="1" thickBot="1" x14ac:dyDescent="0.3">
      <c r="B4" s="6"/>
      <c r="C4" s="6"/>
      <c r="D4" s="6"/>
      <c r="E4" s="6"/>
      <c r="F4" s="6"/>
      <c r="G4" s="187"/>
    </row>
    <row r="5" spans="1:7" ht="6" customHeight="1" thickTop="1" x14ac:dyDescent="0.25"/>
    <row r="6" spans="1:7" x14ac:dyDescent="0.25">
      <c r="B6" s="10"/>
      <c r="C6" s="9" t="s">
        <v>34</v>
      </c>
      <c r="D6" s="9" t="s">
        <v>62</v>
      </c>
      <c r="E6" s="9" t="s">
        <v>32</v>
      </c>
      <c r="F6" s="9" t="s">
        <v>24</v>
      </c>
      <c r="G6" s="162" t="s">
        <v>25</v>
      </c>
    </row>
    <row r="7" spans="1:7" x14ac:dyDescent="0.25">
      <c r="B7" s="9"/>
      <c r="C7" s="9"/>
      <c r="D7" s="9" t="s">
        <v>22</v>
      </c>
      <c r="E7" s="9" t="s">
        <v>22</v>
      </c>
      <c r="F7" s="9" t="s">
        <v>22</v>
      </c>
    </row>
    <row r="8" spans="1:7" x14ac:dyDescent="0.25">
      <c r="B8" s="9"/>
      <c r="C8" s="9"/>
      <c r="D8" s="9" t="str">
        <f>"["&amp;D$1&amp;"]"</f>
        <v>[1]</v>
      </c>
      <c r="E8" s="9" t="str">
        <f t="shared" ref="E8:G8" si="1">"["&amp;E$1&amp;"]"</f>
        <v>[2]</v>
      </c>
      <c r="F8" s="9" t="str">
        <f t="shared" si="1"/>
        <v>[3]</v>
      </c>
      <c r="G8" s="162" t="str">
        <f t="shared" si="1"/>
        <v>[4]</v>
      </c>
    </row>
    <row r="9" spans="1:7" ht="6" customHeight="1" x14ac:dyDescent="0.25">
      <c r="B9" s="7"/>
      <c r="C9" s="7"/>
      <c r="D9" s="7"/>
      <c r="E9" s="7"/>
      <c r="F9" s="7"/>
      <c r="G9" s="234"/>
    </row>
    <row r="10" spans="1:7" ht="6" customHeight="1" x14ac:dyDescent="0.25"/>
    <row r="11" spans="1:7" x14ac:dyDescent="0.25">
      <c r="A11" s="8" t="s">
        <v>26</v>
      </c>
      <c r="B11" s="5" t="s">
        <v>18</v>
      </c>
      <c r="C11" s="5" t="s">
        <v>37</v>
      </c>
      <c r="D11" s="14">
        <v>44759</v>
      </c>
      <c r="E11" s="15">
        <v>54778.315000000002</v>
      </c>
      <c r="F11" s="16">
        <v>44603</v>
      </c>
      <c r="G11" s="176">
        <f>IFERROR(F11/D11,"")</f>
        <v>0.996514667441185</v>
      </c>
    </row>
    <row r="12" spans="1:7" x14ac:dyDescent="0.25">
      <c r="A12" s="8" t="s">
        <v>27</v>
      </c>
      <c r="B12" s="5" t="s">
        <v>78</v>
      </c>
      <c r="C12" s="5" t="s">
        <v>36</v>
      </c>
      <c r="D12" s="14">
        <v>10435.537499999999</v>
      </c>
      <c r="E12" s="15">
        <v>54778.315000000002</v>
      </c>
      <c r="F12" s="16">
        <v>10175.315000000001</v>
      </c>
      <c r="G12" s="176">
        <f t="shared" ref="G12" si="2">IFERROR(F12/D12,"")</f>
        <v>0.97506381439384426</v>
      </c>
    </row>
    <row r="13" spans="1:7" ht="6" customHeight="1" thickBot="1" x14ac:dyDescent="0.3">
      <c r="B13" s="6"/>
      <c r="C13" s="6"/>
      <c r="D13" s="6"/>
      <c r="E13" s="6"/>
      <c r="F13" s="6"/>
      <c r="G13" s="187"/>
    </row>
    <row r="14" spans="1:7" ht="6" customHeight="1" thickTop="1" x14ac:dyDescent="0.25"/>
    <row r="17" spans="1:7" ht="18.75" x14ac:dyDescent="0.3">
      <c r="B17" s="3" t="s">
        <v>51</v>
      </c>
      <c r="C17" s="3"/>
      <c r="D17" s="4"/>
      <c r="E17" s="4"/>
      <c r="F17" s="4"/>
      <c r="G17" s="171"/>
    </row>
    <row r="18" spans="1:7" ht="6" customHeight="1" thickBot="1" x14ac:dyDescent="0.3">
      <c r="B18" s="6"/>
      <c r="C18" s="6"/>
      <c r="D18" s="6"/>
      <c r="E18" s="6"/>
      <c r="F18" s="6"/>
      <c r="G18" s="187"/>
    </row>
    <row r="19" spans="1:7" ht="6" customHeight="1" thickTop="1" x14ac:dyDescent="0.25"/>
    <row r="20" spans="1:7" x14ac:dyDescent="0.25">
      <c r="B20" s="10"/>
      <c r="C20" s="9" t="s">
        <v>34</v>
      </c>
      <c r="D20" s="9" t="s">
        <v>62</v>
      </c>
      <c r="E20" s="9" t="s">
        <v>32</v>
      </c>
      <c r="F20" s="9" t="s">
        <v>24</v>
      </c>
      <c r="G20" s="162" t="s">
        <v>25</v>
      </c>
    </row>
    <row r="21" spans="1:7" x14ac:dyDescent="0.25">
      <c r="B21" s="9"/>
      <c r="C21" s="9"/>
      <c r="D21" s="9" t="s">
        <v>22</v>
      </c>
      <c r="E21" s="9" t="s">
        <v>22</v>
      </c>
      <c r="F21" s="9" t="s">
        <v>22</v>
      </c>
    </row>
    <row r="22" spans="1:7" x14ac:dyDescent="0.25">
      <c r="B22" s="9"/>
      <c r="C22" s="9"/>
      <c r="D22" s="9" t="str">
        <f>"["&amp;D$1&amp;"]"</f>
        <v>[1]</v>
      </c>
      <c r="E22" s="9" t="str">
        <f t="shared" ref="E22:G22" si="3">"["&amp;E$1&amp;"]"</f>
        <v>[2]</v>
      </c>
      <c r="F22" s="9" t="str">
        <f t="shared" si="3"/>
        <v>[3]</v>
      </c>
      <c r="G22" s="162" t="str">
        <f t="shared" si="3"/>
        <v>[4]</v>
      </c>
    </row>
    <row r="23" spans="1:7" ht="6" customHeight="1" x14ac:dyDescent="0.25">
      <c r="B23" s="7"/>
      <c r="C23" s="7"/>
      <c r="D23" s="7"/>
      <c r="E23" s="7"/>
      <c r="F23" s="7"/>
      <c r="G23" s="234"/>
    </row>
    <row r="24" spans="1:7" ht="6" customHeight="1" x14ac:dyDescent="0.25"/>
    <row r="25" spans="1:7" x14ac:dyDescent="0.25">
      <c r="A25" s="8" t="s">
        <v>26</v>
      </c>
      <c r="B25" s="5" t="s">
        <v>18</v>
      </c>
      <c r="C25" s="5" t="s">
        <v>37</v>
      </c>
      <c r="D25" s="21">
        <v>44759</v>
      </c>
      <c r="E25" s="22">
        <v>50115.282500000001</v>
      </c>
      <c r="F25" s="23">
        <v>44693.5</v>
      </c>
      <c r="G25" s="176">
        <f t="shared" ref="G25:G47" si="4">IFERROR(F25/D25,"")</f>
        <v>0.99853660716280523</v>
      </c>
    </row>
    <row r="26" spans="1:7" x14ac:dyDescent="0.25">
      <c r="A26" s="8" t="s">
        <v>26</v>
      </c>
      <c r="B26" s="5" t="s">
        <v>4</v>
      </c>
      <c r="C26" s="5" t="s">
        <v>37</v>
      </c>
      <c r="D26" s="21">
        <v>5849.2875000000004</v>
      </c>
      <c r="E26" s="22">
        <v>50115.282500000001</v>
      </c>
      <c r="F26" s="23">
        <v>5421.7825000000003</v>
      </c>
      <c r="G26" s="176">
        <f t="shared" si="4"/>
        <v>0.92691332063947962</v>
      </c>
    </row>
    <row r="27" spans="1:7" x14ac:dyDescent="0.25">
      <c r="A27" s="8" t="s">
        <v>27</v>
      </c>
      <c r="B27" s="5" t="s">
        <v>1</v>
      </c>
      <c r="C27" s="5" t="s">
        <v>36</v>
      </c>
      <c r="D27" s="21">
        <v>2248.75</v>
      </c>
      <c r="E27" s="22">
        <v>37576.717499999999</v>
      </c>
      <c r="F27" s="23">
        <v>2004.5</v>
      </c>
      <c r="G27" s="176">
        <f t="shared" si="4"/>
        <v>0.89138410227904397</v>
      </c>
    </row>
    <row r="28" spans="1:7" x14ac:dyDescent="0.25">
      <c r="A28" s="8" t="s">
        <v>27</v>
      </c>
      <c r="B28" s="5" t="s">
        <v>17</v>
      </c>
      <c r="C28" s="5" t="s">
        <v>36</v>
      </c>
      <c r="D28" s="21">
        <v>2982.5</v>
      </c>
      <c r="E28" s="22">
        <v>37576.717499999999</v>
      </c>
      <c r="F28" s="23">
        <v>2940.25</v>
      </c>
      <c r="G28" s="176">
        <f t="shared" si="4"/>
        <v>0.98583403185247276</v>
      </c>
    </row>
    <row r="29" spans="1:7" x14ac:dyDescent="0.25">
      <c r="A29" s="8" t="s">
        <v>27</v>
      </c>
      <c r="B29" s="5" t="s">
        <v>2</v>
      </c>
      <c r="C29" s="5" t="s">
        <v>36</v>
      </c>
      <c r="D29" s="21">
        <v>3769</v>
      </c>
      <c r="E29" s="22">
        <v>37576.717499999999</v>
      </c>
      <c r="F29" s="23">
        <v>3755.75</v>
      </c>
      <c r="G29" s="176">
        <f t="shared" si="4"/>
        <v>0.99648447864154943</v>
      </c>
    </row>
    <row r="30" spans="1:7" x14ac:dyDescent="0.25">
      <c r="A30" s="8" t="s">
        <v>27</v>
      </c>
      <c r="B30" s="5" t="s">
        <v>5</v>
      </c>
      <c r="C30" s="5" t="s">
        <v>36</v>
      </c>
      <c r="D30" s="21">
        <v>6059.25</v>
      </c>
      <c r="E30" s="22">
        <v>37576.717499999999</v>
      </c>
      <c r="F30" s="23">
        <v>6035.25</v>
      </c>
      <c r="G30" s="176">
        <f t="shared" si="4"/>
        <v>0.99603911375170195</v>
      </c>
    </row>
    <row r="31" spans="1:7" x14ac:dyDescent="0.25">
      <c r="A31" s="8" t="s">
        <v>27</v>
      </c>
      <c r="B31" s="5" t="s">
        <v>20</v>
      </c>
      <c r="C31" s="5" t="s">
        <v>36</v>
      </c>
      <c r="D31" s="21">
        <v>1717</v>
      </c>
      <c r="E31" s="22">
        <v>37576.717499999999</v>
      </c>
      <c r="F31" s="23">
        <v>1676.25</v>
      </c>
      <c r="G31" s="176">
        <f t="shared" si="4"/>
        <v>0.97626674432149096</v>
      </c>
    </row>
    <row r="32" spans="1:7" x14ac:dyDescent="0.25">
      <c r="A32" s="8" t="s">
        <v>27</v>
      </c>
      <c r="B32" s="5" t="s">
        <v>78</v>
      </c>
      <c r="C32" s="5" t="s">
        <v>36</v>
      </c>
      <c r="D32" s="21">
        <v>10435.537499999999</v>
      </c>
      <c r="E32" s="22">
        <v>37576.717499999999</v>
      </c>
      <c r="F32" s="23">
        <v>10423.717500000001</v>
      </c>
      <c r="G32" s="176">
        <f t="shared" si="4"/>
        <v>0.99886733194145505</v>
      </c>
    </row>
    <row r="33" spans="1:7" x14ac:dyDescent="0.25">
      <c r="A33" s="8" t="s">
        <v>27</v>
      </c>
      <c r="B33" s="5" t="s">
        <v>21</v>
      </c>
      <c r="C33" s="5" t="s">
        <v>36</v>
      </c>
      <c r="D33" s="21">
        <v>3877.5</v>
      </c>
      <c r="E33" s="22">
        <v>37576.717499999999</v>
      </c>
      <c r="F33" s="23">
        <v>3511.25</v>
      </c>
      <c r="G33" s="176">
        <f t="shared" si="4"/>
        <v>0.90554480980012897</v>
      </c>
    </row>
    <row r="34" spans="1:7" x14ac:dyDescent="0.25">
      <c r="A34" s="8" t="s">
        <v>27</v>
      </c>
      <c r="B34" s="5" t="s">
        <v>6</v>
      </c>
      <c r="C34" s="5" t="s">
        <v>36</v>
      </c>
      <c r="D34" s="21">
        <v>685.25</v>
      </c>
      <c r="E34" s="22">
        <v>37576.717499999999</v>
      </c>
      <c r="F34" s="23">
        <v>483.25</v>
      </c>
      <c r="G34" s="176">
        <f t="shared" si="4"/>
        <v>0.70521707406056189</v>
      </c>
    </row>
    <row r="35" spans="1:7" x14ac:dyDescent="0.25">
      <c r="A35" s="8" t="s">
        <v>27</v>
      </c>
      <c r="B35" s="5" t="s">
        <v>7</v>
      </c>
      <c r="C35" s="5" t="s">
        <v>36</v>
      </c>
      <c r="D35" s="21">
        <v>352</v>
      </c>
      <c r="E35" s="22">
        <v>37576.717499999999</v>
      </c>
      <c r="F35" s="23">
        <v>219</v>
      </c>
      <c r="G35" s="176">
        <f t="shared" si="4"/>
        <v>0.62215909090909094</v>
      </c>
    </row>
    <row r="36" spans="1:7" x14ac:dyDescent="0.25">
      <c r="A36" s="8" t="s">
        <v>27</v>
      </c>
      <c r="B36" s="5" t="s">
        <v>8</v>
      </c>
      <c r="C36" s="5" t="s">
        <v>36</v>
      </c>
      <c r="D36" s="21">
        <v>665.25</v>
      </c>
      <c r="E36" s="22">
        <v>37576.717499999999</v>
      </c>
      <c r="F36" s="23">
        <v>625.75</v>
      </c>
      <c r="G36" s="176">
        <f t="shared" si="4"/>
        <v>0.94062382562946256</v>
      </c>
    </row>
    <row r="37" spans="1:7" x14ac:dyDescent="0.25">
      <c r="A37" s="8" t="s">
        <v>27</v>
      </c>
      <c r="B37" s="5" t="s">
        <v>11</v>
      </c>
      <c r="C37" s="5" t="s">
        <v>36</v>
      </c>
      <c r="D37" s="21">
        <v>4758.25</v>
      </c>
      <c r="E37" s="22">
        <v>37576.717499999999</v>
      </c>
      <c r="F37" s="23">
        <v>3325</v>
      </c>
      <c r="G37" s="176">
        <f t="shared" si="4"/>
        <v>0.69878631849944828</v>
      </c>
    </row>
    <row r="38" spans="1:7" x14ac:dyDescent="0.25">
      <c r="A38" s="8" t="s">
        <v>27</v>
      </c>
      <c r="B38" s="5" t="s">
        <v>13</v>
      </c>
      <c r="C38" s="5" t="s">
        <v>36</v>
      </c>
      <c r="D38" s="21">
        <v>1835.25</v>
      </c>
      <c r="E38" s="22">
        <v>37576.717499999999</v>
      </c>
      <c r="F38" s="23">
        <v>1351</v>
      </c>
      <c r="G38" s="176">
        <f t="shared" si="4"/>
        <v>0.73613949053262495</v>
      </c>
    </row>
    <row r="39" spans="1:7" x14ac:dyDescent="0.25">
      <c r="A39" s="8" t="s">
        <v>27</v>
      </c>
      <c r="B39" s="5" t="s">
        <v>14</v>
      </c>
      <c r="C39" s="5" t="s">
        <v>36</v>
      </c>
      <c r="D39" s="21">
        <v>973.75</v>
      </c>
      <c r="E39" s="22">
        <v>37576.717499999999</v>
      </c>
      <c r="F39" s="23">
        <v>618.25</v>
      </c>
      <c r="G39" s="176">
        <f t="shared" si="4"/>
        <v>0.63491655969191274</v>
      </c>
    </row>
    <row r="40" spans="1:7" x14ac:dyDescent="0.25">
      <c r="A40" s="8" t="s">
        <v>27</v>
      </c>
      <c r="B40" s="5" t="s">
        <v>16</v>
      </c>
      <c r="C40" s="5" t="s">
        <v>36</v>
      </c>
      <c r="D40" s="21">
        <v>614.25</v>
      </c>
      <c r="E40" s="22">
        <v>37576.717499999999</v>
      </c>
      <c r="F40" s="23">
        <v>607.5</v>
      </c>
      <c r="G40" s="176">
        <f t="shared" si="4"/>
        <v>0.98901098901098905</v>
      </c>
    </row>
    <row r="41" spans="1:7" x14ac:dyDescent="0.25">
      <c r="A41" s="8" t="s">
        <v>28</v>
      </c>
      <c r="B41" s="5" t="s">
        <v>9</v>
      </c>
      <c r="C41" s="5" t="s">
        <v>38</v>
      </c>
      <c r="D41" s="21">
        <v>7656.25</v>
      </c>
      <c r="E41" s="22">
        <v>7656.25</v>
      </c>
      <c r="F41" s="23">
        <v>7656.25</v>
      </c>
      <c r="G41" s="176">
        <f t="shared" si="4"/>
        <v>1</v>
      </c>
    </row>
    <row r="42" spans="1:7" x14ac:dyDescent="0.25">
      <c r="A42" s="8" t="s">
        <v>29</v>
      </c>
      <c r="B42" s="5" t="s">
        <v>0</v>
      </c>
      <c r="C42" s="5" t="s">
        <v>35</v>
      </c>
      <c r="D42" s="21">
        <v>7092.4600000000009</v>
      </c>
      <c r="E42" s="22">
        <v>21193.084999999999</v>
      </c>
      <c r="F42" s="23">
        <v>7080.335</v>
      </c>
      <c r="G42" s="176">
        <f t="shared" si="4"/>
        <v>0.99829043801445461</v>
      </c>
    </row>
    <row r="43" spans="1:7" x14ac:dyDescent="0.25">
      <c r="A43" s="8" t="s">
        <v>29</v>
      </c>
      <c r="B43" s="5" t="s">
        <v>19</v>
      </c>
      <c r="C43" s="5" t="s">
        <v>35</v>
      </c>
      <c r="D43" s="21">
        <v>1728.25</v>
      </c>
      <c r="E43" s="22">
        <v>21193.084999999999</v>
      </c>
      <c r="F43" s="23">
        <v>1571.75</v>
      </c>
      <c r="G43" s="176">
        <f t="shared" si="4"/>
        <v>0.9094459713583104</v>
      </c>
    </row>
    <row r="44" spans="1:7" x14ac:dyDescent="0.25">
      <c r="A44" s="8" t="s">
        <v>29</v>
      </c>
      <c r="B44" s="5" t="s">
        <v>3</v>
      </c>
      <c r="C44" s="5" t="s">
        <v>35</v>
      </c>
      <c r="D44" s="21">
        <v>977.25</v>
      </c>
      <c r="E44" s="22">
        <v>21193.084999999999</v>
      </c>
      <c r="F44" s="23">
        <v>958</v>
      </c>
      <c r="G44" s="176">
        <f t="shared" si="4"/>
        <v>0.98030186748529036</v>
      </c>
    </row>
    <row r="45" spans="1:7" x14ac:dyDescent="0.25">
      <c r="A45" s="8" t="s">
        <v>29</v>
      </c>
      <c r="B45" s="5" t="s">
        <v>10</v>
      </c>
      <c r="C45" s="5" t="s">
        <v>35</v>
      </c>
      <c r="D45" s="21">
        <v>2061.75</v>
      </c>
      <c r="E45" s="22">
        <v>21193.084999999999</v>
      </c>
      <c r="F45" s="23">
        <v>1852.5</v>
      </c>
      <c r="G45" s="176">
        <f t="shared" si="4"/>
        <v>0.89850854856311391</v>
      </c>
    </row>
    <row r="46" spans="1:7" x14ac:dyDescent="0.25">
      <c r="A46" s="8" t="s">
        <v>29</v>
      </c>
      <c r="B46" s="5" t="s">
        <v>12</v>
      </c>
      <c r="C46" s="5" t="s">
        <v>35</v>
      </c>
      <c r="D46" s="21">
        <v>6634.75</v>
      </c>
      <c r="E46" s="22">
        <v>21193.084999999999</v>
      </c>
      <c r="F46" s="23">
        <v>6634.75</v>
      </c>
      <c r="G46" s="176">
        <f t="shared" si="4"/>
        <v>1</v>
      </c>
    </row>
    <row r="47" spans="1:7" x14ac:dyDescent="0.25">
      <c r="A47" s="8" t="s">
        <v>29</v>
      </c>
      <c r="B47" s="5" t="s">
        <v>15</v>
      </c>
      <c r="C47" s="5" t="s">
        <v>35</v>
      </c>
      <c r="D47" s="21">
        <v>3149.75</v>
      </c>
      <c r="E47" s="22">
        <v>21193.084999999999</v>
      </c>
      <c r="F47" s="23">
        <v>3095.75</v>
      </c>
      <c r="G47" s="176">
        <f t="shared" si="4"/>
        <v>0.98285578220493686</v>
      </c>
    </row>
    <row r="48" spans="1:7" ht="6" customHeight="1" x14ac:dyDescent="0.25">
      <c r="A48" s="11"/>
      <c r="B48" s="7"/>
      <c r="C48" s="7"/>
      <c r="D48" s="25"/>
      <c r="E48" s="26"/>
      <c r="F48" s="27"/>
      <c r="G48" s="169"/>
    </row>
    <row r="49" spans="1:7" ht="6" customHeight="1" x14ac:dyDescent="0.25">
      <c r="D49" s="21"/>
      <c r="E49" s="22"/>
      <c r="F49" s="23"/>
      <c r="G49" s="176"/>
    </row>
    <row r="50" spans="1:7" x14ac:dyDescent="0.25">
      <c r="A50" s="8" t="s">
        <v>26</v>
      </c>
      <c r="B50" s="5" t="s">
        <v>37</v>
      </c>
      <c r="C50" s="5" t="s">
        <v>48</v>
      </c>
      <c r="D50" s="21">
        <v>50115.282500000001</v>
      </c>
      <c r="E50" s="22">
        <v>113102.19499999999</v>
      </c>
      <c r="F50" s="23">
        <v>49878.197500000002</v>
      </c>
      <c r="G50" s="176">
        <f>IFERROR(F50/D50,"")</f>
        <v>0.99526920755160864</v>
      </c>
    </row>
    <row r="51" spans="1:7" x14ac:dyDescent="0.25">
      <c r="A51" s="8" t="s">
        <v>27</v>
      </c>
      <c r="B51" s="5" t="s">
        <v>36</v>
      </c>
      <c r="C51" s="5" t="s">
        <v>48</v>
      </c>
      <c r="D51" s="21">
        <v>37576.717499999999</v>
      </c>
      <c r="E51" s="22">
        <v>113102.19499999999</v>
      </c>
      <c r="F51" s="23">
        <v>36398.159999999996</v>
      </c>
      <c r="G51" s="176">
        <f t="shared" ref="G51:G53" si="5">IFERROR(F51/D51,"")</f>
        <v>0.96863596454373635</v>
      </c>
    </row>
    <row r="52" spans="1:7" x14ac:dyDescent="0.25">
      <c r="A52" s="8" t="s">
        <v>28</v>
      </c>
      <c r="B52" s="5" t="s">
        <v>38</v>
      </c>
      <c r="C52" s="5" t="s">
        <v>48</v>
      </c>
      <c r="D52" s="21">
        <v>7656.25</v>
      </c>
      <c r="E52" s="22">
        <v>113102.19499999999</v>
      </c>
      <c r="F52" s="23">
        <v>6401.75</v>
      </c>
      <c r="G52" s="176">
        <f t="shared" si="5"/>
        <v>0.83614693877551016</v>
      </c>
    </row>
    <row r="53" spans="1:7" x14ac:dyDescent="0.25">
      <c r="A53" s="8" t="s">
        <v>29</v>
      </c>
      <c r="B53" s="5" t="s">
        <v>35</v>
      </c>
      <c r="C53" s="5" t="s">
        <v>48</v>
      </c>
      <c r="D53" s="21">
        <v>21193.084999999999</v>
      </c>
      <c r="E53" s="22">
        <v>113102.19499999999</v>
      </c>
      <c r="F53" s="23">
        <v>20424.087499999998</v>
      </c>
      <c r="G53" s="176">
        <f t="shared" si="5"/>
        <v>0.96371469750628558</v>
      </c>
    </row>
    <row r="54" spans="1:7" ht="6" customHeight="1" thickBot="1" x14ac:dyDescent="0.3">
      <c r="B54" s="6"/>
      <c r="C54" s="2"/>
      <c r="D54" s="6"/>
      <c r="E54" s="6"/>
      <c r="F54" s="6"/>
      <c r="G54" s="187"/>
    </row>
    <row r="55" spans="1:7" ht="6" customHeight="1" thickTop="1" x14ac:dyDescent="0.25">
      <c r="C55" s="1"/>
    </row>
    <row r="56" spans="1:7" x14ac:dyDescent="0.25">
      <c r="B56" s="188" t="s">
        <v>152</v>
      </c>
    </row>
    <row r="57" spans="1:7" x14ac:dyDescent="0.25">
      <c r="B57" s="35"/>
      <c r="D57" s="12"/>
      <c r="F57" s="12"/>
      <c r="G57" s="174"/>
    </row>
    <row r="58" spans="1:7" x14ac:dyDescent="0.25">
      <c r="B58" s="35"/>
      <c r="F58" s="12"/>
    </row>
    <row r="59" spans="1:7" x14ac:dyDescent="0.25">
      <c r="B59" s="35"/>
    </row>
    <row r="60" spans="1:7" x14ac:dyDescent="0.25">
      <c r="B60" s="35"/>
    </row>
    <row r="61" spans="1:7" x14ac:dyDescent="0.25">
      <c r="B61" s="35"/>
      <c r="G61" s="174"/>
    </row>
    <row r="62" spans="1:7" x14ac:dyDescent="0.25">
      <c r="B62" s="35"/>
    </row>
    <row r="63" spans="1:7" x14ac:dyDescent="0.25">
      <c r="B63" s="35"/>
    </row>
    <row r="64" spans="1:7" x14ac:dyDescent="0.25">
      <c r="B64" s="35"/>
    </row>
    <row r="68" ht="6" customHeight="1" x14ac:dyDescent="0.25"/>
  </sheetData>
  <sortState ref="B11:J37">
    <sortCondition ref="C11:C37"/>
    <sortCondition ref="B11:B37"/>
  </sortState>
  <printOptions horizontalCentered="1" verticalCentered="1"/>
  <pageMargins left="0.7" right="0.7" top="0.75" bottom="0.75" header="0.3" footer="0.3"/>
  <pageSetup scale="73" orientation="landscape" horizontalDpi="1200" verticalDpi="1200" r:id="rId1"/>
  <headerFooter scaleWithDoc="0">
    <oddFooter>&amp;R&amp;F&amp;A&amp;P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68"/>
  <sheetViews>
    <sheetView view="pageBreakPreview" zoomScale="60" zoomScaleNormal="80" workbookViewId="0"/>
  </sheetViews>
  <sheetFormatPr defaultRowHeight="15.75" outlineLevelRow="1" outlineLevelCol="1" x14ac:dyDescent="0.25"/>
  <cols>
    <col min="1" max="1" width="38.42578125" style="8" customWidth="1" outlineLevel="1"/>
    <col min="2" max="2" width="40.85546875" style="5" customWidth="1"/>
    <col min="3" max="3" width="11.42578125" style="5" bestFit="1" customWidth="1"/>
    <col min="4" max="4" width="33.42578125" style="5" bestFit="1" customWidth="1"/>
    <col min="5" max="5" width="25" style="5" bestFit="1" customWidth="1"/>
    <col min="6" max="6" width="24.42578125" style="5" bestFit="1" customWidth="1"/>
    <col min="7" max="7" width="18.85546875" style="233" bestFit="1" customWidth="1"/>
    <col min="8" max="16384" width="9.140625" style="5"/>
  </cols>
  <sheetData>
    <row r="1" spans="1:7" s="8" customFormat="1" outlineLevel="1" x14ac:dyDescent="0.25">
      <c r="D1" s="8">
        <v>1</v>
      </c>
      <c r="E1" s="8">
        <f t="shared" ref="E1:G1" si="0">D1+1</f>
        <v>2</v>
      </c>
      <c r="F1" s="8">
        <f t="shared" si="0"/>
        <v>3</v>
      </c>
      <c r="G1" s="28">
        <f t="shared" si="0"/>
        <v>4</v>
      </c>
    </row>
    <row r="3" spans="1:7" ht="18.75" x14ac:dyDescent="0.3">
      <c r="B3" s="3" t="s">
        <v>50</v>
      </c>
      <c r="C3" s="10"/>
      <c r="D3" s="10"/>
      <c r="E3" s="10"/>
      <c r="F3" s="10"/>
      <c r="G3" s="157"/>
    </row>
    <row r="4" spans="1:7" ht="6" customHeight="1" thickBot="1" x14ac:dyDescent="0.3">
      <c r="B4" s="6"/>
      <c r="C4" s="6"/>
      <c r="D4" s="6"/>
      <c r="E4" s="6"/>
      <c r="F4" s="6"/>
      <c r="G4" s="187"/>
    </row>
    <row r="5" spans="1:7" ht="6" customHeight="1" thickTop="1" x14ac:dyDescent="0.25"/>
    <row r="6" spans="1:7" x14ac:dyDescent="0.25">
      <c r="B6" s="10"/>
      <c r="C6" s="9" t="s">
        <v>34</v>
      </c>
      <c r="D6" s="9" t="s">
        <v>61</v>
      </c>
      <c r="E6" s="9" t="s">
        <v>32</v>
      </c>
      <c r="F6" s="9" t="s">
        <v>24</v>
      </c>
      <c r="G6" s="162" t="s">
        <v>25</v>
      </c>
    </row>
    <row r="7" spans="1:7" x14ac:dyDescent="0.25">
      <c r="B7" s="9"/>
      <c r="C7" s="9"/>
      <c r="D7" s="9" t="s">
        <v>22</v>
      </c>
      <c r="E7" s="9" t="s">
        <v>22</v>
      </c>
      <c r="F7" s="9" t="s">
        <v>22</v>
      </c>
    </row>
    <row r="8" spans="1:7" x14ac:dyDescent="0.25">
      <c r="B8" s="9"/>
      <c r="C8" s="9"/>
      <c r="D8" s="9" t="str">
        <f>"["&amp;D$1&amp;"]"</f>
        <v>[1]</v>
      </c>
      <c r="E8" s="9" t="str">
        <f t="shared" ref="E8:G8" si="1">"["&amp;E$1&amp;"]"</f>
        <v>[2]</v>
      </c>
      <c r="F8" s="9" t="str">
        <f t="shared" si="1"/>
        <v>[3]</v>
      </c>
      <c r="G8" s="162" t="str">
        <f t="shared" si="1"/>
        <v>[4]</v>
      </c>
    </row>
    <row r="9" spans="1:7" ht="6" customHeight="1" x14ac:dyDescent="0.25">
      <c r="B9" s="7"/>
      <c r="C9" s="7"/>
      <c r="D9" s="7"/>
      <c r="E9" s="7"/>
      <c r="F9" s="7"/>
      <c r="G9" s="234"/>
    </row>
    <row r="10" spans="1:7" ht="6" customHeight="1" x14ac:dyDescent="0.25"/>
    <row r="11" spans="1:7" x14ac:dyDescent="0.25">
      <c r="A11" s="28" t="s">
        <v>26</v>
      </c>
      <c r="B11" s="1" t="s">
        <v>18</v>
      </c>
      <c r="C11" s="1" t="s">
        <v>37</v>
      </c>
      <c r="D11" s="14">
        <v>46283.5</v>
      </c>
      <c r="E11" s="15">
        <v>55628.145000000004</v>
      </c>
      <c r="F11" s="16">
        <v>46283.5</v>
      </c>
      <c r="G11" s="176">
        <f>IFERROR(F11/D11,"")</f>
        <v>1</v>
      </c>
    </row>
    <row r="12" spans="1:7" x14ac:dyDescent="0.25">
      <c r="A12" s="28" t="s">
        <v>27</v>
      </c>
      <c r="B12" s="1" t="s">
        <v>78</v>
      </c>
      <c r="C12" s="1" t="s">
        <v>36</v>
      </c>
      <c r="D12" s="14">
        <v>9770.5150000000012</v>
      </c>
      <c r="E12" s="15">
        <v>55628.145000000004</v>
      </c>
      <c r="F12" s="16">
        <v>9344.6450000000004</v>
      </c>
      <c r="G12" s="176">
        <f t="shared" ref="G12" si="2">IFERROR(F12/D12,"")</f>
        <v>0.95641273771136925</v>
      </c>
    </row>
    <row r="13" spans="1:7" ht="6" customHeight="1" thickBot="1" x14ac:dyDescent="0.3">
      <c r="B13" s="6"/>
      <c r="C13" s="6"/>
      <c r="D13" s="6"/>
      <c r="E13" s="6"/>
      <c r="F13" s="6"/>
      <c r="G13" s="187"/>
    </row>
    <row r="14" spans="1:7" ht="6" customHeight="1" thickTop="1" x14ac:dyDescent="0.25"/>
    <row r="17" spans="1:7" ht="18.75" x14ac:dyDescent="0.3">
      <c r="B17" s="3" t="s">
        <v>51</v>
      </c>
      <c r="C17" s="3"/>
      <c r="D17" s="4"/>
      <c r="E17" s="4"/>
      <c r="F17" s="4"/>
      <c r="G17" s="171"/>
    </row>
    <row r="18" spans="1:7" ht="6" customHeight="1" thickBot="1" x14ac:dyDescent="0.3">
      <c r="B18" s="6"/>
      <c r="C18" s="6"/>
      <c r="D18" s="6"/>
      <c r="E18" s="6"/>
      <c r="F18" s="6"/>
      <c r="G18" s="187"/>
    </row>
    <row r="19" spans="1:7" ht="6" customHeight="1" thickTop="1" x14ac:dyDescent="0.25"/>
    <row r="20" spans="1:7" x14ac:dyDescent="0.25">
      <c r="B20" s="10"/>
      <c r="C20" s="9" t="s">
        <v>34</v>
      </c>
      <c r="D20" s="9" t="s">
        <v>61</v>
      </c>
      <c r="E20" s="9" t="s">
        <v>32</v>
      </c>
      <c r="F20" s="9" t="s">
        <v>24</v>
      </c>
      <c r="G20" s="162" t="s">
        <v>25</v>
      </c>
    </row>
    <row r="21" spans="1:7" x14ac:dyDescent="0.25">
      <c r="B21" s="9"/>
      <c r="C21" s="9"/>
      <c r="D21" s="9" t="s">
        <v>22</v>
      </c>
      <c r="E21" s="9" t="s">
        <v>22</v>
      </c>
      <c r="F21" s="9" t="s">
        <v>22</v>
      </c>
    </row>
    <row r="22" spans="1:7" x14ac:dyDescent="0.25">
      <c r="B22" s="9"/>
      <c r="C22" s="9"/>
      <c r="D22" s="9" t="str">
        <f>"["&amp;D$1&amp;"]"</f>
        <v>[1]</v>
      </c>
      <c r="E22" s="9" t="str">
        <f t="shared" ref="E22:G22" si="3">"["&amp;E$1&amp;"]"</f>
        <v>[2]</v>
      </c>
      <c r="F22" s="9" t="str">
        <f t="shared" si="3"/>
        <v>[3]</v>
      </c>
      <c r="G22" s="162" t="str">
        <f t="shared" si="3"/>
        <v>[4]</v>
      </c>
    </row>
    <row r="23" spans="1:7" ht="6" customHeight="1" x14ac:dyDescent="0.25">
      <c r="B23" s="7"/>
      <c r="C23" s="7"/>
      <c r="D23" s="7"/>
      <c r="E23" s="7"/>
      <c r="F23" s="7"/>
      <c r="G23" s="234"/>
    </row>
    <row r="24" spans="1:7" ht="6" customHeight="1" x14ac:dyDescent="0.25"/>
    <row r="25" spans="1:7" x14ac:dyDescent="0.25">
      <c r="A25" s="28" t="s">
        <v>26</v>
      </c>
      <c r="B25" s="20" t="s">
        <v>18</v>
      </c>
      <c r="C25" s="20" t="s">
        <v>37</v>
      </c>
      <c r="D25" s="21">
        <v>46283.5</v>
      </c>
      <c r="E25" s="22">
        <v>51794.644999999997</v>
      </c>
      <c r="F25" s="23">
        <v>46283.5</v>
      </c>
      <c r="G25" s="175">
        <f t="shared" ref="G25:G47" si="4">IFERROR(F25/D25,"")</f>
        <v>1</v>
      </c>
    </row>
    <row r="26" spans="1:7" x14ac:dyDescent="0.25">
      <c r="A26" s="28" t="s">
        <v>26</v>
      </c>
      <c r="B26" s="20" t="s">
        <v>4</v>
      </c>
      <c r="C26" s="20" t="s">
        <v>37</v>
      </c>
      <c r="D26" s="21">
        <v>5769.43</v>
      </c>
      <c r="E26" s="22">
        <v>51794.644999999997</v>
      </c>
      <c r="F26" s="23">
        <v>5511.1450000000004</v>
      </c>
      <c r="G26" s="175">
        <f t="shared" si="4"/>
        <v>0.95523214598322537</v>
      </c>
    </row>
    <row r="27" spans="1:7" x14ac:dyDescent="0.25">
      <c r="A27" s="28" t="s">
        <v>27</v>
      </c>
      <c r="B27" s="20" t="s">
        <v>1</v>
      </c>
      <c r="C27" s="20" t="s">
        <v>36</v>
      </c>
      <c r="D27" s="21">
        <v>2021.5</v>
      </c>
      <c r="E27" s="22">
        <v>35381.1325</v>
      </c>
      <c r="F27" s="23">
        <v>1980</v>
      </c>
      <c r="G27" s="175">
        <f t="shared" si="4"/>
        <v>0.97947069008162257</v>
      </c>
    </row>
    <row r="28" spans="1:7" x14ac:dyDescent="0.25">
      <c r="A28" s="28" t="s">
        <v>27</v>
      </c>
      <c r="B28" s="20" t="s">
        <v>17</v>
      </c>
      <c r="C28" s="20" t="s">
        <v>36</v>
      </c>
      <c r="D28" s="21">
        <v>2905.5</v>
      </c>
      <c r="E28" s="22">
        <v>35381.1325</v>
      </c>
      <c r="F28" s="23">
        <v>2835.75</v>
      </c>
      <c r="G28" s="175">
        <f t="shared" si="4"/>
        <v>0.97599380485286524</v>
      </c>
    </row>
    <row r="29" spans="1:7" x14ac:dyDescent="0.25">
      <c r="A29" s="28" t="s">
        <v>27</v>
      </c>
      <c r="B29" s="20" t="s">
        <v>2</v>
      </c>
      <c r="C29" s="20" t="s">
        <v>36</v>
      </c>
      <c r="D29" s="21">
        <v>3558.75</v>
      </c>
      <c r="E29" s="22">
        <v>35381.1325</v>
      </c>
      <c r="F29" s="23">
        <v>3291.5</v>
      </c>
      <c r="G29" s="175">
        <f t="shared" si="4"/>
        <v>0.92490340709518792</v>
      </c>
    </row>
    <row r="30" spans="1:7" x14ac:dyDescent="0.25">
      <c r="A30" s="28" t="s">
        <v>27</v>
      </c>
      <c r="B30" s="20" t="s">
        <v>5</v>
      </c>
      <c r="C30" s="20" t="s">
        <v>36</v>
      </c>
      <c r="D30" s="21">
        <v>6178.5</v>
      </c>
      <c r="E30" s="22">
        <v>35381.1325</v>
      </c>
      <c r="F30" s="23">
        <v>5903</v>
      </c>
      <c r="G30" s="175">
        <f t="shared" si="4"/>
        <v>0.95540988913166625</v>
      </c>
    </row>
    <row r="31" spans="1:7" x14ac:dyDescent="0.25">
      <c r="A31" s="28" t="s">
        <v>27</v>
      </c>
      <c r="B31" s="20" t="s">
        <v>20</v>
      </c>
      <c r="C31" s="20" t="s">
        <v>36</v>
      </c>
      <c r="D31" s="21">
        <v>1764.25</v>
      </c>
      <c r="E31" s="22">
        <v>35381.1325</v>
      </c>
      <c r="F31" s="23">
        <v>1619</v>
      </c>
      <c r="G31" s="175">
        <f t="shared" si="4"/>
        <v>0.91767039818619811</v>
      </c>
    </row>
    <row r="32" spans="1:7" x14ac:dyDescent="0.25">
      <c r="A32" s="28" t="s">
        <v>27</v>
      </c>
      <c r="B32" s="20" t="s">
        <v>78</v>
      </c>
      <c r="C32" s="20" t="s">
        <v>36</v>
      </c>
      <c r="D32" s="21">
        <v>9770.5150000000012</v>
      </c>
      <c r="E32" s="22">
        <v>35381.1325</v>
      </c>
      <c r="F32" s="23">
        <v>9538.1324999999997</v>
      </c>
      <c r="G32" s="175">
        <f t="shared" si="4"/>
        <v>0.97621594153429969</v>
      </c>
    </row>
    <row r="33" spans="1:7" x14ac:dyDescent="0.25">
      <c r="A33" s="28" t="s">
        <v>27</v>
      </c>
      <c r="B33" s="20" t="s">
        <v>21</v>
      </c>
      <c r="C33" s="20" t="s">
        <v>36</v>
      </c>
      <c r="D33" s="21">
        <v>3613.5</v>
      </c>
      <c r="E33" s="22">
        <v>35381.1325</v>
      </c>
      <c r="F33" s="23">
        <v>3238</v>
      </c>
      <c r="G33" s="175">
        <f t="shared" si="4"/>
        <v>0.89608412896084133</v>
      </c>
    </row>
    <row r="34" spans="1:7" x14ac:dyDescent="0.25">
      <c r="A34" s="28" t="s">
        <v>27</v>
      </c>
      <c r="B34" s="20" t="s">
        <v>6</v>
      </c>
      <c r="C34" s="20" t="s">
        <v>36</v>
      </c>
      <c r="D34" s="21">
        <v>659</v>
      </c>
      <c r="E34" s="22">
        <v>35381.1325</v>
      </c>
      <c r="F34" s="23">
        <v>494</v>
      </c>
      <c r="G34" s="175">
        <f t="shared" si="4"/>
        <v>0.74962063732928674</v>
      </c>
    </row>
    <row r="35" spans="1:7" x14ac:dyDescent="0.25">
      <c r="A35" s="28" t="s">
        <v>27</v>
      </c>
      <c r="B35" s="20" t="s">
        <v>7</v>
      </c>
      <c r="C35" s="20" t="s">
        <v>36</v>
      </c>
      <c r="D35" s="21">
        <v>337.5</v>
      </c>
      <c r="E35" s="22">
        <v>35381.1325</v>
      </c>
      <c r="F35" s="23">
        <v>225.5</v>
      </c>
      <c r="G35" s="175">
        <f t="shared" si="4"/>
        <v>0.66814814814814816</v>
      </c>
    </row>
    <row r="36" spans="1:7" x14ac:dyDescent="0.25">
      <c r="A36" s="28" t="s">
        <v>27</v>
      </c>
      <c r="B36" s="20" t="s">
        <v>8</v>
      </c>
      <c r="C36" s="20" t="s">
        <v>36</v>
      </c>
      <c r="D36" s="21">
        <v>662.5</v>
      </c>
      <c r="E36" s="22">
        <v>35381.1325</v>
      </c>
      <c r="F36" s="23">
        <v>652.5</v>
      </c>
      <c r="G36" s="175">
        <f t="shared" si="4"/>
        <v>0.98490566037735849</v>
      </c>
    </row>
    <row r="37" spans="1:7" x14ac:dyDescent="0.25">
      <c r="A37" s="28" t="s">
        <v>27</v>
      </c>
      <c r="B37" s="20" t="s">
        <v>11</v>
      </c>
      <c r="C37" s="20" t="s">
        <v>36</v>
      </c>
      <c r="D37" s="21">
        <v>4524.75</v>
      </c>
      <c r="E37" s="22">
        <v>35381.1325</v>
      </c>
      <c r="F37" s="23">
        <v>3145.75</v>
      </c>
      <c r="G37" s="175">
        <f t="shared" si="4"/>
        <v>0.69523178076136805</v>
      </c>
    </row>
    <row r="38" spans="1:7" x14ac:dyDescent="0.25">
      <c r="A38" s="28" t="s">
        <v>27</v>
      </c>
      <c r="B38" s="20" t="s">
        <v>13</v>
      </c>
      <c r="C38" s="20" t="s">
        <v>36</v>
      </c>
      <c r="D38" s="21">
        <v>1779</v>
      </c>
      <c r="E38" s="22">
        <v>35381.1325</v>
      </c>
      <c r="F38" s="23">
        <v>1282</v>
      </c>
      <c r="G38" s="175">
        <f t="shared" si="4"/>
        <v>0.72062956717256887</v>
      </c>
    </row>
    <row r="39" spans="1:7" x14ac:dyDescent="0.25">
      <c r="A39" s="28" t="s">
        <v>27</v>
      </c>
      <c r="B39" s="20" t="s">
        <v>14</v>
      </c>
      <c r="C39" s="20" t="s">
        <v>36</v>
      </c>
      <c r="D39" s="21">
        <v>907.75</v>
      </c>
      <c r="E39" s="22">
        <v>35381.1325</v>
      </c>
      <c r="F39" s="23">
        <v>588.5</v>
      </c>
      <c r="G39" s="175">
        <f t="shared" si="4"/>
        <v>0.64830625172128886</v>
      </c>
    </row>
    <row r="40" spans="1:7" x14ac:dyDescent="0.25">
      <c r="A40" s="28" t="s">
        <v>27</v>
      </c>
      <c r="B40" s="20" t="s">
        <v>16</v>
      </c>
      <c r="C40" s="20" t="s">
        <v>36</v>
      </c>
      <c r="D40" s="21">
        <v>604.5</v>
      </c>
      <c r="E40" s="22">
        <v>35381.1325</v>
      </c>
      <c r="F40" s="23">
        <v>587.5</v>
      </c>
      <c r="G40" s="175">
        <f t="shared" si="4"/>
        <v>0.97187758478081054</v>
      </c>
    </row>
    <row r="41" spans="1:7" x14ac:dyDescent="0.25">
      <c r="A41" s="28" t="s">
        <v>28</v>
      </c>
      <c r="B41" s="20" t="s">
        <v>9</v>
      </c>
      <c r="C41" s="20" t="s">
        <v>38</v>
      </c>
      <c r="D41" s="21">
        <v>7861.5</v>
      </c>
      <c r="E41" s="22">
        <v>7861.5</v>
      </c>
      <c r="F41" s="23">
        <v>7861.5</v>
      </c>
      <c r="G41" s="175">
        <f t="shared" si="4"/>
        <v>1</v>
      </c>
    </row>
    <row r="42" spans="1:7" x14ac:dyDescent="0.25">
      <c r="A42" s="28" t="s">
        <v>29</v>
      </c>
      <c r="B42" s="20" t="s">
        <v>0</v>
      </c>
      <c r="C42" s="20" t="s">
        <v>35</v>
      </c>
      <c r="D42" s="21">
        <v>7301</v>
      </c>
      <c r="E42" s="22">
        <v>21286.75</v>
      </c>
      <c r="F42" s="23">
        <v>7288.75</v>
      </c>
      <c r="G42" s="175">
        <f t="shared" si="4"/>
        <v>0.99832214765100669</v>
      </c>
    </row>
    <row r="43" spans="1:7" x14ac:dyDescent="0.25">
      <c r="A43" s="28" t="s">
        <v>29</v>
      </c>
      <c r="B43" s="20" t="s">
        <v>19</v>
      </c>
      <c r="C43" s="20" t="s">
        <v>35</v>
      </c>
      <c r="D43" s="21">
        <v>1683.5</v>
      </c>
      <c r="E43" s="22">
        <v>21286.75</v>
      </c>
      <c r="F43" s="23">
        <v>1538.75</v>
      </c>
      <c r="G43" s="175">
        <f t="shared" si="4"/>
        <v>0.91401841401841399</v>
      </c>
    </row>
    <row r="44" spans="1:7" x14ac:dyDescent="0.25">
      <c r="A44" s="28" t="s">
        <v>29</v>
      </c>
      <c r="B44" s="20" t="s">
        <v>3</v>
      </c>
      <c r="C44" s="20" t="s">
        <v>35</v>
      </c>
      <c r="D44" s="21">
        <v>981.75</v>
      </c>
      <c r="E44" s="22">
        <v>21286.75</v>
      </c>
      <c r="F44" s="23">
        <v>957.5</v>
      </c>
      <c r="G44" s="175">
        <f t="shared" si="4"/>
        <v>0.97529921059332825</v>
      </c>
    </row>
    <row r="45" spans="1:7" x14ac:dyDescent="0.25">
      <c r="A45" s="28" t="s">
        <v>29</v>
      </c>
      <c r="B45" s="20" t="s">
        <v>10</v>
      </c>
      <c r="C45" s="20" t="s">
        <v>35</v>
      </c>
      <c r="D45" s="21">
        <v>2009.75</v>
      </c>
      <c r="E45" s="22">
        <v>21286.75</v>
      </c>
      <c r="F45" s="23">
        <v>1868.5</v>
      </c>
      <c r="G45" s="175">
        <f t="shared" si="4"/>
        <v>0.92971762657046897</v>
      </c>
    </row>
    <row r="46" spans="1:7" x14ac:dyDescent="0.25">
      <c r="A46" s="28" t="s">
        <v>29</v>
      </c>
      <c r="B46" s="20" t="s">
        <v>12</v>
      </c>
      <c r="C46" s="20" t="s">
        <v>35</v>
      </c>
      <c r="D46" s="21">
        <v>6712.75</v>
      </c>
      <c r="E46" s="22">
        <v>21286.75</v>
      </c>
      <c r="F46" s="23">
        <v>6704</v>
      </c>
      <c r="G46" s="175">
        <f t="shared" si="4"/>
        <v>0.9986965103720532</v>
      </c>
    </row>
    <row r="47" spans="1:7" x14ac:dyDescent="0.25">
      <c r="A47" s="28" t="s">
        <v>29</v>
      </c>
      <c r="B47" s="20" t="s">
        <v>15</v>
      </c>
      <c r="C47" s="20" t="s">
        <v>35</v>
      </c>
      <c r="D47" s="21">
        <v>2996</v>
      </c>
      <c r="E47" s="22">
        <v>21286.75</v>
      </c>
      <c r="F47" s="23">
        <v>2929.25</v>
      </c>
      <c r="G47" s="175">
        <f t="shared" si="4"/>
        <v>0.9777202937249666</v>
      </c>
    </row>
    <row r="48" spans="1:7" ht="6" customHeight="1" x14ac:dyDescent="0.25">
      <c r="A48" s="29"/>
      <c r="B48" s="24"/>
      <c r="C48" s="24"/>
      <c r="D48" s="25"/>
      <c r="E48" s="26"/>
      <c r="F48" s="27"/>
      <c r="G48" s="164"/>
    </row>
    <row r="49" spans="1:7" ht="6" customHeight="1" x14ac:dyDescent="0.25">
      <c r="A49" s="28"/>
      <c r="B49" s="20"/>
      <c r="C49" s="20"/>
      <c r="D49" s="21"/>
      <c r="E49" s="22"/>
      <c r="F49" s="23"/>
      <c r="G49" s="175"/>
    </row>
    <row r="50" spans="1:7" x14ac:dyDescent="0.25">
      <c r="A50" s="28" t="s">
        <v>26</v>
      </c>
      <c r="B50" s="20" t="s">
        <v>37</v>
      </c>
      <c r="C50" s="20" t="s">
        <v>48</v>
      </c>
      <c r="D50" s="21">
        <v>51794.644999999997</v>
      </c>
      <c r="E50" s="22">
        <v>112992.6225</v>
      </c>
      <c r="F50" s="23">
        <v>51692.802499999998</v>
      </c>
      <c r="G50" s="175">
        <f>IFERROR(F50/D50,"")</f>
        <v>0.99803372530113876</v>
      </c>
    </row>
    <row r="51" spans="1:7" x14ac:dyDescent="0.25">
      <c r="A51" s="28" t="s">
        <v>27</v>
      </c>
      <c r="B51" s="1" t="s">
        <v>36</v>
      </c>
      <c r="C51" s="1" t="s">
        <v>48</v>
      </c>
      <c r="D51" s="14">
        <v>35381.1325</v>
      </c>
      <c r="E51" s="15">
        <v>112992.6225</v>
      </c>
      <c r="F51" s="16">
        <v>34981.82</v>
      </c>
      <c r="G51" s="176">
        <f t="shared" ref="G51:G53" si="5">IFERROR(F51/D51,"")</f>
        <v>0.98871397064523014</v>
      </c>
    </row>
    <row r="52" spans="1:7" x14ac:dyDescent="0.25">
      <c r="A52" s="28" t="s">
        <v>28</v>
      </c>
      <c r="B52" s="1" t="s">
        <v>38</v>
      </c>
      <c r="C52" s="1" t="s">
        <v>48</v>
      </c>
      <c r="D52" s="14">
        <v>7861.5</v>
      </c>
      <c r="E52" s="15">
        <v>112992.6225</v>
      </c>
      <c r="F52" s="16">
        <v>5623.75</v>
      </c>
      <c r="G52" s="176">
        <f t="shared" si="5"/>
        <v>0.71535330407683018</v>
      </c>
    </row>
    <row r="53" spans="1:7" x14ac:dyDescent="0.25">
      <c r="A53" s="28" t="s">
        <v>29</v>
      </c>
      <c r="B53" s="1" t="s">
        <v>35</v>
      </c>
      <c r="C53" s="1" t="s">
        <v>48</v>
      </c>
      <c r="D53" s="14">
        <v>21286.75</v>
      </c>
      <c r="E53" s="15">
        <v>112992.6225</v>
      </c>
      <c r="F53" s="16">
        <v>20694.25</v>
      </c>
      <c r="G53" s="176">
        <f t="shared" si="5"/>
        <v>0.97216578387964347</v>
      </c>
    </row>
    <row r="54" spans="1:7" ht="6" customHeight="1" thickBot="1" x14ac:dyDescent="0.3">
      <c r="B54" s="6"/>
      <c r="C54" s="2"/>
      <c r="D54" s="6"/>
      <c r="E54" s="6"/>
      <c r="F54" s="6"/>
      <c r="G54" s="187"/>
    </row>
    <row r="55" spans="1:7" ht="6" customHeight="1" thickTop="1" x14ac:dyDescent="0.25">
      <c r="C55" s="1"/>
    </row>
    <row r="56" spans="1:7" x14ac:dyDescent="0.25">
      <c r="B56" s="188" t="s">
        <v>152</v>
      </c>
    </row>
    <row r="57" spans="1:7" x14ac:dyDescent="0.25">
      <c r="B57" s="35"/>
      <c r="D57" s="12"/>
      <c r="F57" s="12"/>
      <c r="G57" s="174"/>
    </row>
    <row r="58" spans="1:7" x14ac:dyDescent="0.25">
      <c r="B58" s="35"/>
      <c r="F58" s="12"/>
    </row>
    <row r="59" spans="1:7" x14ac:dyDescent="0.25">
      <c r="B59" s="35"/>
    </row>
    <row r="60" spans="1:7" x14ac:dyDescent="0.25">
      <c r="B60" s="35"/>
    </row>
    <row r="61" spans="1:7" x14ac:dyDescent="0.25">
      <c r="B61" s="35"/>
      <c r="G61" s="174"/>
    </row>
    <row r="62" spans="1:7" x14ac:dyDescent="0.25">
      <c r="B62" s="35"/>
    </row>
    <row r="63" spans="1:7" x14ac:dyDescent="0.25">
      <c r="B63" s="35"/>
    </row>
    <row r="64" spans="1:7" x14ac:dyDescent="0.25">
      <c r="B64" s="35"/>
    </row>
    <row r="68" ht="6" customHeight="1" x14ac:dyDescent="0.25"/>
  </sheetData>
  <sortState ref="B11:J37">
    <sortCondition ref="C11:C37"/>
    <sortCondition ref="B11:B37"/>
  </sortState>
  <printOptions horizontalCentered="1" verticalCentered="1"/>
  <pageMargins left="0.7" right="0.7" top="0.75" bottom="0.75" header="0.3" footer="0.3"/>
  <pageSetup scale="73" orientation="landscape" horizontalDpi="1200" verticalDpi="1200" r:id="rId1"/>
  <headerFooter scaleWithDoc="0">
    <oddFooter>&amp;R&amp;F&amp;A&amp;P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8</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2016-06-27T16:30:00+00:00</PostDate>
    <ExpireDate xmlns="2613f182-e424-487f-ac7f-33bed2fc986a">2023-06-03T23:53:16+00:00</ExpireDate>
    <Content_x0020_Owner xmlns="2613f182-e424-487f-ac7f-33bed2fc986a">
      <UserInfo>
        <DisplayName>Millar, Neil</DisplayName>
        <AccountId>141</AccountId>
        <AccountType/>
      </UserInfo>
    </Content_x0020_Owner>
    <ISOContributor xmlns="2613f182-e424-487f-ac7f-33bed2fc986a">
      <UserInfo>
        <DisplayName>Le Vine, Debi</DisplayName>
        <AccountId>147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Sarubbi, Diana</DisplayName>
        <AccountId>39</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Stay Informed</TermName>
          <TermId xmlns="http://schemas.microsoft.com/office/infopath/2007/PartnerControls">d8aff6cb-80bb-4c94-b62f-ad25f81f5c96</TermId>
        </TermInfo>
      </Terms>
    </ISOTopicTaxHTField0>
    <ISOArchived xmlns="2613f182-e424-487f-ac7f-33bed2fc986a">Not Archived</ISOArchived>
    <ISOGroupSequence xmlns="2613f182-e424-487f-ac7f-33bed2fc986a" xsi:nil="true"/>
    <ISOOwner xmlns="2613f182-e424-487f-ac7f-33bed2fc986a">Millar, Neil</ISOOwner>
    <ISOSummary xmlns="2613f182-e424-487f-ac7f-33bed2fc986a">Senate Bill 350 study data</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The Brattle Group|1ed636cf-b394-407e-a646-b4ca0f01f65a</ParentISOGroups>
    <Orig_x0020_Post_x0020_Date xmlns="5bcbeff6-7c02-4b0f-b125-f1b3d566cc14">2021-06-03T23:47:00+00:00</Orig_x0020_Post_x0020_Date>
    <ContentReviewInterval xmlns="5bcbeff6-7c02-4b0f-b125-f1b3d566cc14">24</ContentReviewInterval>
    <IsDisabled xmlns="5bcbeff6-7c02-4b0f-b125-f1b3d566cc14">false</IsDisabled>
    <CrawlableUniqueID xmlns="5bcbeff6-7c02-4b0f-b125-f1b3d566cc14">dc3fb00e-38aa-4862-88ce-17858519ec23</CrawlableUniqueID>
  </documentManagement>
</p:properties>
</file>

<file path=customXml/itemProps1.xml><?xml version="1.0" encoding="utf-8"?>
<ds:datastoreItem xmlns:ds="http://schemas.openxmlformats.org/officeDocument/2006/customXml" ds:itemID="{8653A2DE-83BF-43C4-852C-5BEB4AAA0C95}"/>
</file>

<file path=customXml/itemProps2.xml><?xml version="1.0" encoding="utf-8"?>
<ds:datastoreItem xmlns:ds="http://schemas.openxmlformats.org/officeDocument/2006/customXml" ds:itemID="{FA39867B-E6E3-4296-BE21-48726713073F}"/>
</file>

<file path=customXml/itemProps3.xml><?xml version="1.0" encoding="utf-8"?>
<ds:datastoreItem xmlns:ds="http://schemas.openxmlformats.org/officeDocument/2006/customXml" ds:itemID="{F79F213A-1A2D-41B0-91F9-333A91167E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Summary</vt:lpstr>
      <vt:lpstr>Analysis&gt;&gt;</vt:lpstr>
      <vt:lpstr>2030 Regional ISO</vt:lpstr>
      <vt:lpstr>2020 Regional ISO</vt:lpstr>
      <vt:lpstr>2020 CAISO+PAC</vt:lpstr>
      <vt:lpstr>Data&gt;&gt;</vt:lpstr>
      <vt:lpstr>2014</vt:lpstr>
      <vt:lpstr>2013</vt:lpstr>
      <vt:lpstr>2012</vt:lpstr>
      <vt:lpstr>2011</vt:lpstr>
      <vt:lpstr>2010</vt:lpstr>
      <vt:lpstr>2009</vt:lpstr>
      <vt:lpstr>2008</vt:lpstr>
      <vt:lpstr>2007</vt:lpstr>
      <vt:lpstr>2006</vt:lpstr>
      <vt:lpstr>'2006'!Print_Area</vt:lpstr>
      <vt:lpstr>'2007'!Print_Area</vt:lpstr>
      <vt:lpstr>'2008'!Print_Area</vt:lpstr>
      <vt:lpstr>'2009'!Print_Area</vt:lpstr>
      <vt:lpstr>'2010'!Print_Area</vt:lpstr>
      <vt:lpstr>'2011'!Print_Area</vt:lpstr>
      <vt:lpstr>'2012'!Print_Area</vt:lpstr>
      <vt:lpstr>'2013'!Print_Area</vt:lpstr>
      <vt:lpstr>'2014'!Print_Area</vt:lpstr>
      <vt:lpstr>'2020 CAISO+PAC'!Print_Area</vt:lpstr>
      <vt:lpstr>'2020 Regional ISO'!Print_Area</vt:lpstr>
      <vt:lpstr>'2030 Regional ISO'!Print_Area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Brattle SB350 Study 06-17-2016 data release (load diversity detail) PUBLIC</dc:title>
  <dc:creator/>
  <cp:lastModifiedBy/>
  <dcterms:created xsi:type="dcterms:W3CDTF">2016-06-16T21:06:02Z</dcterms:created>
  <dcterms:modified xsi:type="dcterms:W3CDTF">2016-06-17T14:30:58Z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{97ADF6D6-391D-43FF-A642-73904804E118}</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8;#Stay Informed|d8aff6cb-80bb-4c94-b62f-ad25f81f5c96</vt:lpwstr>
  </property>
  <property fmtid="{D5CDD505-2E9C-101B-9397-08002B2CF9AE}" pid="7" name="ISOKeywords">
    <vt:lpwstr/>
  </property>
</Properties>
</file>