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mefiles\home\ECaldwell\ECALDWELL - work\PMO\EDAM CAISO BAA Rules\"/>
    </mc:Choice>
  </mc:AlternateContent>
  <bookViews>
    <workbookView xWindow="0" yWindow="0" windowWidth="19183" windowHeight="6891" firstSheet="1" activeTab="1"/>
  </bookViews>
  <sheets>
    <sheet name="Sheet2" sheetId="8" state="hidden" r:id="rId1"/>
    <sheet name="Read Me" sheetId="9" r:id="rId2"/>
    <sheet name="comp 1" sheetId="1" r:id="rId3"/>
    <sheet name="comp 2" sheetId="6" r:id="rId4"/>
    <sheet name="comp 3" sheetId="4" r:id="rId5"/>
    <sheet name="true-up" sheetId="2" r:id="rId6"/>
  </sheets>
  <definedNames>
    <definedName name="comp1CISO">'comp 1'!$C$55</definedName>
    <definedName name="comp1PTO1">'comp 1'!$C$58</definedName>
    <definedName name="comp1PTO2">'comp 1'!$C$59</definedName>
    <definedName name="comp1PTO3">'comp 1'!$C$60</definedName>
    <definedName name="comp2CISO">'comp 2'!$C$66</definedName>
    <definedName name="comp2PTO1">'comp 2'!$C$71</definedName>
    <definedName name="comp2PTO2">'comp 2'!$C$76</definedName>
    <definedName name="comp2PTO3">'comp 2'!$C$81</definedName>
    <definedName name="comp3CISO">'comp 3'!$C$44</definedName>
    <definedName name="comp3PTO1">'comp 3'!$C$46</definedName>
    <definedName name="comp3PTO2">'comp 3'!$C$47</definedName>
    <definedName name="comp3PTO3">'comp 3'!$C$48</definedName>
    <definedName name="_xlnm.Print_Area" localSheetId="3">'comp 2'!$A$1:$D$90</definedName>
    <definedName name="_xlnm.Print_Area" localSheetId="1">'Read Me'!$A$2:$B$8</definedName>
    <definedName name="rDisclaimer">Sheet2!$B$3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 r="C10" i="1"/>
  <c r="C5" i="6"/>
  <c r="B38" i="2"/>
  <c r="B54" i="4"/>
  <c r="B90" i="6"/>
  <c r="B66" i="1"/>
  <c r="C36" i="1" l="1"/>
  <c r="D22" i="2" l="1"/>
  <c r="F22" i="2"/>
  <c r="D29" i="2"/>
  <c r="D23" i="2"/>
  <c r="D8" i="2"/>
  <c r="D15" i="2"/>
  <c r="F15" i="2"/>
  <c r="F8" i="2"/>
  <c r="C50" i="1" l="1"/>
  <c r="C56" i="6"/>
  <c r="C44" i="6"/>
  <c r="C27" i="6"/>
  <c r="C29" i="1"/>
  <c r="C47" i="1"/>
  <c r="C16" i="6" s="1"/>
  <c r="C8" i="1" l="1"/>
  <c r="C49" i="1"/>
  <c r="C51" i="1" s="1"/>
  <c r="C53" i="1" s="1"/>
  <c r="C26" i="4" l="1"/>
  <c r="C27" i="4" s="1"/>
  <c r="C20" i="4"/>
  <c r="C21" i="4" s="1"/>
  <c r="C15" i="4"/>
  <c r="C16" i="4" s="1"/>
  <c r="C9" i="4"/>
  <c r="C11" i="4" s="1"/>
  <c r="C15" i="1"/>
  <c r="C5" i="4" l="1"/>
  <c r="C4" i="4" s="1"/>
  <c r="C3" i="4" s="1"/>
  <c r="C44" i="4" s="1"/>
  <c r="C55" i="1"/>
  <c r="C16" i="1"/>
  <c r="C39" i="1"/>
  <c r="C38" i="1"/>
  <c r="C18" i="1"/>
  <c r="C37" i="1"/>
  <c r="C17" i="1"/>
  <c r="D56" i="1" l="1"/>
  <c r="C56" i="1"/>
  <c r="C6" i="2" s="1"/>
  <c r="B59" i="1"/>
  <c r="D60" i="1"/>
  <c r="D59" i="1"/>
  <c r="D58" i="1"/>
  <c r="B58" i="1"/>
  <c r="B60" i="1"/>
  <c r="L6" i="2"/>
  <c r="I6" i="2"/>
  <c r="C47" i="4"/>
  <c r="C48" i="4"/>
  <c r="F29" i="2" s="1"/>
  <c r="C46" i="4"/>
  <c r="C59" i="1" l="1"/>
  <c r="C42" i="1"/>
  <c r="D40" i="6" s="1"/>
  <c r="C22" i="1"/>
  <c r="C44" i="1"/>
  <c r="D42" i="6" s="1"/>
  <c r="C21" i="1"/>
  <c r="C60" i="1"/>
  <c r="F6" i="2"/>
  <c r="C42" i="6"/>
  <c r="C23" i="1"/>
  <c r="C58" i="1"/>
  <c r="C43" i="1"/>
  <c r="D41" i="6" s="1"/>
  <c r="C27" i="2" l="1"/>
  <c r="C13" i="6"/>
  <c r="C13" i="2"/>
  <c r="C11" i="6"/>
  <c r="D24" i="6"/>
  <c r="D12" i="6"/>
  <c r="C24" i="6"/>
  <c r="D23" i="6"/>
  <c r="D11" i="6"/>
  <c r="C23" i="6"/>
  <c r="C20" i="2"/>
  <c r="C12" i="6"/>
  <c r="D25" i="6"/>
  <c r="D13" i="6"/>
  <c r="C25" i="6"/>
  <c r="C40" i="6"/>
  <c r="C41" i="6"/>
  <c r="C22" i="6" l="1"/>
  <c r="C34" i="6"/>
  <c r="C51" i="6"/>
  <c r="C78" i="6" s="1"/>
  <c r="C50" i="6"/>
  <c r="C33" i="6"/>
  <c r="C52" i="6"/>
  <c r="C35" i="6"/>
  <c r="C39" i="6"/>
  <c r="C10" i="6"/>
  <c r="C17" i="6"/>
  <c r="C18" i="6" s="1"/>
  <c r="C62" i="6" l="1"/>
  <c r="C74" i="6" s="1"/>
  <c r="C64" i="6"/>
  <c r="C84" i="6" s="1"/>
  <c r="C83" i="6"/>
  <c r="C63" i="6"/>
  <c r="C77" i="6"/>
  <c r="C79" i="6" l="1"/>
  <c r="C68" i="6"/>
  <c r="C67" i="6"/>
  <c r="C69" i="6"/>
  <c r="C82" i="6"/>
  <c r="C73" i="6"/>
  <c r="C49" i="6"/>
  <c r="C72" i="6"/>
  <c r="C32" i="6"/>
  <c r="C61" i="6"/>
  <c r="C81" i="6"/>
  <c r="I28" i="2" l="1"/>
  <c r="C28" i="2"/>
  <c r="C26" i="2" s="1"/>
  <c r="C71" i="6"/>
  <c r="C14" i="2" s="1"/>
  <c r="C12" i="2" s="1"/>
  <c r="C76" i="6"/>
  <c r="C66" i="6"/>
  <c r="C7" i="2" s="1"/>
  <c r="C5" i="2" s="1"/>
  <c r="L28" i="2"/>
  <c r="F28" i="2"/>
  <c r="L14" i="2"/>
  <c r="I21" i="2" l="1"/>
  <c r="C21" i="2"/>
  <c r="C19" i="2" s="1"/>
  <c r="F14" i="2"/>
  <c r="I14" i="2"/>
  <c r="D5" i="2"/>
  <c r="D26" i="2" s="1"/>
  <c r="E31" i="2" s="1"/>
  <c r="F31" i="2" s="1"/>
  <c r="F21" i="2"/>
  <c r="L21" i="2"/>
  <c r="F7" i="2"/>
  <c r="I7" i="2"/>
  <c r="L7" i="2"/>
  <c r="D12" i="2" l="1"/>
  <c r="E17" i="2" s="1"/>
  <c r="F17" i="2" s="1"/>
  <c r="E10" i="2"/>
  <c r="F10" i="2" s="1"/>
  <c r="D27" i="2"/>
  <c r="D28" i="2"/>
  <c r="D14" i="2"/>
  <c r="D13" i="2"/>
  <c r="D19" i="2"/>
  <c r="E24" i="2" s="1"/>
  <c r="F24" i="2" s="1"/>
  <c r="D6" i="2"/>
  <c r="D7" i="2"/>
  <c r="F5" i="2"/>
  <c r="G5" i="2" s="1"/>
  <c r="D21" i="2" l="1"/>
  <c r="D20" i="2"/>
  <c r="G8" i="2"/>
  <c r="F20" i="2"/>
  <c r="F19" i="2" s="1"/>
  <c r="F13" i="2"/>
  <c r="F12" i="2" s="1"/>
  <c r="L20" i="2"/>
  <c r="I20" i="2"/>
  <c r="I27" i="2"/>
  <c r="L27" i="2"/>
  <c r="I13" i="2"/>
  <c r="L13" i="2"/>
  <c r="F27" i="2" l="1"/>
  <c r="F26" i="2" s="1"/>
  <c r="G19" i="2" s="1"/>
  <c r="G7" i="2"/>
  <c r="H10" i="2"/>
  <c r="I10" i="2" s="1"/>
  <c r="I8" i="2"/>
  <c r="G6" i="2"/>
  <c r="G20" i="2" l="1"/>
  <c r="G22" i="2"/>
  <c r="I22" i="2" s="1"/>
  <c r="G21" i="2"/>
  <c r="G26" i="2"/>
  <c r="G29" i="2" s="1"/>
  <c r="I29" i="2" s="1"/>
  <c r="G12" i="2"/>
  <c r="G15" i="2" s="1"/>
  <c r="I15" i="2" s="1"/>
  <c r="I5" i="2"/>
  <c r="H24" i="2"/>
  <c r="I24" i="2" s="1"/>
  <c r="J5" i="2" l="1"/>
  <c r="K10" i="2" s="1"/>
  <c r="L10" i="2" s="1"/>
  <c r="G13" i="2"/>
  <c r="G28" i="2"/>
  <c r="H31" i="2"/>
  <c r="I31" i="2" s="1"/>
  <c r="I26" i="2" s="1"/>
  <c r="G27" i="2"/>
  <c r="I19" i="2"/>
  <c r="G14" i="2"/>
  <c r="H17" i="2"/>
  <c r="I17" i="2" s="1"/>
  <c r="I12" i="2" s="1"/>
  <c r="J7" i="2" l="1"/>
  <c r="J6" i="2"/>
  <c r="J8" i="2"/>
  <c r="L8" i="2" s="1"/>
  <c r="L5" i="2" s="1"/>
  <c r="J12" i="2"/>
  <c r="K17" i="2" s="1"/>
  <c r="L17" i="2" s="1"/>
  <c r="J19" i="2"/>
  <c r="J22" i="2" s="1"/>
  <c r="L22" i="2" s="1"/>
  <c r="J26" i="2"/>
  <c r="K31" i="2" s="1"/>
  <c r="L31" i="2" s="1"/>
  <c r="J15" i="2" l="1"/>
  <c r="L15" i="2" s="1"/>
  <c r="L12" i="2" s="1"/>
  <c r="J21" i="2"/>
  <c r="K24" i="2"/>
  <c r="L24" i="2" s="1"/>
  <c r="L19" i="2" s="1"/>
  <c r="J20" i="2"/>
  <c r="J14" i="2"/>
  <c r="J13" i="2"/>
  <c r="J29" i="2"/>
  <c r="L29" i="2" s="1"/>
  <c r="L26" i="2" s="1"/>
  <c r="J28" i="2"/>
  <c r="J27" i="2"/>
</calcChain>
</file>

<file path=xl/sharedStrings.xml><?xml version="1.0" encoding="utf-8"?>
<sst xmlns="http://schemas.openxmlformats.org/spreadsheetml/2006/main" count="312" uniqueCount="260">
  <si>
    <t>CISO BAA</t>
  </si>
  <si>
    <t>True-Up</t>
  </si>
  <si>
    <t>► Total Entitlements @ Location 1</t>
  </si>
  <si>
    <t>(a')</t>
  </si>
  <si>
    <t>(b')</t>
  </si>
  <si>
    <t>(c')</t>
  </si>
  <si>
    <t>= (a') * [ (b') / (c') ]</t>
  </si>
  <si>
    <t>Historical Component 1 Revenue Requirement (Annual)</t>
  </si>
  <si>
    <t>New Transmission Component 2 Revenue Requirement (Annual)</t>
  </si>
  <si>
    <t>► Expiring Existing Contracts @ Location 1</t>
  </si>
  <si>
    <t>► Expiring Existing Contracts @ Location 2</t>
  </si>
  <si>
    <t>(Total Entitlements)</t>
  </si>
  <si>
    <t>► PTO3 Component 2 Recoverable Revenue</t>
  </si>
  <si>
    <t>…</t>
  </si>
  <si>
    <t>► Month 1</t>
  </si>
  <si>
    <t>► Month 2</t>
  </si>
  <si>
    <t>► Month 3</t>
  </si>
  <si>
    <t>► Month 12</t>
  </si>
  <si>
    <t>= CISO BAA Export Transfer Quantity</t>
  </si>
  <si>
    <t>= CISO BAA Import Transfer Quantity</t>
  </si>
  <si>
    <t>Sum of Hourly Excess Wheel-Through Transfer Quantities</t>
  </si>
  <si>
    <t>► CISO BAA Wheel-Through Transfer Volume (Annual)</t>
  </si>
  <si>
    <t>PTO1</t>
  </si>
  <si>
    <t>PTO2</t>
  </si>
  <si>
    <t>PTO3</t>
  </si>
  <si>
    <t>► PTO1 - Annual Transmission Revenue Requirement ($/yr)</t>
  </si>
  <si>
    <t>► PTO2 - Annual Transmission Revenue Requirement ($/yr)</t>
  </si>
  <si>
    <t>► PTO3 - Annual Transmission Revenue Requirement ($/yr)</t>
  </si>
  <si>
    <t>► Location 2 (transfers between CISO BAA and EDAM BAA 2)</t>
  </si>
  <si>
    <t>► Location 1 (transfers between CISO BAA and EDAM BAA 1)</t>
  </si>
  <si>
    <t>(PTO1 Entitlements)</t>
  </si>
  <si>
    <t>(PTO2 Entitlements)</t>
  </si>
  <si>
    <t>(PTO3 Entitlements)</t>
  </si>
  <si>
    <t>= (Comp 1 Recoverable Revenue @ Location 2) * [ (PTO1 Entitlements) / (Total Entitlements) ]</t>
  </si>
  <si>
    <t>= (Comp 1 Recoverable Revenue @ Location 2) * [ (PTO2 Entitlements) / (Total Entitlements) ]</t>
  </si>
  <si>
    <t>= (Comp 1 Recoverable Revenue @ Location 1) * [ (PTO1 Entitlements) / (Tot Entitlements) ]</t>
  </si>
  <si>
    <t>= (Comp 1 Recoverable Revenue @ Location 1) * [ (PTO2 Entitlements) / (Tot Entitlements) ]</t>
  </si>
  <si>
    <t>= (Comp 1 Recoverable Revenue @ Location 1) * [ (PTO3 Entitlements) / (Tot Entitlements) ]</t>
  </si>
  <si>
    <t>= (Comp 1 Recoverable Revenue @ Location 2) * [ (PTO3 Entitlements) / (Total Entitlements) ]</t>
  </si>
  <si>
    <t>Entitlements Held by PTO1</t>
  </si>
  <si>
    <t>Entitlements Held by PTO2</t>
  </si>
  <si>
    <t>Entitlements Held by PTO3</t>
  </si>
  <si>
    <t>3-Yr Historical Avg WAC @ Location 1</t>
  </si>
  <si>
    <r>
      <t>Location 1 Total Exports</t>
    </r>
    <r>
      <rPr>
        <vertAlign val="superscript"/>
        <sz val="11"/>
        <color theme="1"/>
        <rFont val="Calibri"/>
        <family val="2"/>
        <scheme val="minor"/>
      </rPr>
      <t xml:space="preserve">1 </t>
    </r>
  </si>
  <si>
    <t>3-Yr Historical Avg WAC @ Location 2</t>
  </si>
  <si>
    <r>
      <t>Location 2 Total Exports</t>
    </r>
    <r>
      <rPr>
        <vertAlign val="superscript"/>
        <sz val="11"/>
        <color theme="1"/>
        <rFont val="Calibri"/>
        <family val="2"/>
        <scheme val="minor"/>
      </rPr>
      <t>1</t>
    </r>
    <r>
      <rPr>
        <sz val="11"/>
        <color theme="1"/>
        <rFont val="Calibri"/>
        <family val="2"/>
        <scheme val="minor"/>
      </rPr>
      <t xml:space="preserve"> </t>
    </r>
  </si>
  <si>
    <t>Total CISO BAA Component 2 Recoverable Revenue @ Location 1</t>
  </si>
  <si>
    <t>Total CISO BAA Component 2 Recoverable Revenue @ Location 2</t>
  </si>
  <si>
    <t>Total CISO BAA Component 2 Recoverable Revenue @ Location 3</t>
  </si>
  <si>
    <t>► Upgrade Transmission Revenue Requirement @ Location 3</t>
  </si>
  <si>
    <t xml:space="preserve">= PTO1 Comp 2 @ Loc 3 + PTO2 Comp 2 @ Loc 3 + PTO3 Comp 2 @ Loc 3 </t>
  </si>
  <si>
    <t xml:space="preserve">= PTO1 Comp 2 @ Loc 1 + PTO2 Comp 2 @ Loc 1 + PTO3 Comp 2 @ Loc 1 </t>
  </si>
  <si>
    <t xml:space="preserve">= PTO1 Comp 2 @ Loc 2 + PTO2 Comp 2 @ Loc 2 + PTO3 Comp 2 @ Loc 2 </t>
  </si>
  <si>
    <t>Calculation</t>
  </si>
  <si>
    <t>Amount</t>
  </si>
  <si>
    <t>Day 1 of Month</t>
  </si>
  <si>
    <t>CISO BAA Export Transfer Volume</t>
  </si>
  <si>
    <t>CISO BAA Import Transfer Volume</t>
  </si>
  <si>
    <t>CISO BAA Wheel-Through Transfer Volume</t>
  </si>
  <si>
    <t>CISO BAA Excess Wheel-Through Transfer Volume</t>
  </si>
  <si>
    <t>Day 2 of Month</t>
  </si>
  <si>
    <t>Day 3 of Month</t>
  </si>
  <si>
    <t>Day 30 of Month</t>
  </si>
  <si>
    <t>See Hour 1</t>
  </si>
  <si>
    <t xml:space="preserve">Hour 1:  CISO BAA Wheel-Through Transfer Volume </t>
  </si>
  <si>
    <t xml:space="preserve">Hour 2:  CISO BAA Wheel-Through Transfer Volume </t>
  </si>
  <si>
    <t xml:space="preserve">Hour 3:  CISO BAA Wheel-Through Transfer Volume </t>
  </si>
  <si>
    <t xml:space="preserve">Hour 24:  CISO BAA Wheel-Through Transfer Volume </t>
  </si>
  <si>
    <r>
      <t>Excess Wheel-Through Component 3 Revenue Requirement (Annual)</t>
    </r>
    <r>
      <rPr>
        <b/>
        <vertAlign val="superscript"/>
        <sz val="14"/>
        <color theme="1"/>
        <rFont val="Calibri"/>
        <family val="2"/>
        <scheme val="minor"/>
      </rPr>
      <t>1</t>
    </r>
  </si>
  <si>
    <r>
      <t>► Current WAC Rate ($/MWh)</t>
    </r>
    <r>
      <rPr>
        <vertAlign val="superscript"/>
        <sz val="11"/>
        <rFont val="Calibri"/>
        <family val="2"/>
        <scheme val="minor"/>
      </rPr>
      <t>2</t>
    </r>
  </si>
  <si>
    <t>Hourly Excess Import/Export Quantities are not netted across hours, but are aggregated to a monthly value</t>
  </si>
  <si>
    <t>Projected</t>
  </si>
  <si>
    <t>Actual</t>
  </si>
  <si>
    <t>YEAR 1</t>
  </si>
  <si>
    <t>YEAR 2</t>
  </si>
  <si>
    <t>YEAR 3</t>
  </si>
  <si>
    <r>
      <t>Comp 1</t>
    </r>
    <r>
      <rPr>
        <vertAlign val="superscript"/>
        <sz val="11"/>
        <color theme="1"/>
        <rFont val="Calibri"/>
        <family val="2"/>
        <scheme val="minor"/>
      </rPr>
      <t>1</t>
    </r>
  </si>
  <si>
    <r>
      <t>Comp 2</t>
    </r>
    <r>
      <rPr>
        <vertAlign val="superscript"/>
        <sz val="11"/>
        <color theme="1"/>
        <rFont val="Calibri"/>
        <family val="2"/>
        <scheme val="minor"/>
      </rPr>
      <t>2</t>
    </r>
  </si>
  <si>
    <r>
      <t>Comp 3</t>
    </r>
    <r>
      <rPr>
        <vertAlign val="superscript"/>
        <sz val="11"/>
        <color theme="1"/>
        <rFont val="Calibri"/>
        <family val="2"/>
        <scheme val="minor"/>
      </rPr>
      <t>3</t>
    </r>
  </si>
  <si>
    <t>Total Recoverable Revenue Requirements with True-Up (Annual)</t>
  </si>
  <si>
    <t>= Max[0, CISO BAA Wheel-Through Transfer Quantity 
       - Max(0, (CISO BAA Export Transfer Quantity 
       - CISO BAA Import Transfer Quantity))]</t>
  </si>
  <si>
    <t>= Min(CISO BAA Export Transfer Quantity, 
             CISO BAA Import Transfer Quantity)</t>
  </si>
  <si>
    <t>= CISO BAA Excess Wheel-Through Comp 3 Transfer Recoverable Revenue * (PTO1 TRR / Total CISO BAA TRR)</t>
  </si>
  <si>
    <t>= CISO BAA Excess Wheel-Through Comp 3 Transfer Recoverable Revenue * (PTO2 TRR / Total CISO BAA TRR)</t>
  </si>
  <si>
    <t>= CISO BAA Excess Wheel-Through Comp 3 Transfer Recoverable Revenue * (PTO3 TRR / Total CISO BAA TRR)</t>
  </si>
  <si>
    <t>[Assume no Excess Wheel-Through Transfer Quantities during Months 4-11]</t>
  </si>
  <si>
    <t>[Assume no Excess Wheel-Through Transfer Quantities during Days 4-29]</t>
  </si>
  <si>
    <t>[Assume no Excess Wheel-Through Transfer Quantities during Hours 4-23]</t>
  </si>
  <si>
    <r>
      <rPr>
        <vertAlign val="superscript"/>
        <sz val="11"/>
        <rFont val="Calibri"/>
        <family val="2"/>
        <scheme val="minor"/>
      </rPr>
      <t>1</t>
    </r>
    <r>
      <rPr>
        <sz val="11"/>
        <rFont val="Calibri"/>
        <family val="2"/>
        <scheme val="minor"/>
      </rPr>
      <t>Amount is determined from prior year's actuals.</t>
    </r>
  </si>
  <si>
    <r>
      <rPr>
        <vertAlign val="superscript"/>
        <sz val="11"/>
        <rFont val="Calibri"/>
        <family val="2"/>
        <scheme val="minor"/>
      </rPr>
      <t xml:space="preserve">3 </t>
    </r>
    <r>
      <rPr>
        <sz val="11"/>
        <rFont val="Calibri"/>
        <family val="2"/>
        <scheme val="minor"/>
      </rPr>
      <t xml:space="preserve">Total CISO BAA Excess Wheel-Through Component 3 Actuals are applied to the following year's 
   </t>
    </r>
    <r>
      <rPr>
        <i/>
        <sz val="11"/>
        <rFont val="Calibri"/>
        <family val="2"/>
        <scheme val="minor"/>
      </rPr>
      <t>EDAM Recoverable Revenue Requirement and EDAM Access Charge Rate</t>
    </r>
  </si>
  <si>
    <r>
      <t>True-Up</t>
    </r>
    <r>
      <rPr>
        <vertAlign val="superscript"/>
        <sz val="11"/>
        <color theme="1"/>
        <rFont val="Calibri"/>
        <family val="2"/>
        <scheme val="minor"/>
      </rPr>
      <t>3, 4</t>
    </r>
  </si>
  <si>
    <t>► Total CISO BAA Component 2 Recoverable Revenue</t>
  </si>
  <si>
    <r>
      <t>Historical 3-Yr Avg WAC Revenue for CISO BAA</t>
    </r>
    <r>
      <rPr>
        <vertAlign val="superscript"/>
        <sz val="11"/>
        <color theme="1"/>
        <rFont val="Calibri"/>
        <family val="2"/>
        <scheme val="minor"/>
      </rPr>
      <t>1, 2</t>
    </r>
  </si>
  <si>
    <r>
      <t>Historical 3-Yr Avg TRR for CISO BAA</t>
    </r>
    <r>
      <rPr>
        <vertAlign val="superscript"/>
        <sz val="11"/>
        <color theme="1"/>
        <rFont val="Calibri"/>
        <family val="2"/>
        <scheme val="minor"/>
      </rPr>
      <t>1, 2</t>
    </r>
  </si>
  <si>
    <r>
      <rPr>
        <vertAlign val="superscript"/>
        <sz val="11"/>
        <rFont val="Calibri"/>
        <family val="2"/>
        <scheme val="minor"/>
      </rPr>
      <t>2</t>
    </r>
    <r>
      <rPr>
        <sz val="11"/>
        <rFont val="Calibri"/>
        <family val="2"/>
        <scheme val="minor"/>
      </rPr>
      <t xml:space="preserve"> Historical period will be the three years immediately preceding EDAM participation.  </t>
    </r>
  </si>
  <si>
    <r>
      <rPr>
        <vertAlign val="superscript"/>
        <sz val="11"/>
        <rFont val="Calibri"/>
        <family val="2"/>
        <scheme val="minor"/>
      </rPr>
      <t>3</t>
    </r>
    <r>
      <rPr>
        <sz val="11"/>
        <rFont val="Calibri"/>
        <family val="2"/>
        <scheme val="minor"/>
      </rPr>
      <t xml:space="preserve"> Amount must not have been considered under Component 1 Recoverable Revenue.</t>
    </r>
  </si>
  <si>
    <r>
      <rPr>
        <i/>
        <vertAlign val="superscript"/>
        <sz val="11"/>
        <rFont val="Calibri"/>
        <family val="2"/>
        <scheme val="minor"/>
      </rPr>
      <t>1</t>
    </r>
    <r>
      <rPr>
        <i/>
        <sz val="11"/>
        <rFont val="Calibri"/>
        <family val="2"/>
        <scheme val="minor"/>
      </rPr>
      <t xml:space="preserve"> Exports exclude balanced schedules with ETC/TOR. </t>
    </r>
  </si>
  <si>
    <t xml:space="preserve">► CISO BAA Component 1 EDAM Recoverable Revenue Limit (Revenue Cap) Assessment </t>
  </si>
  <si>
    <t>Entitlements Held by PTO1 (MWh)</t>
  </si>
  <si>
    <t>Entitlements Held by PTO2 (MWh)</t>
  </si>
  <si>
    <t>Entitlements Held by PTO3 (MWh)</t>
  </si>
  <si>
    <t>► Total Entitlements (MWh) @ Location 2</t>
  </si>
  <si>
    <t>► Comp 2 Recoverable Revenue @ Location 3</t>
  </si>
  <si>
    <t>CISO BAA Component 1 Limit Ratio</t>
  </si>
  <si>
    <t xml:space="preserve">► CISO BAA's Proxy Baseline Ratio </t>
  </si>
  <si>
    <t>(trr1)</t>
  </si>
  <si>
    <t>(trr2)</t>
  </si>
  <si>
    <t>(trr3)</t>
  </si>
  <si>
    <t>(trrCISO)</t>
  </si>
  <si>
    <t>► Comp 2 Recoverable Revenue @ Location 1</t>
  </si>
  <si>
    <t>► Comp 2 Recoverable Revenue @ Location 2</t>
  </si>
  <si>
    <t>► Upgrade @ Location 3 (New Export Location)</t>
  </si>
  <si>
    <t>(a)</t>
  </si>
  <si>
    <t>(b)</t>
  </si>
  <si>
    <t>(c)</t>
  </si>
  <si>
    <t>= (a) * [ (b) / (c) ]</t>
  </si>
  <si>
    <r>
      <t>► Total CISO BAA Component 1 Recoverable Revenue</t>
    </r>
    <r>
      <rPr>
        <b/>
        <vertAlign val="superscript"/>
        <sz val="11"/>
        <color rgb="FF0000FF"/>
        <rFont val="Calibri"/>
        <family val="2"/>
        <scheme val="minor"/>
      </rPr>
      <t xml:space="preserve">2 </t>
    </r>
  </si>
  <si>
    <r>
      <t>Total CISO BAA Component 1 Recoverable Revenue</t>
    </r>
    <r>
      <rPr>
        <vertAlign val="superscript"/>
        <sz val="11"/>
        <color theme="1"/>
        <rFont val="Calibri"/>
        <family val="2"/>
        <scheme val="minor"/>
      </rPr>
      <t xml:space="preserve"> </t>
    </r>
    <r>
      <rPr>
        <sz val="11"/>
        <color theme="1"/>
        <rFont val="Calibri"/>
        <family val="2"/>
        <scheme val="minor"/>
      </rPr>
      <t>Adjustment Reduction Amount</t>
    </r>
  </si>
  <si>
    <t>=  Total CISO BAA Comp 1 Rev Req = (Total Comp 1 Rev Req @ Loc 1) + (Total Comp 1 Rev Req @ Loc 2)</t>
  </si>
  <si>
    <t>PTO1 Reduction of Recoverable Revenue @ Location 1</t>
  </si>
  <si>
    <t>PTO2 Reduction of Recoverable Revenue @ Location 1</t>
  </si>
  <si>
    <t>PTO3 Reduction of Recoverable Revenue @ Location 1</t>
  </si>
  <si>
    <t>► Reduction of Comp 1 Revenue @ Location 2 (if Comp 1 Limit Enforced, zero otherwise)</t>
  </si>
  <si>
    <t>► Reduction of Comp 1 Revenue @ Location 1 (if Comp 1 Limit Enforced, zero otherwise)</t>
  </si>
  <si>
    <t>► CISO BAA Component 1 Recoverable Revenue @ Location 1</t>
  </si>
  <si>
    <t>► CISO BAA Expired Contract Revenue Amounts @ Location 1</t>
  </si>
  <si>
    <t>► CISO BAA Transmission Revenue Requirement ($)</t>
  </si>
  <si>
    <t>► CISO BAA Component 1 Recoverable Revenue @ Location 2</t>
  </si>
  <si>
    <t>PTO1 Comp 1 Recoverable Revenue @ Location 2</t>
  </si>
  <si>
    <t>PTO2 Comp 1 Recoverable Revenue @ Location 2</t>
  </si>
  <si>
    <t>PTO3 Comp 1 Recoverable Revenue @ Location 2</t>
  </si>
  <si>
    <t>► CISO BAA Expired Contract Revenue Amounts @ Location 2</t>
  </si>
  <si>
    <t>PTO1 Component 2 Recoverable Revenue @ Location 1</t>
  </si>
  <si>
    <t>PTO1 Component 2 Recoverable Revenue @ Location 2</t>
  </si>
  <si>
    <t>PTO1 Component 2 Recoverable Revenue @ Location 3</t>
  </si>
  <si>
    <t>► Total PTO1 Component 2 Recoverable Revenue</t>
  </si>
  <si>
    <t>PTO2 Component 2 Recoverable Revenue @ Location 1</t>
  </si>
  <si>
    <t>PTO2 Component 2 Recoverable Revenue @ Location 2</t>
  </si>
  <si>
    <t>PTO2 Component 2 Recoverable Revenue @ Location 3</t>
  </si>
  <si>
    <t>► Total PTO2 Component 2 Recoverable Revenue</t>
  </si>
  <si>
    <t>PTO3 Component 2 Recoverable Revenue @ Location 1</t>
  </si>
  <si>
    <t>PTO3 Component 2 Recoverable Revenue @ Location 2</t>
  </si>
  <si>
    <t>PTO3 Component 2 Recoverable Revenue @ Location 3</t>
  </si>
  <si>
    <t>(Total CISO BAA Entitlements)</t>
  </si>
  <si>
    <t>► CISO BAA Component 1 Recoverable Revenue Limit</t>
  </si>
  <si>
    <t>PTO1 Reduction of Recoverable Revenue @ Location 2</t>
  </si>
  <si>
    <t>PTO2 Reduction of Recoverable Revenue @ Location 2</t>
  </si>
  <si>
    <t>PTO3 Reduction of Recoverable Revenue @ Location 2</t>
  </si>
  <si>
    <t>Total Projected WAC revenue for all Locations associated with CISO BAA Grid</t>
  </si>
  <si>
    <r>
      <rPr>
        <i/>
        <vertAlign val="superscript"/>
        <sz val="11"/>
        <rFont val="Calibri"/>
        <family val="2"/>
        <scheme val="minor"/>
      </rPr>
      <t>2</t>
    </r>
    <r>
      <rPr>
        <i/>
        <sz val="11"/>
        <rFont val="Calibri"/>
        <family val="2"/>
        <scheme val="minor"/>
      </rPr>
      <t xml:space="preserve"> Historical Revenue Requirement Amount is applied as revenue without adjustment applied.  If limit is enforced, a reduction amount will be applied.</t>
    </r>
  </si>
  <si>
    <t>(d)</t>
  </si>
  <si>
    <t>(e)</t>
  </si>
  <si>
    <r>
      <t>Proxy Baseline Ratio</t>
    </r>
    <r>
      <rPr>
        <b/>
        <vertAlign val="superscript"/>
        <sz val="11"/>
        <color theme="1"/>
        <rFont val="Calibri"/>
        <family val="2"/>
        <scheme val="minor"/>
      </rPr>
      <t>1, 2</t>
    </r>
  </si>
  <si>
    <t>PTO3 - No Contract Expiration @ Location 1</t>
  </si>
  <si>
    <t>Total CISO BAA Exports from CISO BAA, excluding ETC/TOR</t>
  </si>
  <si>
    <t>(f) = (d) / (e)</t>
  </si>
  <si>
    <t>(q) = (a) + (a')</t>
  </si>
  <si>
    <t>(r) = (b) + (b')</t>
  </si>
  <si>
    <t>(s) = (c) + (c')</t>
  </si>
  <si>
    <t>= (r) / (s)</t>
  </si>
  <si>
    <t>= (q) * [ (r) / (s) ]</t>
  </si>
  <si>
    <t>PTO1 Component 1 Recoverable Revenue @ Location 1</t>
  </si>
  <si>
    <t>PTO1 Component 1 Recoverable Revenue @ Location 2</t>
  </si>
  <si>
    <t>PTO2 Component 1 Recoverable Revenue @ Location 1</t>
  </si>
  <si>
    <t>PTO3 Component 1 Recoverable Revenue @ Location 1</t>
  </si>
  <si>
    <t>PTO2 Component 1 Recoverable Revenue @ Location 2</t>
  </si>
  <si>
    <t>PTO3 Component 1 Recoverable Revenue @ Location 2</t>
  </si>
  <si>
    <t>(trrCISO')</t>
  </si>
  <si>
    <t>Total PTO1 Pre-Existing Transmission Revenue Requirements - Locations 1 &amp; 2</t>
  </si>
  <si>
    <t>Total PTO2 Pre-Existing Transmission Revenue Requirements - Locations 1 &amp; 2</t>
  </si>
  <si>
    <t>Total PTO3 Pre-Existing Transmission Revenue Requirements - Locations 1 &amp; 2</t>
  </si>
  <si>
    <t>PTO1 Expired Contract Revenue Amount @ Location 1</t>
  </si>
  <si>
    <t>PTO2 Expired Contract Revenue Amount @ Location 1</t>
  </si>
  <si>
    <t>PTO1 Expired Contract Revenue Amount @ Location 2</t>
  </si>
  <si>
    <t>PTO2 Expired Contract Revenue Amount @ Location 2</t>
  </si>
  <si>
    <t>PTO3 Expired Contract Revenue Amount @ Location 2</t>
  </si>
  <si>
    <t xml:space="preserve">= PTO1 TRR for Upgrade @ Location 3 * proxy baseline ratio </t>
  </si>
  <si>
    <t xml:space="preserve">= PTO2 TRR for Upgrade @ Location 3 * proxy baseline ratio </t>
  </si>
  <si>
    <t xml:space="preserve">= PTO3 TRR for Upgrade @ Location 3 * proxy baseline ratio </t>
  </si>
  <si>
    <t>(trr3' @ Location 3)</t>
  </si>
  <si>
    <t>(trr2' @ Location 3)</t>
  </si>
  <si>
    <t>(trr1' @ Location 3)</t>
  </si>
  <si>
    <t>= (trr3' @ Location 3) * proxy baseline</t>
  </si>
  <si>
    <t>= (trr2' @ Location 3) * proxy baseline</t>
  </si>
  <si>
    <t>= (trr1' @ Location 3) * proxy baseline</t>
  </si>
  <si>
    <r>
      <rPr>
        <vertAlign val="superscript"/>
        <sz val="11"/>
        <rFont val="Calibri"/>
        <family val="2"/>
        <scheme val="minor"/>
      </rPr>
      <t>1</t>
    </r>
    <r>
      <rPr>
        <sz val="11"/>
        <rFont val="Calibri"/>
        <family val="2"/>
        <scheme val="minor"/>
      </rPr>
      <t xml:space="preserve"> A single Proxy Baseline Ration will apply to all Upgrade locations within the CISO BAA (based on the total CISO BAA WAC and TRR historical average values)</t>
    </r>
  </si>
  <si>
    <r>
      <t>► Total CISO BAA Excess Wheel Through Component 3 Recoverable Revenue</t>
    </r>
    <r>
      <rPr>
        <b/>
        <vertAlign val="superscript"/>
        <sz val="11"/>
        <color rgb="FF0000FF"/>
        <rFont val="Calibri"/>
        <family val="2"/>
        <scheme val="minor"/>
      </rPr>
      <t>3</t>
    </r>
  </si>
  <si>
    <t>PTO2 Excess Wheel Through Revenue Requirement</t>
  </si>
  <si>
    <t>PTO1 Excess Wheel Through Revenue Requirement</t>
  </si>
  <si>
    <t>PTO3 Excess Wheel Through Revenue Requirement</t>
  </si>
  <si>
    <r>
      <t>= CISO BAA Excess Wheel-Through Comp 3 Transfer Volume * Current WAC Rate</t>
    </r>
    <r>
      <rPr>
        <b/>
        <vertAlign val="superscript"/>
        <sz val="11"/>
        <color rgb="FF0000FF"/>
        <rFont val="Calibri"/>
        <family val="2"/>
        <scheme val="minor"/>
      </rPr>
      <t>2</t>
    </r>
  </si>
  <si>
    <t>= (CISO BAA Comp 1 Reduction) * (CISO BAA Comp 1 Rev @1 / CISO BAA Comp 1 Rev Total) * (PTO1 Comp 1 Rev @1 / CISO BAA Comp 1 Rev @1)</t>
  </si>
  <si>
    <t>= (CISO BAA Comp 1 Reduction) * (CISO BAA Comp 1 Rev @1 / CISO BAA Comp 1 Rev Total) * (PTO2 Comp 1 Rev @1 / CISO BAA Comp 1 Rev @1)</t>
  </si>
  <si>
    <t>= (CISO BAA Comp 1 Reduction) * (CISO BAA Comp 1 Rev @1 / CISO BAA Comp 1 Rev Total) * (PTO3 Comp 1 Rev @1 / CISO BAA Comp 1 Rev @1)</t>
  </si>
  <si>
    <t>= (CISO BAA Comp 1 Reduction) * (CISO BAA Comp 1 Rev @2 / CISO BAA Comp 1 Rev Total) * (PTO1 Comp 1 Rev @2 / CISO BAA Comp 1 Rev @2)</t>
  </si>
  <si>
    <t>= (CISO BAA Comp 1 Reduction) * (CISO BAA Comp 1 Rev @2 / CISO BAA Comp 1 Rev Total) * (PTO2 Comp 1 Rev @2 / CISO BAA Comp 1 Rev @2)</t>
  </si>
  <si>
    <t>= (CISO BAA Comp 1 Reduction) * (CISO BAA Comp 1 Rev @2 / CISO BAA Comp 1 Rev Total) * (PTO3 Comp 1 Rev @2 / CISO BAA Comp 1 Rev @2)</t>
  </si>
  <si>
    <t>Example assumes there are only two (2) export locations associated with three (3) PTOs for the CISO BAA.  Dollar amounts and ratios are not actual and for illustrative purposes only.</t>
  </si>
  <si>
    <t>(x') = (PTO2's expired contract amount @ Location 2)</t>
  </si>
  <si>
    <t>(y') = (PTO2's expired contract amount @ Location 2)</t>
  </si>
  <si>
    <t>(z') = (PTO3's expired contract amount @ Location 2)</t>
  </si>
  <si>
    <t>PTO1 Component 2 Recovered Revenue @ Location 1</t>
  </si>
  <si>
    <t>PTO2 Component 2 Recovered Revenue @ Location 1</t>
  </si>
  <si>
    <t>PTO3 Component 2 Recovered Revenue @ Location 1</t>
  </si>
  <si>
    <t>(x) = (PTO1 expired contract revenue amount @ Location 1)</t>
  </si>
  <si>
    <t>(y) = (PTO2 expired contract revenue amount @ Location 1)</t>
  </si>
  <si>
    <t>(z) = (PTO3 expired contract revenue amount @ Location 1)</t>
  </si>
  <si>
    <t>PTO1 - Component 2 Recovered Revenue @ Location 2</t>
  </si>
  <si>
    <t>PTO2 - Component 2 Recovered Revenue @ Location 2</t>
  </si>
  <si>
    <t>PTO3 - Component 2 Recovered Revenue @ Location 2</t>
  </si>
  <si>
    <t>► CISO BAA Total Component 1 Recoverable Revenue</t>
  </si>
  <si>
    <t>PTO1 Total Comp 1 Recovered Revenue</t>
  </si>
  <si>
    <t>PTO2 Total Comp 1 Recovered Revenue</t>
  </si>
  <si>
    <t>PTO3 Total Comp 1 Recovered Revenue</t>
  </si>
  <si>
    <t>PTO1 New Transmission Revenue Requirements @ Location 3</t>
  </si>
  <si>
    <t>PTO2 New Transmission Revenue Requirements @ Location 3</t>
  </si>
  <si>
    <t>PTO3 New Transmission Revenue Requirements @ Location 3</t>
  </si>
  <si>
    <t>YEAR 4</t>
  </si>
  <si>
    <r>
      <rPr>
        <vertAlign val="superscript"/>
        <sz val="11"/>
        <color theme="1"/>
        <rFont val="Calibri"/>
        <family val="2"/>
        <scheme val="minor"/>
      </rPr>
      <t>1</t>
    </r>
    <r>
      <rPr>
        <sz val="11"/>
        <color theme="1"/>
        <rFont val="Calibri"/>
        <family val="2"/>
        <scheme val="minor"/>
      </rPr>
      <t xml:space="preserve"> Fixed amount for each year (only re-assessed if new BAA adjacent to CISO BAA joins or leaves EDAM, which did not occur for this model).</t>
    </r>
  </si>
  <si>
    <r>
      <rPr>
        <vertAlign val="superscript"/>
        <sz val="11"/>
        <color theme="1"/>
        <rFont val="Calibri"/>
        <family val="2"/>
        <scheme val="minor"/>
      </rPr>
      <t>2</t>
    </r>
    <r>
      <rPr>
        <sz val="11"/>
        <color theme="1"/>
        <rFont val="Calibri"/>
        <family val="2"/>
        <scheme val="minor"/>
      </rPr>
      <t xml:space="preserve"> Fixed amount for each year (only recalculated if New Upgrade is activated or Existing Contract expires, which did not occur for this model).</t>
    </r>
  </si>
  <si>
    <r>
      <rPr>
        <vertAlign val="superscript"/>
        <sz val="11"/>
        <color theme="1"/>
        <rFont val="Calibri"/>
        <family val="2"/>
        <scheme val="minor"/>
      </rPr>
      <t>3</t>
    </r>
    <r>
      <rPr>
        <sz val="11"/>
        <color theme="1"/>
        <rFont val="Calibri"/>
        <family val="2"/>
        <scheme val="minor"/>
      </rPr>
      <t xml:space="preserve"> Actual values calculated are applied to the following year.  Year 1 has no prior year data for this component, therefore is zero.</t>
    </r>
  </si>
  <si>
    <r>
      <rPr>
        <vertAlign val="superscript"/>
        <sz val="11"/>
        <color theme="1"/>
        <rFont val="Calibri"/>
        <family val="2"/>
        <scheme val="minor"/>
      </rPr>
      <t>4</t>
    </r>
    <r>
      <rPr>
        <sz val="11"/>
        <color theme="1"/>
        <rFont val="Calibri"/>
        <family val="2"/>
        <scheme val="minor"/>
      </rPr>
      <t xml:space="preserve"> True-up Amount = Projected - Actual; applies either a credit (if revenue shortfall occurs) or debit (if revenue surplus occurs) and applied to the following year.</t>
    </r>
  </si>
  <si>
    <t xml:space="preserve">= (b) / (c) </t>
  </si>
  <si>
    <t xml:space="preserve">= (b') / (c') </t>
  </si>
  <si>
    <r>
      <t>Location 1 Exports that "sink" with EDAM BAA(s)</t>
    </r>
    <r>
      <rPr>
        <vertAlign val="superscript"/>
        <sz val="11"/>
        <color theme="1"/>
        <rFont val="Calibri"/>
        <family val="2"/>
        <scheme val="minor"/>
      </rPr>
      <t>1</t>
    </r>
  </si>
  <si>
    <r>
      <t>Location 2 Exports that "sink" with EDAM BAA(s)</t>
    </r>
    <r>
      <rPr>
        <vertAlign val="superscript"/>
        <sz val="11"/>
        <color theme="1"/>
        <rFont val="Calibri"/>
        <family val="2"/>
        <scheme val="minor"/>
      </rPr>
      <t>1</t>
    </r>
  </si>
  <si>
    <r>
      <t>Portion of CISO BAA Exports that "sink" with EDAM BAA(s)</t>
    </r>
    <r>
      <rPr>
        <vertAlign val="superscript"/>
        <sz val="11"/>
        <color theme="1"/>
        <rFont val="Calibri"/>
        <family val="2"/>
        <scheme val="minor"/>
      </rPr>
      <t>1</t>
    </r>
  </si>
  <si>
    <t>PTO1 Comp 1 Recoverable Revenue @ Location 1</t>
  </si>
  <si>
    <t>PTO2 Comp 1 Recoverable Revenue @ Location 1</t>
  </si>
  <si>
    <t>PTO3 Comp 1 Recoverable Revenue @ Location 1</t>
  </si>
  <si>
    <t>Total CISO BAA Pre-Existing Transmission Revenue Requirements (e.g. Locations 1 &amp; 2)</t>
  </si>
  <si>
    <t>= (x) * [ ( PTO1 Comp 1 Recoverable Rev, adjusted if limit cap applied)  /  (trr1) ]</t>
  </si>
  <si>
    <t>= (y) * [ ( PTO2 Comp 1 Recoverable Rev, adjusted if limit cap applied)  /  (trr2) ]</t>
  </si>
  <si>
    <t>= (z) * [ ( PTO3 Comp 1 Recoverable Rev, adjusted if limit cap applied)  /  (trr3) ]</t>
  </si>
  <si>
    <t>= (x') * [ ( PTO1 Comp 1 Recoverable Rev, adjusted if limit cap applied)  /  (trr1) ]</t>
  </si>
  <si>
    <t>= (y') * [ ( PTO2 Comp 1 Recoverable Rev, adjusted if limit cap applied)  /  (trr2) ]</t>
  </si>
  <si>
    <t>= (z') * [ ( PTO3 Comp 1 Recoverable Rev, adjusted if limit cap applied)  /  (trr3) ]</t>
  </si>
  <si>
    <t>= (x) * [ ( PTO1 Comp 1 Recoverable Rev, adjusted if limit cap applied) / (trr1) ]</t>
  </si>
  <si>
    <t>= (x') * [ ( PTO1 Comp 1 Recoverable Rev, adjusted if limit cap applied) / (trr1) ]</t>
  </si>
  <si>
    <t>= (y) * [ ( PTO2 Comp 1 Recoverable Rev, adjusted if limit cap applied) / (trr2) ]</t>
  </si>
  <si>
    <t>= (y') * [ ( PTO2 Comp 1 Recoverable Rev, adjusted if limit cap applied) / (trr2) ]</t>
  </si>
  <si>
    <t>= (z) * [ ( PTO3 Comp 1 Recoverable Rev, adjusted if limit cap applied) / (trr3) ]</t>
  </si>
  <si>
    <t>= (z') * [ ( PTO3 Comp 1 Recoverable Rev, adjusted if limit cap applied) / (trr3) ]</t>
  </si>
  <si>
    <t>Comp 1 Recoverable Revenue Ratio @ Location 1</t>
  </si>
  <si>
    <t>Comp 1 Recoverable Revenue Ratio @ Location 2</t>
  </si>
  <si>
    <t>2 Assumes no Recoverable LV WAC Rate is applicable for the WAC Rate with any of the EDAM Transfers (only HV)</t>
  </si>
  <si>
    <t>Disclaimer</t>
  </si>
  <si>
    <t xml:space="preserve">Disclaimer and Understanding All information contained in this draft Calculation Guide and Worksheet pertaining to the Extended Day-Ahead Market (EDAM) Access Charge, and as provided by the California Independent System Operator Corporation (ISO), is prepared for discussion and information purposes only. 
The draft Calculation Guide and Worksheet is provided “as is” without representation or warranty of any kind, including, without limitation, a representation or warranty as to accuracy, completeness, or appropriateness for any particular purpose. The draft Calculation Guide and Worksheet shall be revised as the development and review of the EDAM Access Charge settlement continues. The ISO assumes no responsibility for the consequences of any errors or omissions. The ISO may revise or withdraw all or part of this information at any time at its discretion without notice.
</t>
  </si>
  <si>
    <r>
      <t xml:space="preserve">EDAM ISO BAA Participation Rules:  </t>
    </r>
    <r>
      <rPr>
        <b/>
        <i/>
        <sz val="16"/>
        <color rgb="FF000000"/>
        <rFont val="Arial"/>
        <family val="2"/>
      </rPr>
      <t>Guide and Worksheet for CISO BAA PTO Calculations of EDAM Recoverable Revenue Requirements</t>
    </r>
  </si>
  <si>
    <t>Section</t>
  </si>
  <si>
    <t>Summary of Additions/Changes</t>
  </si>
  <si>
    <t>Summary</t>
  </si>
  <si>
    <t>How to Use the Worksheet</t>
  </si>
  <si>
    <t>Presentation - Release User Group - Feb 18, 2025</t>
  </si>
  <si>
    <t>Information to support the calculation inputs will be available through either the CAISO Public Web-Site and/or as a bill determinants in the Monthly Settlement statements post go-live.  Additional details will be provided in the BPMs once available.</t>
  </si>
  <si>
    <r>
      <rPr>
        <b/>
        <sz val="10"/>
        <color rgb="FF000000"/>
        <rFont val="Arial"/>
        <family val="2"/>
      </rPr>
      <t>Disclaimer and Understanding:</t>
    </r>
    <r>
      <rPr>
        <sz val="10"/>
        <color rgb="FF000000"/>
        <rFont val="Arial"/>
        <family val="2"/>
      </rPr>
      <t xml:space="preserve"> All information contained in this worksheet is being provided as supplement to appendix A of the EDAM ISO BAA Participation Rules BRS v1.4. It pertains to the Extended Day-Ahead Market (EDAM) Access Charge for CAISO BAA as provided by the California Independent System Operator Corporation (ISO). It has been prepared for discussion and information purposes only. 
The draft worksheet is provided “as is” without representation or warranty of any kind, including, without limitation, a representation or warranty as to accuracy, completeness, or appropriateness for any particular purpose. The draft worksheet shall be revised as the development and review of the EDAM Access Charge for CAISO BAA settlement continues. The ISO assumes no responsibility for the consequences of any errors or omissions. The ISO may revise or withdraw all or part of this information at any time at its discretion without notice.</t>
    </r>
  </si>
  <si>
    <r>
      <t xml:space="preserve">EDAM ISO BAA Participation Rules </t>
    </r>
    <r>
      <rPr>
        <sz val="10"/>
        <color rgb="FF000000"/>
        <rFont val="Arial"/>
        <family val="2"/>
      </rPr>
      <t xml:space="preserve">is a companion initiative to the </t>
    </r>
    <r>
      <rPr>
        <b/>
        <sz val="10"/>
        <color rgb="FF000000"/>
        <rFont val="Arial"/>
        <family val="2"/>
      </rPr>
      <t>Extended Day-Ahead Market (EDAM)</t>
    </r>
    <r>
      <rPr>
        <sz val="10"/>
        <color rgb="FF000000"/>
        <rFont val="Arial"/>
        <family val="2"/>
      </rPr>
      <t xml:space="preserve"> that defines how the CISO BAA will participate in EDAM on Day 1.  Prior to EDAM Go Live, the CISO BAA will determine EDAM Access Charge rates which will be based on the PTO’s attested recoverable revenue from the portion of transmission capacity at intertie locations in the Day-Ahead Market that will convert to EDAM transfers.  Separately, non-CISO EDAM BAA Transmission Service Providers (TSPs) will provide the same attestations as the CISO BAA PTOs, with the substitution of short-term point-to-point sales instead of WAC revenue (the latter specific to the CISO BAA). The ISO Tariff includes an additional process to distribute CISO BAA EDAM Access Charge revenue to each PTO based on its recoverable revenue requirement.
This worksheeet will describe three components (Historical, New Transmission, and Excess Wheel-through Transfers), plus a true-up adjustment, for each PTO’s EDAM recoverable revenue requirements.  Each PTO’s total EDAM recoverable revenue requirement will be the aggregate of the components in addition to the true-up. The CISO BAA’s total EDAM recoverable revenue requirement will be the aggregate of all PTOs’ total EDAM recoverable revenue. This worksheet also provides the step-by-step calculations for each PTO’s EDAM revenue requirements and true-up required for attestation with the CISO BAA (given the same revenue requirements are previously filed approved by FERC by the PTO).  In additional to each BAA’s gross load, these revenue requirements will be used to determine the EDAM Access Charge rates between the EDAM BAAs (CISO BAA included).  
Calculation of the non-CISO EDAM BAA EDAM Access Charge rates are defined by the EDAM Implementation BRS in Appendix A8 and will not be covered in this worksheet.</t>
    </r>
  </si>
  <si>
    <t>For each component (1-3, plus the true-up), the worksheet provides a simple set of conditions and assumed values (not based on real data) to demonstrate how the calculations would be used.  Begin with Component 1 and follow sequentially to Component 2, then Component 3, and finally the true-up adjustment.  The presentation slides provided in th Feb 18, 2025 RUG (link bleow) will reference the associated BRQs for each component’s calculation.  Additional references and walkthrough details are included for the PTO Attestation Process, EDAM Access Charge and Revenue settlement, and related Market Sim Scenarios expected.</t>
  </si>
  <si>
    <t>© CAISO Public</t>
  </si>
  <si>
    <t>Dated:  February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</si>
</sst>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164" formatCode="_(&quot;$&quot;* #,##0_);_(&quot;$&quot;* \(#,##0\);_(&quot;$&quot;* &quot;-&quot;??_);_(@_)"/>
    <numFmt numFmtId="165" formatCode="0,000&quot; MWh&quot;"/>
    <numFmt numFmtId="166" formatCode="#,000&quot; MWh&quot;"/>
    <numFmt numFmtId="167" formatCode="0.0%"/>
    <numFmt numFmtId="168" formatCode="#,##0&quot; MWh&quot;"/>
    <numFmt numFmtId="169" formatCode="&quot;$&quot;#,##0.0_);\(&quot;$&quot;#,##0.0\)"/>
    <numFmt numFmtId="170" formatCode="&quot;$&quot;#,##0.0000_);\(&quot;$&quot;#,##0.0000\)"/>
    <numFmt numFmtId="171" formatCode="0.000"/>
    <numFmt numFmtId="172" formatCode="_(&quot;$&quot;* #,##0.000000_);_(&quot;$&quot;* \(#,##0.000000\);_(&quot;$&quot;* &quot;-&quot;??_);_(@_)"/>
    <numFmt numFmtId="173" formatCode="_(&quot;$&quot;* #,##0.0000_);_(&quot;$&quot;* \(#,##0.0000\);_(&quot;$&quot;*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
      <sz val="11"/>
      <name val="Calibri"/>
      <family val="2"/>
      <scheme val="minor"/>
    </font>
    <font>
      <sz val="11"/>
      <color rgb="FF0000FF"/>
      <name val="Calibri"/>
      <family val="2"/>
      <scheme val="minor"/>
    </font>
    <font>
      <b/>
      <sz val="11"/>
      <color rgb="FF0000FF"/>
      <name val="Calibri"/>
      <family val="2"/>
      <scheme val="minor"/>
    </font>
    <font>
      <b/>
      <vertAlign val="superscript"/>
      <sz val="11"/>
      <color rgb="FF0000FF"/>
      <name val="Calibri"/>
      <family val="2"/>
      <scheme val="minor"/>
    </font>
    <font>
      <i/>
      <sz val="11"/>
      <color rgb="FF0000FF"/>
      <name val="Calibri"/>
      <family val="2"/>
      <scheme val="minor"/>
    </font>
    <font>
      <vertAlign val="superscript"/>
      <sz val="11"/>
      <name val="Calibri"/>
      <family val="2"/>
      <scheme val="minor"/>
    </font>
    <font>
      <i/>
      <sz val="11"/>
      <name val="Calibri"/>
      <family val="2"/>
      <scheme val="minor"/>
    </font>
    <font>
      <b/>
      <sz val="11"/>
      <color rgb="FFFF0000"/>
      <name val="Calibri"/>
      <family val="2"/>
      <scheme val="minor"/>
    </font>
    <font>
      <i/>
      <vertAlign val="superscript"/>
      <sz val="11"/>
      <name val="Calibri"/>
      <family val="2"/>
      <scheme val="minor"/>
    </font>
    <font>
      <b/>
      <sz val="14"/>
      <color theme="1"/>
      <name val="Calibri"/>
      <family val="2"/>
      <scheme val="minor"/>
    </font>
    <font>
      <b/>
      <sz val="11"/>
      <name val="Calibri"/>
      <family val="2"/>
      <scheme val="minor"/>
    </font>
    <font>
      <b/>
      <vertAlign val="superscript"/>
      <sz val="14"/>
      <color theme="1"/>
      <name val="Calibri"/>
      <family val="2"/>
      <scheme val="minor"/>
    </font>
    <font>
      <b/>
      <sz val="14"/>
      <name val="Calibri"/>
      <family val="2"/>
      <scheme val="minor"/>
    </font>
    <font>
      <sz val="14"/>
      <color theme="1"/>
      <name val="Calibri"/>
      <family val="2"/>
      <scheme val="minor"/>
    </font>
    <font>
      <sz val="10"/>
      <color rgb="FFFF0000"/>
      <name val="Calibri"/>
      <family val="2"/>
      <scheme val="minor"/>
    </font>
    <font>
      <b/>
      <vertAlign val="superscript"/>
      <sz val="11"/>
      <color theme="1"/>
      <name val="Calibri"/>
      <family val="2"/>
      <scheme val="minor"/>
    </font>
    <font>
      <i/>
      <sz val="11"/>
      <color theme="1"/>
      <name val="Calibri"/>
      <family val="2"/>
      <scheme val="minor"/>
    </font>
    <font>
      <sz val="10"/>
      <color rgb="FF000000"/>
      <name val="Arial"/>
      <family val="2"/>
    </font>
    <font>
      <b/>
      <sz val="16"/>
      <color rgb="FF000000"/>
      <name val="Arial"/>
      <family val="2"/>
    </font>
    <font>
      <b/>
      <i/>
      <sz val="16"/>
      <color rgb="FF000000"/>
      <name val="Arial"/>
      <family val="2"/>
    </font>
    <font>
      <b/>
      <sz val="11"/>
      <color rgb="FFFFFFFF"/>
      <name val="Arial"/>
      <family val="2"/>
    </font>
    <font>
      <b/>
      <sz val="10"/>
      <color rgb="FF000000"/>
      <name val="Arial"/>
      <family val="2"/>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4472C4"/>
        <bgColor indexed="64"/>
      </patternFill>
    </fill>
    <fill>
      <patternFill patternType="solid">
        <fgColor rgb="FFD9E1F2"/>
        <bgColor indexed="64"/>
      </patternFill>
    </fill>
    <fill>
      <patternFill patternType="solid">
        <fgColor rgb="FFB9CDE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rgb="FF00B050"/>
      </left>
      <right style="medium">
        <color indexed="64"/>
      </right>
      <top style="medium">
        <color rgb="FF00B050"/>
      </top>
      <bottom style="medium">
        <color rgb="FF00B050"/>
      </bottom>
      <diagonal/>
    </border>
    <border>
      <left style="medium">
        <color indexed="64"/>
      </left>
      <right style="medium">
        <color rgb="FF00B050"/>
      </right>
      <top style="medium">
        <color rgb="FF00B050"/>
      </top>
      <bottom style="medium">
        <color rgb="FF00B050"/>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medium">
        <color rgb="FFFF0000"/>
      </top>
      <bottom style="medium">
        <color rgb="FF00B05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bottom style="medium">
        <color rgb="FFFF0000"/>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rgb="FFFF0000"/>
      </top>
      <bottom style="medium">
        <color rgb="FFFF0000"/>
      </bottom>
      <diagonal/>
    </border>
    <border>
      <left style="medium">
        <color indexed="64"/>
      </left>
      <right style="medium">
        <color rgb="FFFF0000"/>
      </right>
      <top style="medium">
        <color rgb="FFFF0000"/>
      </top>
      <bottom style="medium">
        <color rgb="FFFF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cellStyleXfs>
  <cellXfs count="193">
    <xf numFmtId="0" fontId="0" fillId="0" borderId="0" xfId="0"/>
    <xf numFmtId="0" fontId="0" fillId="0" borderId="0" xfId="0" applyAlignment="1">
      <alignment horizontal="center"/>
    </xf>
    <xf numFmtId="0" fontId="0" fillId="0" borderId="0" xfId="0" applyBorder="1" applyAlignment="1">
      <alignment horizontal="left" indent="1"/>
    </xf>
    <xf numFmtId="0" fontId="0" fillId="0" borderId="0" xfId="0" applyBorder="1" applyAlignment="1">
      <alignment horizontal="center"/>
    </xf>
    <xf numFmtId="0" fontId="2" fillId="0" borderId="0" xfId="0" applyFont="1" applyBorder="1" applyAlignment="1">
      <alignment horizontal="left"/>
    </xf>
    <xf numFmtId="164" fontId="0" fillId="0" borderId="0" xfId="1" applyNumberFormat="1" applyFont="1" applyBorder="1" applyAlignment="1">
      <alignment horizontal="center"/>
    </xf>
    <xf numFmtId="164" fontId="0" fillId="0" borderId="1" xfId="0" applyNumberFormat="1" applyFill="1" applyBorder="1" applyAlignment="1">
      <alignment horizontal="center"/>
    </xf>
    <xf numFmtId="164" fontId="0" fillId="0" borderId="0" xfId="0" applyNumberFormat="1" applyBorder="1" applyAlignment="1">
      <alignment horizontal="center"/>
    </xf>
    <xf numFmtId="164" fontId="0" fillId="0" borderId="0" xfId="0" applyNumberFormat="1"/>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0" fillId="0" borderId="14" xfId="0" applyBorder="1" applyAlignment="1">
      <alignment horizontal="left" indent="1"/>
    </xf>
    <xf numFmtId="0" fontId="0" fillId="0" borderId="9" xfId="0" applyBorder="1" applyAlignment="1">
      <alignment horizontal="left" indent="1"/>
    </xf>
    <xf numFmtId="0" fontId="2" fillId="2" borderId="8" xfId="0" applyFont="1" applyFill="1" applyBorder="1" applyAlignment="1">
      <alignment horizontal="left"/>
    </xf>
    <xf numFmtId="164" fontId="2" fillId="2" borderId="10" xfId="1" applyNumberFormat="1" applyFont="1" applyFill="1" applyBorder="1" applyAlignment="1">
      <alignment horizontal="center"/>
    </xf>
    <xf numFmtId="164" fontId="2" fillId="2" borderId="11" xfId="1" applyNumberFormat="1" applyFont="1" applyFill="1" applyBorder="1" applyAlignment="1">
      <alignment horizontal="center"/>
    </xf>
    <xf numFmtId="164" fontId="2" fillId="2" borderId="12" xfId="1" applyNumberFormat="1" applyFont="1" applyFill="1" applyBorder="1" applyAlignment="1">
      <alignment horizontal="center"/>
    </xf>
    <xf numFmtId="164" fontId="2" fillId="2" borderId="8" xfId="1" applyNumberFormat="1" applyFont="1" applyFill="1" applyBorder="1" applyAlignment="1">
      <alignment horizontal="center"/>
    </xf>
    <xf numFmtId="0" fontId="13" fillId="2" borderId="0" xfId="0" applyFont="1" applyFill="1"/>
    <xf numFmtId="0" fontId="17" fillId="2" borderId="0" xfId="0" applyFont="1" applyFill="1" applyAlignment="1">
      <alignment horizontal="center"/>
    </xf>
    <xf numFmtId="0" fontId="17" fillId="2" borderId="0" xfId="0" applyFont="1" applyFill="1"/>
    <xf numFmtId="0" fontId="0" fillId="0" borderId="0" xfId="0" applyFont="1" applyBorder="1" applyAlignment="1">
      <alignment horizontal="left"/>
    </xf>
    <xf numFmtId="164" fontId="0" fillId="0" borderId="5" xfId="1" applyNumberFormat="1" applyFont="1" applyFill="1" applyBorder="1" applyAlignment="1">
      <alignment horizontal="center"/>
    </xf>
    <xf numFmtId="164" fontId="6" fillId="0" borderId="13" xfId="1" applyNumberFormat="1" applyFont="1" applyFill="1" applyBorder="1" applyAlignment="1">
      <alignment horizontal="center"/>
    </xf>
    <xf numFmtId="164" fontId="6" fillId="0" borderId="14" xfId="1" applyNumberFormat="1" applyFont="1" applyFill="1" applyBorder="1" applyAlignment="1">
      <alignment horizontal="center"/>
    </xf>
    <xf numFmtId="164" fontId="0" fillId="0" borderId="15" xfId="0" applyNumberFormat="1" applyFill="1" applyBorder="1" applyAlignment="1">
      <alignment horizontal="center"/>
    </xf>
    <xf numFmtId="164" fontId="0" fillId="0" borderId="19" xfId="1" applyNumberFormat="1" applyFont="1" applyFill="1" applyBorder="1" applyAlignment="1">
      <alignment horizontal="center"/>
    </xf>
    <xf numFmtId="164" fontId="0" fillId="0" borderId="20" xfId="0" applyNumberFormat="1" applyFill="1" applyBorder="1" applyAlignment="1">
      <alignment horizontal="center"/>
    </xf>
    <xf numFmtId="164" fontId="6" fillId="0" borderId="16" xfId="1" applyNumberFormat="1" applyFont="1" applyFill="1" applyBorder="1" applyAlignment="1">
      <alignment horizontal="center"/>
    </xf>
    <xf numFmtId="0" fontId="0" fillId="0" borderId="15" xfId="0" applyFill="1" applyBorder="1" applyAlignment="1">
      <alignment horizontal="center"/>
    </xf>
    <xf numFmtId="164" fontId="6" fillId="0" borderId="21" xfId="1" applyNumberFormat="1" applyFont="1" applyFill="1" applyBorder="1" applyAlignment="1">
      <alignment horizontal="center"/>
    </xf>
    <xf numFmtId="0" fontId="2" fillId="0" borderId="2" xfId="0"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3" xfId="0" applyFill="1" applyBorder="1"/>
    <xf numFmtId="0" fontId="0" fillId="0" borderId="4" xfId="0" applyFill="1" applyBorder="1"/>
    <xf numFmtId="0" fontId="2" fillId="0" borderId="8" xfId="0" applyFont="1" applyFill="1" applyBorder="1" applyAlignment="1">
      <alignment horizontal="center"/>
    </xf>
    <xf numFmtId="0" fontId="13" fillId="2" borderId="0" xfId="0" applyFont="1" applyFill="1" applyAlignment="1">
      <alignment horizontal="left" vertical="top"/>
    </xf>
    <xf numFmtId="0" fontId="0" fillId="2" borderId="0" xfId="0" applyFill="1" applyAlignment="1">
      <alignment horizontal="center" vertical="top"/>
    </xf>
    <xf numFmtId="0" fontId="4" fillId="0" borderId="0" xfId="0" applyFont="1" applyAlignment="1">
      <alignment horizontal="left" vertical="top"/>
    </xf>
    <xf numFmtId="170" fontId="14" fillId="0" borderId="0" xfId="0" applyNumberFormat="1" applyFont="1" applyAlignment="1">
      <alignment horizontal="center" vertical="top"/>
    </xf>
    <xf numFmtId="0" fontId="6" fillId="2" borderId="0" xfId="0" applyFont="1" applyFill="1" applyAlignment="1">
      <alignment horizontal="left" vertical="top"/>
    </xf>
    <xf numFmtId="168" fontId="6" fillId="2" borderId="0" xfId="0" applyNumberFormat="1" applyFont="1" applyFill="1" applyAlignment="1">
      <alignment horizontal="center" vertical="top"/>
    </xf>
    <xf numFmtId="168" fontId="6" fillId="0" borderId="0" xfId="0" applyNumberFormat="1" applyFont="1" applyAlignment="1">
      <alignment horizontal="center" vertical="top"/>
    </xf>
    <xf numFmtId="0" fontId="0" fillId="0" borderId="0" xfId="0" applyAlignment="1">
      <alignment horizontal="left" vertical="top"/>
    </xf>
    <xf numFmtId="168" fontId="0" fillId="0" borderId="0" xfId="0" applyNumberFormat="1" applyAlignment="1">
      <alignment horizontal="center" vertical="top"/>
    </xf>
    <xf numFmtId="168" fontId="5" fillId="0" borderId="0" xfId="0" applyNumberFormat="1" applyFont="1" applyAlignment="1">
      <alignment horizontal="center" vertical="top"/>
    </xf>
    <xf numFmtId="0" fontId="0" fillId="0" borderId="0" xfId="0" applyAlignment="1">
      <alignment horizontal="center" vertical="top"/>
    </xf>
    <xf numFmtId="168" fontId="4" fillId="0" borderId="0" xfId="0" applyNumberFormat="1" applyFont="1" applyAlignment="1">
      <alignment horizontal="center" vertical="top"/>
    </xf>
    <xf numFmtId="170" fontId="4" fillId="0" borderId="0" xfId="0" applyNumberFormat="1" applyFont="1" applyAlignment="1">
      <alignment horizontal="center" vertical="top"/>
    </xf>
    <xf numFmtId="5" fontId="0" fillId="0" borderId="0" xfId="0" applyNumberFormat="1" applyAlignment="1">
      <alignment horizontal="center" vertical="top"/>
    </xf>
    <xf numFmtId="0" fontId="0" fillId="0" borderId="0" xfId="0" applyAlignment="1">
      <alignment vertical="top"/>
    </xf>
    <xf numFmtId="0" fontId="6" fillId="0" borderId="0" xfId="0" applyFont="1" applyAlignment="1">
      <alignment horizontal="left" vertical="top" indent="2"/>
    </xf>
    <xf numFmtId="0" fontId="0" fillId="0" borderId="0" xfId="0" applyAlignment="1">
      <alignment horizontal="left" vertical="top" indent="4"/>
    </xf>
    <xf numFmtId="0" fontId="0" fillId="0" borderId="0" xfId="0" applyAlignment="1">
      <alignment horizontal="left" vertical="top" indent="6"/>
    </xf>
    <xf numFmtId="0" fontId="5" fillId="0" borderId="0" xfId="0" applyFont="1" applyAlignment="1">
      <alignment horizontal="left" vertical="top" indent="6"/>
    </xf>
    <xf numFmtId="0" fontId="0" fillId="0" borderId="0" xfId="0" applyAlignment="1">
      <alignment horizontal="left" vertical="top" indent="8"/>
    </xf>
    <xf numFmtId="0" fontId="5" fillId="0" borderId="0" xfId="0" applyFont="1" applyAlignment="1">
      <alignment horizontal="left" vertical="top" indent="8"/>
    </xf>
    <xf numFmtId="0" fontId="4" fillId="0" borderId="0" xfId="0" applyFont="1" applyAlignment="1">
      <alignment horizontal="left" vertical="top" indent="6"/>
    </xf>
    <xf numFmtId="0" fontId="6" fillId="0" borderId="0" xfId="0" applyFont="1" applyAlignment="1">
      <alignment horizontal="left" vertical="top" indent="4"/>
    </xf>
    <xf numFmtId="0" fontId="4" fillId="0" borderId="0" xfId="0" quotePrefix="1" applyFont="1" applyAlignment="1">
      <alignment horizontal="left" vertical="top" wrapText="1"/>
    </xf>
    <xf numFmtId="0" fontId="0" fillId="0" borderId="0" xfId="0" applyAlignment="1">
      <alignment horizontal="center" vertical="top" wrapText="1"/>
    </xf>
    <xf numFmtId="0" fontId="6" fillId="0" borderId="0" xfId="0" applyFont="1" applyAlignment="1">
      <alignment horizontal="left" vertical="top" wrapText="1"/>
    </xf>
    <xf numFmtId="0" fontId="5" fillId="0" borderId="0" xfId="0" applyFont="1" applyAlignment="1">
      <alignment horizontal="left" vertical="top" wrapText="1" indent="4"/>
    </xf>
    <xf numFmtId="164" fontId="6" fillId="0" borderId="17" xfId="0" applyNumberFormat="1" applyFont="1" applyFill="1" applyBorder="1" applyAlignment="1">
      <alignment horizontal="center"/>
    </xf>
    <xf numFmtId="164" fontId="6" fillId="0" borderId="18" xfId="0" applyNumberFormat="1" applyFont="1" applyFill="1" applyBorder="1" applyAlignment="1">
      <alignment horizontal="center"/>
    </xf>
    <xf numFmtId="164" fontId="6" fillId="0" borderId="0" xfId="0" applyNumberFormat="1" applyFont="1" applyFill="1" applyBorder="1" applyAlignment="1">
      <alignment horizontal="center"/>
    </xf>
    <xf numFmtId="164" fontId="6" fillId="0" borderId="17" xfId="1" applyNumberFormat="1" applyFont="1" applyFill="1" applyBorder="1" applyAlignment="1">
      <alignment horizontal="center"/>
    </xf>
    <xf numFmtId="164" fontId="0" fillId="0" borderId="23" xfId="1" applyNumberFormat="1" applyFont="1" applyFill="1" applyBorder="1" applyAlignment="1">
      <alignment horizontal="center"/>
    </xf>
    <xf numFmtId="164" fontId="0" fillId="0" borderId="22" xfId="1" applyNumberFormat="1" applyFont="1" applyFill="1" applyBorder="1" applyAlignment="1">
      <alignment horizontal="center"/>
    </xf>
    <xf numFmtId="164" fontId="6" fillId="0" borderId="0" xfId="1" applyNumberFormat="1" applyFont="1" applyFill="1" applyBorder="1" applyAlignment="1">
      <alignment horizontal="center"/>
    </xf>
    <xf numFmtId="164" fontId="0" fillId="0" borderId="24" xfId="0" applyNumberFormat="1" applyFill="1" applyBorder="1" applyAlignment="1">
      <alignment horizontal="center"/>
    </xf>
    <xf numFmtId="0" fontId="0" fillId="0" borderId="24" xfId="0" applyFill="1" applyBorder="1" applyAlignment="1">
      <alignment horizontal="center"/>
    </xf>
    <xf numFmtId="164" fontId="11" fillId="0" borderId="0" xfId="0" applyNumberFormat="1" applyFont="1" applyFill="1" applyBorder="1" applyAlignment="1">
      <alignment horizontal="center"/>
    </xf>
    <xf numFmtId="164" fontId="6" fillId="0" borderId="26" xfId="0" applyNumberFormat="1" applyFont="1" applyFill="1" applyBorder="1" applyAlignment="1">
      <alignment horizontal="center"/>
    </xf>
    <xf numFmtId="164" fontId="6" fillId="0" borderId="25" xfId="1" applyNumberFormat="1" applyFont="1" applyFill="1" applyBorder="1" applyAlignment="1">
      <alignment horizontal="center"/>
    </xf>
    <xf numFmtId="164" fontId="0" fillId="0" borderId="25" xfId="0" applyNumberFormat="1" applyFill="1" applyBorder="1" applyAlignment="1">
      <alignment horizontal="center"/>
    </xf>
    <xf numFmtId="164" fontId="6" fillId="0" borderId="27" xfId="1" applyNumberFormat="1" applyFont="1" applyFill="1" applyBorder="1" applyAlignment="1">
      <alignment horizontal="center"/>
    </xf>
    <xf numFmtId="0" fontId="0" fillId="0" borderId="25" xfId="0" applyFill="1" applyBorder="1" applyAlignment="1">
      <alignment horizontal="center"/>
    </xf>
    <xf numFmtId="164" fontId="0" fillId="0" borderId="28" xfId="0" applyNumberFormat="1" applyFill="1" applyBorder="1" applyAlignment="1">
      <alignment horizontal="center"/>
    </xf>
    <xf numFmtId="0" fontId="0" fillId="0" borderId="28" xfId="0" applyFill="1" applyBorder="1" applyAlignment="1">
      <alignment horizontal="center"/>
    </xf>
    <xf numFmtId="0" fontId="0" fillId="2" borderId="0" xfId="0" applyFont="1" applyFill="1" applyAlignment="1">
      <alignment horizontal="left" vertical="top"/>
    </xf>
    <xf numFmtId="0" fontId="2" fillId="2" borderId="0" xfId="0" applyFont="1" applyFill="1" applyAlignment="1">
      <alignment horizontal="left" vertical="top"/>
    </xf>
    <xf numFmtId="0" fontId="5" fillId="0" borderId="0" xfId="0" applyFont="1" applyAlignment="1">
      <alignment horizontal="left" vertical="top"/>
    </xf>
    <xf numFmtId="164" fontId="5" fillId="0" borderId="0" xfId="1" applyNumberFormat="1" applyFont="1" applyAlignment="1">
      <alignment horizontal="center" vertical="top"/>
    </xf>
    <xf numFmtId="0" fontId="6" fillId="0" borderId="0" xfId="0" applyFont="1" applyAlignment="1">
      <alignment horizontal="left" vertical="top"/>
    </xf>
    <xf numFmtId="0" fontId="18" fillId="0" borderId="0" xfId="0" applyFont="1" applyAlignment="1">
      <alignment vertical="top" wrapText="1"/>
    </xf>
    <xf numFmtId="0" fontId="0" fillId="0" borderId="0" xfId="0" applyAlignment="1">
      <alignment horizontal="left" vertical="top" indent="2"/>
    </xf>
    <xf numFmtId="164" fontId="6" fillId="0" borderId="0" xfId="1" applyNumberFormat="1" applyFont="1" applyAlignment="1">
      <alignment horizontal="center" vertical="top"/>
    </xf>
    <xf numFmtId="0" fontId="5" fillId="0" borderId="0" xfId="0" applyFont="1" applyAlignment="1">
      <alignment horizontal="left" vertical="top" indent="2"/>
    </xf>
    <xf numFmtId="0" fontId="6" fillId="0" borderId="0" xfId="0" applyFont="1" applyFill="1" applyAlignment="1">
      <alignment horizontal="left" indent="2"/>
    </xf>
    <xf numFmtId="0" fontId="2" fillId="0" borderId="0" xfId="0" applyFont="1" applyAlignment="1">
      <alignment horizontal="left" vertical="top" indent="2"/>
    </xf>
    <xf numFmtId="0" fontId="6" fillId="2" borderId="0" xfId="0" applyFont="1" applyFill="1" applyAlignment="1">
      <alignment horizontal="left" vertical="top" indent="2"/>
    </xf>
    <xf numFmtId="0" fontId="4" fillId="0" borderId="0" xfId="0" applyFont="1" applyAlignment="1">
      <alignment horizontal="left" vertical="top" indent="2"/>
    </xf>
    <xf numFmtId="0" fontId="4" fillId="0" borderId="0" xfId="0" applyFont="1" applyAlignment="1">
      <alignment horizontal="left" vertical="top" indent="4"/>
    </xf>
    <xf numFmtId="0" fontId="0" fillId="0" borderId="0" xfId="0" applyFont="1" applyAlignment="1">
      <alignment horizontal="left" indent="4"/>
    </xf>
    <xf numFmtId="0" fontId="0" fillId="0" borderId="0" xfId="0" applyFont="1" applyAlignment="1">
      <alignment horizontal="left" vertical="top" indent="4"/>
    </xf>
    <xf numFmtId="0" fontId="0" fillId="0" borderId="0" xfId="0" applyFont="1" applyAlignment="1">
      <alignment horizontal="left" vertical="top"/>
    </xf>
    <xf numFmtId="0" fontId="16" fillId="2" borderId="0" xfId="0" applyFont="1" applyFill="1" applyAlignment="1">
      <alignment horizontal="left" vertical="top"/>
    </xf>
    <xf numFmtId="0" fontId="0" fillId="2" borderId="0" xfId="0" applyFill="1" applyAlignment="1">
      <alignment horizontal="center" vertical="top" wrapText="1"/>
    </xf>
    <xf numFmtId="0" fontId="0" fillId="0" borderId="0" xfId="0" applyAlignment="1">
      <alignment horizontal="left" vertical="top" wrapText="1"/>
    </xf>
    <xf numFmtId="0" fontId="0" fillId="2" borderId="0" xfId="0" quotePrefix="1" applyFill="1" applyAlignment="1">
      <alignment horizontal="left" vertical="top" wrapText="1"/>
    </xf>
    <xf numFmtId="0" fontId="0" fillId="0" borderId="0" xfId="0" applyFill="1" applyAlignment="1">
      <alignment horizontal="left" vertical="top"/>
    </xf>
    <xf numFmtId="0" fontId="0" fillId="0" borderId="0" xfId="0" quotePrefix="1" applyAlignment="1">
      <alignment horizontal="left" vertical="top" wrapText="1"/>
    </xf>
    <xf numFmtId="0" fontId="2" fillId="0" borderId="0" xfId="0" applyFont="1" applyAlignment="1">
      <alignment vertical="top"/>
    </xf>
    <xf numFmtId="0" fontId="2" fillId="0" borderId="0" xfId="0" applyFont="1" applyAlignment="1">
      <alignment horizontal="left" vertical="top"/>
    </xf>
    <xf numFmtId="0" fontId="10" fillId="0" borderId="0" xfId="0" applyFont="1" applyAlignment="1">
      <alignment horizontal="left" vertical="top"/>
    </xf>
    <xf numFmtId="0" fontId="0" fillId="0" borderId="0" xfId="0" applyAlignment="1">
      <alignment horizontal="left" vertical="top" wrapText="1" indent="1"/>
    </xf>
    <xf numFmtId="0" fontId="0" fillId="2" borderId="0" xfId="0" applyFill="1" applyAlignment="1">
      <alignment horizontal="left" vertical="top" wrapText="1" indent="1"/>
    </xf>
    <xf numFmtId="0" fontId="0" fillId="0" borderId="0" xfId="0" quotePrefix="1" applyAlignment="1">
      <alignment horizontal="left" vertical="top" wrapText="1" indent="1"/>
    </xf>
    <xf numFmtId="0" fontId="2" fillId="0" borderId="0" xfId="0" quotePrefix="1" applyFont="1" applyAlignment="1">
      <alignment horizontal="left" vertical="top" wrapText="1" indent="1"/>
    </xf>
    <xf numFmtId="0" fontId="5" fillId="0" borderId="0" xfId="0" applyFont="1" applyAlignment="1">
      <alignment horizontal="left" vertical="top" wrapText="1" indent="1"/>
    </xf>
    <xf numFmtId="0" fontId="0" fillId="0" borderId="0" xfId="0" quotePrefix="1" applyFont="1" applyAlignment="1">
      <alignment horizontal="left" vertical="top" wrapText="1" indent="1"/>
    </xf>
    <xf numFmtId="0" fontId="4" fillId="2" borderId="0" xfId="0" quotePrefix="1" applyFont="1" applyFill="1" applyAlignment="1">
      <alignment horizontal="left" vertical="top" wrapText="1" indent="1"/>
    </xf>
    <xf numFmtId="0" fontId="4" fillId="0" borderId="0" xfId="0" quotePrefix="1" applyFont="1" applyAlignment="1">
      <alignment horizontal="left" vertical="top" wrapText="1" indent="1"/>
    </xf>
    <xf numFmtId="0" fontId="6" fillId="2" borderId="0" xfId="0" applyFont="1" applyFill="1" applyAlignment="1">
      <alignment horizontal="left" vertical="top" wrapText="1" indent="1"/>
    </xf>
    <xf numFmtId="0" fontId="5" fillId="0" borderId="0" xfId="0" quotePrefix="1" applyFont="1" applyAlignment="1">
      <alignment horizontal="left" vertical="top" wrapText="1" indent="1"/>
    </xf>
    <xf numFmtId="0" fontId="0" fillId="2" borderId="0" xfId="0" applyFill="1" applyAlignment="1">
      <alignment horizontal="right" vertical="top"/>
    </xf>
    <xf numFmtId="168" fontId="0" fillId="0" borderId="0" xfId="0" applyNumberFormat="1" applyAlignment="1">
      <alignment horizontal="right" vertical="top"/>
    </xf>
    <xf numFmtId="5" fontId="0" fillId="2" borderId="0" xfId="1" applyNumberFormat="1" applyFont="1" applyFill="1" applyAlignment="1">
      <alignment horizontal="right" vertical="top"/>
    </xf>
    <xf numFmtId="164" fontId="0" fillId="0" borderId="0" xfId="1" applyNumberFormat="1" applyFont="1" applyAlignment="1">
      <alignment horizontal="right" vertical="top"/>
    </xf>
    <xf numFmtId="171" fontId="0" fillId="0" borderId="0" xfId="0" applyNumberFormat="1" applyAlignment="1">
      <alignment horizontal="right" vertical="top"/>
    </xf>
    <xf numFmtId="168" fontId="0" fillId="0" borderId="0" xfId="0" applyNumberFormat="1" applyFill="1" applyAlignment="1">
      <alignment horizontal="right" vertical="top"/>
    </xf>
    <xf numFmtId="164" fontId="0" fillId="0" borderId="0" xfId="1" applyNumberFormat="1" applyFont="1" applyFill="1" applyAlignment="1">
      <alignment horizontal="right" vertical="top"/>
    </xf>
    <xf numFmtId="5" fontId="0" fillId="0" borderId="0" xfId="1" applyNumberFormat="1" applyFont="1" applyAlignment="1">
      <alignment horizontal="right" vertical="top"/>
    </xf>
    <xf numFmtId="166" fontId="0" fillId="2" borderId="0" xfId="0" applyNumberFormat="1" applyFill="1" applyAlignment="1">
      <alignment horizontal="right" vertical="top"/>
    </xf>
    <xf numFmtId="171" fontId="0" fillId="0" borderId="0" xfId="1" applyNumberFormat="1" applyFont="1" applyAlignment="1">
      <alignment horizontal="right" vertical="top"/>
    </xf>
    <xf numFmtId="164" fontId="6" fillId="0" borderId="0" xfId="1" applyNumberFormat="1" applyFont="1" applyAlignment="1">
      <alignment horizontal="right" vertical="top"/>
    </xf>
    <xf numFmtId="164" fontId="6" fillId="2" borderId="0" xfId="1" applyNumberFormat="1" applyFont="1" applyFill="1" applyAlignment="1">
      <alignment horizontal="right" vertical="top"/>
    </xf>
    <xf numFmtId="164" fontId="0" fillId="2" borderId="0" xfId="1" applyNumberFormat="1" applyFont="1" applyFill="1" applyAlignment="1">
      <alignment horizontal="right" vertical="top"/>
    </xf>
    <xf numFmtId="0" fontId="0" fillId="0" borderId="0" xfId="0" applyAlignment="1">
      <alignment horizontal="right" vertical="top"/>
    </xf>
    <xf numFmtId="164" fontId="2" fillId="0" borderId="0" xfId="1" applyNumberFormat="1" applyFont="1" applyAlignment="1">
      <alignment horizontal="right" vertical="top"/>
    </xf>
    <xf numFmtId="5" fontId="5" fillId="0" borderId="0" xfId="0" applyNumberFormat="1" applyFont="1" applyAlignment="1">
      <alignment horizontal="right" vertical="top"/>
    </xf>
    <xf numFmtId="5" fontId="0" fillId="0" borderId="0" xfId="0" applyNumberFormat="1" applyAlignment="1">
      <alignment horizontal="right" vertical="top"/>
    </xf>
    <xf numFmtId="168" fontId="6" fillId="0" borderId="0" xfId="0" applyNumberFormat="1" applyFont="1" applyAlignment="1">
      <alignment horizontal="right" vertical="top"/>
    </xf>
    <xf numFmtId="165" fontId="0" fillId="0" borderId="0" xfId="0" applyNumberFormat="1" applyAlignment="1">
      <alignment horizontal="right" vertical="top"/>
    </xf>
    <xf numFmtId="0" fontId="0" fillId="0" borderId="0" xfId="0" applyFill="1" applyAlignment="1">
      <alignment horizontal="left" vertical="top" wrapText="1" indent="1"/>
    </xf>
    <xf numFmtId="0" fontId="0" fillId="0" borderId="0" xfId="0" quotePrefix="1" applyFill="1" applyAlignment="1">
      <alignment horizontal="left" vertical="top" wrapText="1" indent="1"/>
    </xf>
    <xf numFmtId="0" fontId="5" fillId="2" borderId="0" xfId="0" quotePrefix="1" applyFont="1" applyFill="1" applyAlignment="1">
      <alignment horizontal="left" vertical="top" wrapText="1" indent="1"/>
    </xf>
    <xf numFmtId="10" fontId="2" fillId="0" borderId="0" xfId="2" applyNumberFormat="1" applyFont="1" applyAlignment="1">
      <alignment horizontal="right" vertical="top"/>
    </xf>
    <xf numFmtId="167" fontId="0" fillId="0" borderId="0" xfId="2" applyNumberFormat="1" applyFont="1" applyAlignment="1">
      <alignment horizontal="right" vertical="top"/>
    </xf>
    <xf numFmtId="164" fontId="5" fillId="0" borderId="0" xfId="1" applyNumberFormat="1" applyFont="1" applyAlignment="1">
      <alignment horizontal="right" vertical="top"/>
    </xf>
    <xf numFmtId="172" fontId="5" fillId="0" borderId="0" xfId="1" applyNumberFormat="1" applyFont="1" applyAlignment="1">
      <alignment horizontal="right" vertical="top"/>
    </xf>
    <xf numFmtId="171" fontId="5" fillId="0" borderId="0" xfId="0" applyNumberFormat="1" applyFont="1" applyAlignment="1">
      <alignment horizontal="right" vertical="top"/>
    </xf>
    <xf numFmtId="5" fontId="6" fillId="2" borderId="0" xfId="0" applyNumberFormat="1" applyFont="1" applyFill="1" applyAlignment="1">
      <alignment horizontal="right" vertical="top"/>
    </xf>
    <xf numFmtId="164" fontId="4" fillId="0" borderId="0" xfId="0" applyNumberFormat="1" applyFont="1" applyAlignment="1">
      <alignment horizontal="right" vertical="top"/>
    </xf>
    <xf numFmtId="5" fontId="6" fillId="0" borderId="0" xfId="0" applyNumberFormat="1" applyFont="1" applyAlignment="1">
      <alignment horizontal="right" vertical="top"/>
    </xf>
    <xf numFmtId="164" fontId="0" fillId="0" borderId="0" xfId="0" applyNumberFormat="1" applyAlignment="1">
      <alignment horizontal="right" vertical="top"/>
    </xf>
    <xf numFmtId="169" fontId="5" fillId="0" borderId="0" xfId="0" applyNumberFormat="1" applyFont="1" applyAlignment="1">
      <alignment horizontal="right" vertical="top"/>
    </xf>
    <xf numFmtId="164" fontId="4" fillId="0" borderId="0" xfId="1" applyNumberFormat="1" applyFont="1" applyAlignment="1">
      <alignment horizontal="center" vertical="top"/>
    </xf>
    <xf numFmtId="173" fontId="4" fillId="0" borderId="0" xfId="1" applyNumberFormat="1" applyFont="1" applyAlignment="1">
      <alignment horizontal="center" vertical="top"/>
    </xf>
    <xf numFmtId="0" fontId="0" fillId="2" borderId="0" xfId="0" applyFill="1" applyAlignment="1">
      <alignment horizontal="left" vertical="top" wrapText="1" indent="2"/>
    </xf>
    <xf numFmtId="0" fontId="14" fillId="0" borderId="0" xfId="0" quotePrefix="1" applyFont="1" applyAlignment="1">
      <alignment horizontal="left" vertical="top" wrapText="1" indent="2"/>
    </xf>
    <xf numFmtId="0" fontId="4" fillId="2" borderId="0" xfId="0" quotePrefix="1" applyFont="1" applyFill="1" applyAlignment="1">
      <alignment horizontal="left" vertical="top" wrapText="1" indent="2"/>
    </xf>
    <xf numFmtId="0" fontId="8" fillId="0" borderId="0" xfId="0" quotePrefix="1" applyFont="1" applyAlignment="1">
      <alignment horizontal="left" vertical="top" wrapText="1" indent="2"/>
    </xf>
    <xf numFmtId="0" fontId="10" fillId="0" borderId="0" xfId="0" quotePrefix="1" applyFont="1" applyAlignment="1">
      <alignment horizontal="left" vertical="top" wrapText="1" indent="2"/>
    </xf>
    <xf numFmtId="0" fontId="4" fillId="0" borderId="0" xfId="0" quotePrefix="1" applyFont="1" applyAlignment="1">
      <alignment horizontal="left" vertical="top" wrapText="1" indent="2"/>
    </xf>
    <xf numFmtId="0" fontId="20" fillId="0" borderId="0" xfId="0" quotePrefix="1" applyFont="1" applyAlignment="1">
      <alignment horizontal="left" vertical="top" wrapText="1" indent="2"/>
    </xf>
    <xf numFmtId="0" fontId="0" fillId="0" borderId="0" xfId="0" quotePrefix="1" applyFont="1" applyAlignment="1">
      <alignment horizontal="left" vertical="top" wrapText="1" indent="2"/>
    </xf>
    <xf numFmtId="0" fontId="0" fillId="0" borderId="0" xfId="0" applyFont="1" applyAlignment="1">
      <alignment horizontal="left" vertical="top" wrapText="1" indent="2"/>
    </xf>
    <xf numFmtId="0" fontId="6" fillId="0" borderId="0" xfId="0" quotePrefix="1" applyFont="1" applyAlignment="1">
      <alignment horizontal="left" vertical="top" wrapText="1" indent="2"/>
    </xf>
    <xf numFmtId="0" fontId="5" fillId="0" borderId="0" xfId="0" quotePrefix="1" applyFont="1" applyAlignment="1">
      <alignment horizontal="left" vertical="top" wrapText="1" indent="2"/>
    </xf>
    <xf numFmtId="0" fontId="0" fillId="0" borderId="0" xfId="0" applyAlignment="1">
      <alignment horizontal="left" vertical="top" wrapText="1" indent="2"/>
    </xf>
    <xf numFmtId="0" fontId="0" fillId="0" borderId="0" xfId="0" quotePrefix="1" applyAlignment="1">
      <alignment horizontal="left" vertical="top" indent="1"/>
    </xf>
    <xf numFmtId="0" fontId="2" fillId="2" borderId="2" xfId="0" applyFont="1" applyFill="1" applyBorder="1" applyAlignment="1">
      <alignment horizontal="left"/>
    </xf>
    <xf numFmtId="0" fontId="0" fillId="0" borderId="19" xfId="0" applyBorder="1" applyAlignment="1">
      <alignment horizontal="left" indent="1"/>
    </xf>
    <xf numFmtId="0" fontId="0" fillId="0" borderId="29" xfId="0" applyBorder="1" applyAlignment="1">
      <alignment horizontal="left" indent="1"/>
    </xf>
    <xf numFmtId="0" fontId="0" fillId="0" borderId="30" xfId="0" applyBorder="1" applyAlignment="1">
      <alignment horizontal="left" indent="1"/>
    </xf>
    <xf numFmtId="164" fontId="0" fillId="0" borderId="0" xfId="1" applyNumberFormat="1" applyFont="1" applyFill="1" applyBorder="1" applyAlignment="1">
      <alignment horizontal="center"/>
    </xf>
    <xf numFmtId="164" fontId="6" fillId="0" borderId="26" xfId="1" applyNumberFormat="1" applyFont="1" applyFill="1" applyBorder="1" applyAlignment="1">
      <alignment horizontal="center"/>
    </xf>
    <xf numFmtId="0" fontId="6" fillId="0" borderId="31" xfId="0" applyFont="1" applyBorder="1" applyAlignment="1">
      <alignment horizontal="left" indent="1"/>
    </xf>
    <xf numFmtId="164" fontId="6" fillId="0" borderId="32" xfId="1" applyNumberFormat="1" applyFont="1" applyFill="1" applyBorder="1" applyAlignment="1">
      <alignment horizontal="center"/>
    </xf>
    <xf numFmtId="44" fontId="0" fillId="0" borderId="29" xfId="1" applyFont="1" applyBorder="1" applyAlignment="1">
      <alignment horizontal="left"/>
    </xf>
    <xf numFmtId="164" fontId="0" fillId="0" borderId="19" xfId="1" applyNumberFormat="1" applyFont="1" applyFill="1" applyBorder="1" applyAlignment="1">
      <alignment horizontal="left"/>
    </xf>
    <xf numFmtId="164" fontId="0" fillId="0" borderId="1" xfId="0" applyNumberFormat="1" applyFill="1" applyBorder="1" applyAlignment="1">
      <alignment horizontal="left"/>
    </xf>
    <xf numFmtId="0" fontId="4" fillId="0" borderId="0" xfId="0" quotePrefix="1" applyFont="1" applyAlignment="1">
      <alignment horizontal="left" vertical="top"/>
    </xf>
    <xf numFmtId="0" fontId="0" fillId="0" borderId="0" xfId="0" applyAlignment="1">
      <alignment wrapText="1"/>
    </xf>
    <xf numFmtId="0" fontId="2" fillId="0" borderId="0" xfId="0" applyFont="1"/>
    <xf numFmtId="0" fontId="24" fillId="3" borderId="33" xfId="0" applyFont="1" applyFill="1" applyBorder="1" applyAlignment="1">
      <alignment horizontal="left" wrapText="1" readingOrder="1"/>
    </xf>
    <xf numFmtId="0" fontId="21" fillId="4" borderId="34" xfId="0" applyFont="1" applyFill="1" applyBorder="1" applyAlignment="1">
      <alignment horizontal="left" vertical="center" wrapText="1" readingOrder="1"/>
    </xf>
    <xf numFmtId="0" fontId="21" fillId="4" borderId="35" xfId="0" applyFont="1" applyFill="1" applyBorder="1" applyAlignment="1">
      <alignment horizontal="left" vertical="center" wrapText="1" readingOrder="1"/>
    </xf>
    <xf numFmtId="0" fontId="25" fillId="5" borderId="34" xfId="0" applyFont="1" applyFill="1" applyBorder="1" applyAlignment="1">
      <alignment horizontal="left" vertical="center" wrapText="1" readingOrder="1"/>
    </xf>
    <xf numFmtId="0" fontId="26" fillId="4" borderId="36" xfId="3" applyFill="1" applyBorder="1" applyAlignment="1">
      <alignment horizontal="left" vertical="center" wrapText="1" readingOrder="1"/>
    </xf>
    <xf numFmtId="0" fontId="21" fillId="4" borderId="34" xfId="0" applyFont="1" applyFill="1" applyBorder="1" applyAlignment="1">
      <alignment vertical="center" wrapText="1" readingOrder="1"/>
    </xf>
    <xf numFmtId="0" fontId="21" fillId="5" borderId="34" xfId="0" applyFont="1" applyFill="1" applyBorder="1" applyAlignment="1">
      <alignment vertical="center" wrapText="1" readingOrder="1"/>
    </xf>
    <xf numFmtId="0" fontId="21" fillId="4" borderId="34" xfId="0" applyFont="1" applyFill="1" applyBorder="1" applyAlignment="1">
      <alignment horizontal="left" vertical="center" wrapText="1" readingOrder="1"/>
    </xf>
    <xf numFmtId="0" fontId="21" fillId="4" borderId="36" xfId="0" applyFont="1" applyFill="1" applyBorder="1" applyAlignment="1">
      <alignment horizontal="left" vertical="center" wrapText="1" readingOrder="1"/>
    </xf>
    <xf numFmtId="0" fontId="21" fillId="4" borderId="35" xfId="0" applyFont="1" applyFill="1" applyBorder="1" applyAlignment="1">
      <alignment horizontal="left" vertical="center" wrapText="1" readingOrder="1"/>
    </xf>
    <xf numFmtId="0" fontId="22" fillId="0" borderId="0" xfId="0" applyFont="1" applyAlignment="1">
      <alignment horizontal="center" vertical="center" wrapText="1" readingOrder="1"/>
    </xf>
    <xf numFmtId="0" fontId="20" fillId="0" borderId="0" xfId="0" applyFont="1" applyAlignment="1">
      <alignment horizontal="left" vertical="top" wrapText="1"/>
    </xf>
    <xf numFmtId="0" fontId="4" fillId="0" borderId="0" xfId="0" applyFont="1" applyAlignment="1">
      <alignment horizontal="left" vertical="top" wrapText="1"/>
    </xf>
  </cellXfs>
  <cellStyles count="4">
    <cellStyle name="Currency" xfId="1" builtinId="4"/>
    <cellStyle name="Hyperlink" xfId="3" builtinId="8"/>
    <cellStyle name="Normal" xfId="0" builtinId="0"/>
    <cellStyle name="Percent" xfId="2" builtinId="5"/>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4"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iso.com/documents/presentation-release-user-group-feb-18-202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B4" sqref="B4"/>
    </sheetView>
  </sheetViews>
  <sheetFormatPr defaultRowHeight="14.6" x14ac:dyDescent="0.4"/>
  <cols>
    <col min="2" max="2" width="123.07421875" customWidth="1"/>
  </cols>
  <sheetData>
    <row r="2" spans="2:2" x14ac:dyDescent="0.4">
      <c r="B2" s="179" t="s">
        <v>246</v>
      </c>
    </row>
    <row r="3" spans="2:2" ht="145.75" x14ac:dyDescent="0.4">
      <c r="B3" s="178" t="s">
        <v>247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tabSelected="1" zoomScaleNormal="100" workbookViewId="0">
      <selection activeCell="A2" sqref="A2:B2"/>
    </sheetView>
  </sheetViews>
  <sheetFormatPr defaultRowHeight="14.6" x14ac:dyDescent="0.4"/>
  <cols>
    <col min="1" max="1" width="15.4609375" customWidth="1"/>
    <col min="2" max="2" width="169.3046875" customWidth="1"/>
  </cols>
  <sheetData>
    <row r="1" spans="1:2" x14ac:dyDescent="0.4">
      <c r="A1" t="s">
        <v>258</v>
      </c>
      <c r="B1" t="s">
        <v>259</v>
      </c>
    </row>
    <row r="2" spans="1:2" ht="54.45" customHeight="1" x14ac:dyDescent="0.4">
      <c r="A2" s="190" t="s">
        <v>248</v>
      </c>
      <c r="B2" s="190"/>
    </row>
    <row r="3" spans="1:2" x14ac:dyDescent="0.4">
      <c r="A3" s="180" t="s">
        <v>249</v>
      </c>
      <c r="B3" s="180" t="s">
        <v>250</v>
      </c>
    </row>
    <row r="4" spans="1:2" ht="99.9" customHeight="1" x14ac:dyDescent="0.4">
      <c r="A4" s="185" t="s">
        <v>246</v>
      </c>
      <c r="B4" s="181" t="s">
        <v>255</v>
      </c>
    </row>
    <row r="5" spans="1:2" ht="175.3" customHeight="1" x14ac:dyDescent="0.4">
      <c r="A5" s="186" t="s">
        <v>251</v>
      </c>
      <c r="B5" s="183" t="s">
        <v>256</v>
      </c>
    </row>
    <row r="6" spans="1:2" ht="38.6" customHeight="1" x14ac:dyDescent="0.4">
      <c r="A6" s="187" t="s">
        <v>252</v>
      </c>
      <c r="B6" s="181" t="s">
        <v>257</v>
      </c>
    </row>
    <row r="7" spans="1:2" ht="38.6" customHeight="1" x14ac:dyDescent="0.4">
      <c r="A7" s="188"/>
      <c r="B7" s="184" t="s">
        <v>253</v>
      </c>
    </row>
    <row r="8" spans="1:2" ht="38.6" customHeight="1" x14ac:dyDescent="0.4">
      <c r="A8" s="189"/>
      <c r="B8" s="182" t="s">
        <v>254</v>
      </c>
    </row>
  </sheetData>
  <mergeCells count="2">
    <mergeCell ref="A6:A8"/>
    <mergeCell ref="A2:B2"/>
  </mergeCells>
  <hyperlinks>
    <hyperlink ref="B7" r:id="rId1"/>
  </hyperlinks>
  <pageMargins left="0.25" right="0.25" top="0.75" bottom="0.75" header="0.3" footer="0.3"/>
  <pageSetup scale="73" orientation="landscape" horizontalDpi="90" verticalDpi="90" r:id="rId2"/>
  <headerFooter>
    <oddHeader>&amp;C(C) CAISO Public&amp;R022425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1"/>
  <sheetViews>
    <sheetView showGridLines="0" zoomScale="86" zoomScaleNormal="86" zoomScaleSheetLayoutView="100" workbookViewId="0">
      <pane ySplit="2" topLeftCell="A6" activePane="bottomLeft" state="frozen"/>
      <selection pane="bottomLeft" activeCell="B66" sqref="B66:D66"/>
    </sheetView>
  </sheetViews>
  <sheetFormatPr defaultColWidth="8.69140625" defaultRowHeight="14.6" x14ac:dyDescent="0.4"/>
  <cols>
    <col min="1" max="1" width="3.84375" style="53" customWidth="1"/>
    <col min="2" max="2" width="72.4609375" style="53" customWidth="1"/>
    <col min="3" max="3" width="17.15234375" style="132" customWidth="1"/>
    <col min="4" max="4" width="78.84375" style="63" customWidth="1"/>
    <col min="5" max="6" width="12.84375" style="49" customWidth="1"/>
    <col min="7" max="16384" width="8.69140625" style="53"/>
  </cols>
  <sheetData>
    <row r="2" spans="2:4" ht="18.45" x14ac:dyDescent="0.4">
      <c r="B2" s="100" t="s">
        <v>7</v>
      </c>
      <c r="C2" s="119"/>
      <c r="D2" s="101"/>
    </row>
    <row r="3" spans="2:4" x14ac:dyDescent="0.4">
      <c r="B3" s="46"/>
      <c r="C3" s="120"/>
      <c r="D3" s="102"/>
    </row>
    <row r="4" spans="2:4" x14ac:dyDescent="0.4">
      <c r="B4" s="43" t="s">
        <v>29</v>
      </c>
      <c r="C4" s="121"/>
      <c r="D4" s="103"/>
    </row>
    <row r="5" spans="2:4" x14ac:dyDescent="0.4">
      <c r="B5" s="46" t="s">
        <v>42</v>
      </c>
      <c r="C5" s="122">
        <v>11175000</v>
      </c>
      <c r="D5" s="109" t="s">
        <v>112</v>
      </c>
    </row>
    <row r="6" spans="2:4" ht="16.3" x14ac:dyDescent="0.4">
      <c r="B6" s="46" t="s">
        <v>224</v>
      </c>
      <c r="C6" s="120">
        <v>420</v>
      </c>
      <c r="D6" s="109" t="s">
        <v>113</v>
      </c>
    </row>
    <row r="7" spans="2:4" ht="16.3" x14ac:dyDescent="0.4">
      <c r="B7" s="46" t="s">
        <v>43</v>
      </c>
      <c r="C7" s="120">
        <v>1296</v>
      </c>
      <c r="D7" s="109" t="s">
        <v>114</v>
      </c>
    </row>
    <row r="8" spans="2:4" x14ac:dyDescent="0.4">
      <c r="B8" s="46" t="s">
        <v>243</v>
      </c>
      <c r="C8" s="123">
        <f>C6/C7</f>
        <v>0.32407407407407407</v>
      </c>
      <c r="D8" s="111" t="s">
        <v>222</v>
      </c>
    </row>
    <row r="9" spans="2:4" x14ac:dyDescent="0.4">
      <c r="B9" s="46"/>
      <c r="C9" s="123"/>
      <c r="D9" s="109"/>
    </row>
    <row r="10" spans="2:4" x14ac:dyDescent="0.4">
      <c r="B10" s="104" t="s">
        <v>2</v>
      </c>
      <c r="C10" s="124">
        <f>SUM(C11:C13)</f>
        <v>1200</v>
      </c>
      <c r="D10" s="138" t="s">
        <v>143</v>
      </c>
    </row>
    <row r="11" spans="2:4" x14ac:dyDescent="0.4">
      <c r="B11" s="46" t="s">
        <v>39</v>
      </c>
      <c r="C11" s="120">
        <v>720</v>
      </c>
      <c r="D11" s="109" t="s">
        <v>30</v>
      </c>
    </row>
    <row r="12" spans="2:4" x14ac:dyDescent="0.4">
      <c r="B12" s="46" t="s">
        <v>40</v>
      </c>
      <c r="C12" s="120">
        <v>180</v>
      </c>
      <c r="D12" s="109" t="s">
        <v>31</v>
      </c>
    </row>
    <row r="13" spans="2:4" x14ac:dyDescent="0.4">
      <c r="B13" s="46" t="s">
        <v>41</v>
      </c>
      <c r="C13" s="120">
        <v>300</v>
      </c>
      <c r="D13" s="109" t="s">
        <v>32</v>
      </c>
    </row>
    <row r="14" spans="2:4" x14ac:dyDescent="0.4">
      <c r="B14" s="46"/>
      <c r="C14" s="120"/>
      <c r="D14" s="109"/>
    </row>
    <row r="15" spans="2:4" x14ac:dyDescent="0.4">
      <c r="B15" s="104" t="s">
        <v>124</v>
      </c>
      <c r="C15" s="125">
        <f>C5*(C6/C7)</f>
        <v>3621527.7777777775</v>
      </c>
      <c r="D15" s="139" t="s">
        <v>115</v>
      </c>
    </row>
    <row r="16" spans="2:4" ht="29.15" x14ac:dyDescent="0.4">
      <c r="B16" s="46" t="s">
        <v>161</v>
      </c>
      <c r="C16" s="122">
        <f>$C$15*(C11/$C$10)</f>
        <v>2172916.6666666665</v>
      </c>
      <c r="D16" s="111" t="s">
        <v>35</v>
      </c>
    </row>
    <row r="17" spans="2:4" ht="29.15" x14ac:dyDescent="0.4">
      <c r="B17" s="46" t="s">
        <v>163</v>
      </c>
      <c r="C17" s="122">
        <f>$C$15*(C12/$C$10)</f>
        <v>543229.16666666663</v>
      </c>
      <c r="D17" s="111" t="s">
        <v>36</v>
      </c>
    </row>
    <row r="18" spans="2:4" ht="29.15" x14ac:dyDescent="0.4">
      <c r="B18" s="46" t="s">
        <v>164</v>
      </c>
      <c r="C18" s="122">
        <f>$C$15*(C13/$C$10)</f>
        <v>905381.94444444438</v>
      </c>
      <c r="D18" s="111" t="s">
        <v>37</v>
      </c>
    </row>
    <row r="19" spans="2:4" x14ac:dyDescent="0.4">
      <c r="B19" s="46"/>
      <c r="C19" s="126"/>
      <c r="D19" s="111"/>
    </row>
    <row r="20" spans="2:4" x14ac:dyDescent="0.4">
      <c r="B20" s="46" t="s">
        <v>123</v>
      </c>
      <c r="C20" s="126"/>
      <c r="D20" s="111"/>
    </row>
    <row r="21" spans="2:4" ht="29.15" x14ac:dyDescent="0.4">
      <c r="B21" s="46" t="s">
        <v>119</v>
      </c>
      <c r="C21" s="122">
        <f>C$56*(C$15 / (C$15+C$36))*(C16/C$15)</f>
        <v>-12083.809866045349</v>
      </c>
      <c r="D21" s="111" t="s">
        <v>191</v>
      </c>
    </row>
    <row r="22" spans="2:4" ht="29.15" x14ac:dyDescent="0.4">
      <c r="B22" s="46" t="s">
        <v>120</v>
      </c>
      <c r="C22" s="122">
        <f>C$56*(C$15 / (C$15+C$36))*(C17/C$15)</f>
        <v>-3020.9524665113372</v>
      </c>
      <c r="D22" s="111" t="s">
        <v>192</v>
      </c>
    </row>
    <row r="23" spans="2:4" ht="29.15" x14ac:dyDescent="0.4">
      <c r="B23" s="46" t="s">
        <v>121</v>
      </c>
      <c r="C23" s="122">
        <f>C$56*(C$15 / (C$15+C$36))*(C18/C$15)</f>
        <v>-5034.9207775188952</v>
      </c>
      <c r="D23" s="111" t="s">
        <v>193</v>
      </c>
    </row>
    <row r="24" spans="2:4" x14ac:dyDescent="0.4">
      <c r="B24" s="46"/>
      <c r="C24" s="126"/>
      <c r="D24" s="111"/>
    </row>
    <row r="25" spans="2:4" x14ac:dyDescent="0.4">
      <c r="B25" s="43" t="s">
        <v>28</v>
      </c>
      <c r="C25" s="127"/>
      <c r="D25" s="110"/>
    </row>
    <row r="26" spans="2:4" x14ac:dyDescent="0.4">
      <c r="B26" s="46" t="s">
        <v>44</v>
      </c>
      <c r="C26" s="122">
        <v>2250000</v>
      </c>
      <c r="D26" s="109" t="s">
        <v>3</v>
      </c>
    </row>
    <row r="27" spans="2:4" ht="16.3" x14ac:dyDescent="0.4">
      <c r="B27" s="46" t="s">
        <v>225</v>
      </c>
      <c r="C27" s="120">
        <v>6364</v>
      </c>
      <c r="D27" s="109" t="s">
        <v>4</v>
      </c>
    </row>
    <row r="28" spans="2:4" ht="16.3" x14ac:dyDescent="0.4">
      <c r="B28" s="46" t="s">
        <v>45</v>
      </c>
      <c r="C28" s="120">
        <v>19780</v>
      </c>
      <c r="D28" s="109" t="s">
        <v>5</v>
      </c>
    </row>
    <row r="29" spans="2:4" x14ac:dyDescent="0.4">
      <c r="B29" s="46" t="s">
        <v>244</v>
      </c>
      <c r="C29" s="123">
        <f>C27/C28</f>
        <v>0.32173913043478258</v>
      </c>
      <c r="D29" s="111" t="s">
        <v>223</v>
      </c>
    </row>
    <row r="30" spans="2:4" x14ac:dyDescent="0.4">
      <c r="B30" s="46"/>
      <c r="C30" s="123"/>
      <c r="D30" s="109"/>
    </row>
    <row r="31" spans="2:4" x14ac:dyDescent="0.4">
      <c r="B31" s="46" t="s">
        <v>101</v>
      </c>
      <c r="C31" s="120">
        <f>SUM(C32:C34)</f>
        <v>17200</v>
      </c>
      <c r="D31" s="109" t="s">
        <v>11</v>
      </c>
    </row>
    <row r="32" spans="2:4" x14ac:dyDescent="0.4">
      <c r="B32" s="89" t="s">
        <v>98</v>
      </c>
      <c r="C32" s="120">
        <v>1950</v>
      </c>
      <c r="D32" s="109" t="s">
        <v>30</v>
      </c>
    </row>
    <row r="33" spans="2:4" x14ac:dyDescent="0.4">
      <c r="B33" s="89" t="s">
        <v>99</v>
      </c>
      <c r="C33" s="120">
        <v>8750</v>
      </c>
      <c r="D33" s="109" t="s">
        <v>31</v>
      </c>
    </row>
    <row r="34" spans="2:4" x14ac:dyDescent="0.4">
      <c r="B34" s="89" t="s">
        <v>100</v>
      </c>
      <c r="C34" s="120">
        <v>6500</v>
      </c>
      <c r="D34" s="109" t="s">
        <v>32</v>
      </c>
    </row>
    <row r="35" spans="2:4" x14ac:dyDescent="0.4">
      <c r="B35" s="46"/>
      <c r="C35" s="120"/>
      <c r="D35" s="109"/>
    </row>
    <row r="36" spans="2:4" x14ac:dyDescent="0.4">
      <c r="B36" s="104" t="s">
        <v>127</v>
      </c>
      <c r="C36" s="122">
        <f>C26*(C27/C28)</f>
        <v>723913.04347826086</v>
      </c>
      <c r="D36" s="111" t="s">
        <v>6</v>
      </c>
    </row>
    <row r="37" spans="2:4" x14ac:dyDescent="0.4">
      <c r="B37" s="89" t="s">
        <v>162</v>
      </c>
      <c r="C37" s="122">
        <f>$C$36*(C32/$C$31)</f>
        <v>82071.536905965622</v>
      </c>
      <c r="D37" s="165" t="s">
        <v>33</v>
      </c>
    </row>
    <row r="38" spans="2:4" x14ac:dyDescent="0.4">
      <c r="B38" s="89" t="s">
        <v>165</v>
      </c>
      <c r="C38" s="122">
        <f>$C$36*(C33/$C$31)</f>
        <v>368269.7168857432</v>
      </c>
      <c r="D38" s="165" t="s">
        <v>34</v>
      </c>
    </row>
    <row r="39" spans="2:4" x14ac:dyDescent="0.4">
      <c r="B39" s="89" t="s">
        <v>166</v>
      </c>
      <c r="C39" s="122">
        <f>$C$36*(C34/$C$31)</f>
        <v>273571.78968655207</v>
      </c>
      <c r="D39" s="165" t="s">
        <v>38</v>
      </c>
    </row>
    <row r="40" spans="2:4" x14ac:dyDescent="0.4">
      <c r="B40" s="46"/>
      <c r="C40" s="126"/>
      <c r="D40" s="111"/>
    </row>
    <row r="41" spans="2:4" x14ac:dyDescent="0.4">
      <c r="B41" s="46" t="s">
        <v>122</v>
      </c>
      <c r="C41" s="126"/>
      <c r="D41" s="111"/>
    </row>
    <row r="42" spans="2:4" ht="29.15" x14ac:dyDescent="0.4">
      <c r="B42" s="89" t="s">
        <v>145</v>
      </c>
      <c r="C42" s="122">
        <f>C$56*(C$36 / (C$15+C$36))*(C37/C$36)</f>
        <v>-456.40813686020124</v>
      </c>
      <c r="D42" s="111" t="s">
        <v>194</v>
      </c>
    </row>
    <row r="43" spans="2:4" ht="29.15" x14ac:dyDescent="0.4">
      <c r="B43" s="89" t="s">
        <v>146</v>
      </c>
      <c r="C43" s="122">
        <f>C$56*(C$36 / (C$15+C$36))*(C38/C$36)</f>
        <v>-2047.985229500903</v>
      </c>
      <c r="D43" s="111" t="s">
        <v>195</v>
      </c>
    </row>
    <row r="44" spans="2:4" ht="29.15" x14ac:dyDescent="0.4">
      <c r="B44" s="89" t="s">
        <v>147</v>
      </c>
      <c r="C44" s="122">
        <f>C$56*(C$36 / (C$15+C$36))*(C39/C$36)</f>
        <v>-1521.3604562006708</v>
      </c>
      <c r="D44" s="111" t="s">
        <v>196</v>
      </c>
    </row>
    <row r="45" spans="2:4" x14ac:dyDescent="0.4">
      <c r="B45" s="46"/>
      <c r="C45" s="126"/>
      <c r="D45" s="111"/>
    </row>
    <row r="46" spans="2:4" x14ac:dyDescent="0.4">
      <c r="B46" s="43" t="s">
        <v>97</v>
      </c>
      <c r="C46" s="127"/>
      <c r="D46" s="110"/>
    </row>
    <row r="47" spans="2:4" x14ac:dyDescent="0.4">
      <c r="B47" s="89" t="s">
        <v>148</v>
      </c>
      <c r="C47" s="126">
        <f>C5+C26</f>
        <v>13425000</v>
      </c>
      <c r="D47" s="111" t="s">
        <v>156</v>
      </c>
    </row>
    <row r="48" spans="2:4" x14ac:dyDescent="0.4">
      <c r="B48" s="89"/>
      <c r="C48" s="126"/>
      <c r="D48" s="111"/>
    </row>
    <row r="49" spans="1:4" ht="16.3" x14ac:dyDescent="0.4">
      <c r="B49" s="89" t="s">
        <v>226</v>
      </c>
      <c r="C49" s="120">
        <f>C6+C27</f>
        <v>6784</v>
      </c>
      <c r="D49" s="111" t="s">
        <v>157</v>
      </c>
    </row>
    <row r="50" spans="1:4" x14ac:dyDescent="0.4">
      <c r="B50" s="89" t="s">
        <v>154</v>
      </c>
      <c r="C50" s="120">
        <f>C7+C28</f>
        <v>21076</v>
      </c>
      <c r="D50" s="111" t="s">
        <v>158</v>
      </c>
    </row>
    <row r="51" spans="1:4" x14ac:dyDescent="0.4">
      <c r="B51" s="89" t="s">
        <v>103</v>
      </c>
      <c r="C51" s="128">
        <f>C49/C50</f>
        <v>0.32188271019168724</v>
      </c>
      <c r="D51" s="111" t="s">
        <v>159</v>
      </c>
    </row>
    <row r="52" spans="1:4" x14ac:dyDescent="0.4">
      <c r="B52" s="46"/>
      <c r="C52" s="128"/>
      <c r="D52" s="111"/>
    </row>
    <row r="53" spans="1:4" x14ac:dyDescent="0.4">
      <c r="B53" s="87" t="s">
        <v>144</v>
      </c>
      <c r="C53" s="129">
        <f>C51*C47</f>
        <v>4321275.3843234014</v>
      </c>
      <c r="D53" s="118" t="s">
        <v>160</v>
      </c>
    </row>
    <row r="54" spans="1:4" x14ac:dyDescent="0.4">
      <c r="B54" s="46"/>
      <c r="C54" s="126"/>
      <c r="D54" s="109"/>
    </row>
    <row r="55" spans="1:4" ht="29.15" x14ac:dyDescent="0.4">
      <c r="B55" s="43" t="s">
        <v>116</v>
      </c>
      <c r="C55" s="130">
        <f>C36+C15</f>
        <v>4345440.8212560387</v>
      </c>
      <c r="D55" s="140" t="s">
        <v>118</v>
      </c>
    </row>
    <row r="56" spans="1:4" ht="16.3" x14ac:dyDescent="0.4">
      <c r="A56" s="106"/>
      <c r="B56" s="83" t="s">
        <v>117</v>
      </c>
      <c r="C56" s="131">
        <f>IF(C55&gt;C53,C53-C55,0)</f>
        <v>-24165.436932637356</v>
      </c>
      <c r="D56" s="115" t="str">
        <f>IF(C$53&lt;C$55,"Reduction Amount (Limit is Enforced)","- No Adjustment (Limit is Not Applied)")</f>
        <v>Reduction Amount (Limit is Enforced)</v>
      </c>
    </row>
    <row r="57" spans="1:4" x14ac:dyDescent="0.4">
      <c r="D57" s="109"/>
    </row>
    <row r="58" spans="1:4" ht="29.15" x14ac:dyDescent="0.4">
      <c r="B58" s="107" t="str">
        <f>"Total PTO1 Component 1 Recoverable Revenue "&amp;IF(C$53&lt;C$55," (Limit Enforced)","")</f>
        <v>Total PTO1 Component 1 Recoverable Revenue  (Limit Enforced)</v>
      </c>
      <c r="C58" s="133">
        <f>C37+C16+IF(C$53&lt;C$55,C$56*(C37+C16)/(C$15+C$36),0)</f>
        <v>2242447.9855697267</v>
      </c>
      <c r="D58" s="116" t="str">
        <f xml:space="preserve"> "= [ (Total PTO1 Comp 1 Recoverable Rev)"&amp;IF(C$53&lt;C$55," - (CISO BAA Comp 1 Reduction Amount) ] * [ (PTO1 Comp 1 Rev Total) / (CISO Comp 1 Rev Total) ]"," ]")</f>
        <v>= [ (Total PTO1 Comp 1 Recoverable Rev) - (CISO BAA Comp 1 Reduction Amount) ] * [ (PTO1 Comp 1 Rev Total) / (CISO Comp 1 Rev Total) ]</v>
      </c>
    </row>
    <row r="59" spans="1:4" ht="29.15" x14ac:dyDescent="0.4">
      <c r="B59" s="107" t="str">
        <f>"Total PTO2 Component 1 Recoverable Revenue "&amp;IF(C$53&lt;C$55," (Limit Enforced)","")</f>
        <v>Total PTO2 Component 1 Recoverable Revenue  (Limit Enforced)</v>
      </c>
      <c r="C59" s="133">
        <f>C38+C17+IF(C$53&lt;C$55,C$56*(C38+C17)/(C$15+C$36),0)</f>
        <v>906429.94585639762</v>
      </c>
      <c r="D59" s="116" t="str">
        <f xml:space="preserve"> "= [ (Total PTO2 Comp 1 Recoverable Rev)"&amp;IF(C$53&lt;C$55," - (CISO BAA Comp 1 Reduction Amount) ] * [ (PTO2 Comp 1 Rev Total) / (CISO Comp 1 Rev Total) ]"," ]")</f>
        <v>= [ (Total PTO2 Comp 1 Recoverable Rev) - (CISO BAA Comp 1 Reduction Amount) ] * [ (PTO2 Comp 1 Rev Total) / (CISO Comp 1 Rev Total) ]</v>
      </c>
    </row>
    <row r="60" spans="1:4" ht="29.15" x14ac:dyDescent="0.4">
      <c r="B60" s="107" t="str">
        <f>"Total PTO3 Component 1 Recoverable Revenue "&amp;IF(C$53&lt;C$55," (Limit Enforced)","")</f>
        <v>Total PTO3 Component 1 Recoverable Revenue  (Limit Enforced)</v>
      </c>
      <c r="C60" s="133">
        <f>C39+C18+IF(C$53&lt;C$55,C$56*(C39+C18)/(C$15+C$36),0)</f>
        <v>1172397.452897277</v>
      </c>
      <c r="D60" s="116" t="str">
        <f xml:space="preserve"> "= [ (Total PTO3 Comp 1 Recoverable Rev)"&amp;IF(C$53&lt;C$55," - (CISO BAA Comp 1 Reduction Amount) ] * [ (PTO3 Comp 1 Rev Total) / (CISO Comp 1 Rev Total) ]"," ]")</f>
        <v>= [ (Total PTO3 Comp 1 Recoverable Rev) - (CISO BAA Comp 1 Reduction Amount) ] * [ (PTO3 Comp 1 Rev Total) / (CISO Comp 1 Rev Total) ]</v>
      </c>
    </row>
    <row r="61" spans="1:4" x14ac:dyDescent="0.4">
      <c r="B61" s="85"/>
      <c r="C61" s="134"/>
      <c r="D61" s="62"/>
    </row>
    <row r="62" spans="1:4" x14ac:dyDescent="0.4">
      <c r="B62" s="46" t="s">
        <v>197</v>
      </c>
      <c r="C62" s="126"/>
      <c r="D62" s="105"/>
    </row>
    <row r="63" spans="1:4" ht="16.3" x14ac:dyDescent="0.4">
      <c r="B63" s="108" t="s">
        <v>96</v>
      </c>
      <c r="C63" s="126"/>
      <c r="D63" s="105"/>
    </row>
    <row r="64" spans="1:4" ht="16.3" x14ac:dyDescent="0.4">
      <c r="B64" s="108" t="s">
        <v>149</v>
      </c>
      <c r="C64" s="126"/>
      <c r="D64" s="105"/>
    </row>
    <row r="66" spans="2:4" ht="95.5" customHeight="1" x14ac:dyDescent="0.4">
      <c r="B66" s="191" t="str">
        <f>"Disclaimer: " &amp;rDisclaimer</f>
        <v xml:space="preserve">Disclaimer: Disclaimer and Understanding All information contained in this draft Calculation Guide and Worksheet pertaining to the Extended Day-Ahead Market (EDAM) Access Charge, and as provided by the California Independent System Operator Corporation (ISO), is prepared for discussion and information purposes only. 
The draft Calculation Guide and Worksheet is provided “as is” without representation or warranty of any kind, including, without limitation, a representation or warranty as to accuracy, completeness, or appropriateness for any particular purpose. The draft Calculation Guide and Worksheet shall be revised as the development and review of the EDAM Access Charge settlement continues. The ISO assumes no responsibility for the consequences of any errors or omissions. The ISO may revise or withdraw all or part of this information at any time at its discretion without notice.
</v>
      </c>
      <c r="C66" s="191"/>
      <c r="D66" s="191"/>
    </row>
    <row r="108" spans="2:4" x14ac:dyDescent="0.4">
      <c r="B108" s="41"/>
      <c r="C108" s="135"/>
      <c r="D108" s="62"/>
    </row>
    <row r="152" spans="2:4" x14ac:dyDescent="0.4">
      <c r="B152" s="87"/>
      <c r="C152" s="136"/>
      <c r="D152" s="62"/>
    </row>
    <row r="153" spans="2:4" x14ac:dyDescent="0.4">
      <c r="B153" s="87"/>
      <c r="C153" s="136"/>
      <c r="D153" s="62"/>
    </row>
    <row r="157" spans="2:4" x14ac:dyDescent="0.4">
      <c r="B157" s="46"/>
      <c r="C157" s="126"/>
    </row>
    <row r="158" spans="2:4" x14ac:dyDescent="0.4">
      <c r="B158" s="46"/>
      <c r="C158" s="137"/>
    </row>
    <row r="159" spans="2:4" x14ac:dyDescent="0.4">
      <c r="B159" s="46"/>
      <c r="C159" s="137"/>
    </row>
    <row r="161" spans="2:2" x14ac:dyDescent="0.4">
      <c r="B161" s="46"/>
    </row>
    <row r="164" spans="2:2" x14ac:dyDescent="0.4">
      <c r="B164" s="46"/>
    </row>
    <row r="166" spans="2:2" x14ac:dyDescent="0.4">
      <c r="B166" s="46"/>
    </row>
    <row r="167" spans="2:2" x14ac:dyDescent="0.4">
      <c r="B167" s="99"/>
    </row>
    <row r="168" spans="2:2" x14ac:dyDescent="0.4">
      <c r="B168" s="46"/>
    </row>
    <row r="169" spans="2:2" x14ac:dyDescent="0.4">
      <c r="B169" s="46"/>
    </row>
    <row r="170" spans="2:2" x14ac:dyDescent="0.4">
      <c r="B170" s="46"/>
    </row>
    <row r="171" spans="2:2" x14ac:dyDescent="0.4">
      <c r="B171" s="46"/>
    </row>
  </sheetData>
  <mergeCells count="1">
    <mergeCell ref="B66:D66"/>
  </mergeCells>
  <conditionalFormatting sqref="B56:D56">
    <cfRule type="expression" dxfId="8" priority="5">
      <formula>$C$56&lt;0</formula>
    </cfRule>
  </conditionalFormatting>
  <conditionalFormatting sqref="D58:D60">
    <cfRule type="expression" dxfId="7" priority="4">
      <formula>$C$56&lt;0</formula>
    </cfRule>
  </conditionalFormatting>
  <conditionalFormatting sqref="B58:B60">
    <cfRule type="expression" dxfId="6" priority="3">
      <formula>$C$56&lt;0</formula>
    </cfRule>
  </conditionalFormatting>
  <conditionalFormatting sqref="B58:D60">
    <cfRule type="expression" dxfId="5" priority="2">
      <formula>$C$56&lt;0</formula>
    </cfRule>
  </conditionalFormatting>
  <conditionalFormatting sqref="B59:I60 B58:D58 F58:I58">
    <cfRule type="expression" dxfId="4" priority="1">
      <formula>$C$56&lt;0</formula>
    </cfRule>
  </conditionalFormatting>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6"/>
  <sheetViews>
    <sheetView showGridLines="0" zoomScaleNormal="100" zoomScaleSheetLayoutView="100" workbookViewId="0">
      <pane ySplit="2" topLeftCell="A16" activePane="bottomLeft" state="frozen"/>
      <selection pane="bottomLeft" activeCell="C46" sqref="C46"/>
    </sheetView>
  </sheetViews>
  <sheetFormatPr defaultColWidth="8.69140625" defaultRowHeight="14.6" x14ac:dyDescent="0.4"/>
  <cols>
    <col min="1" max="1" width="4.23046875" style="53" customWidth="1"/>
    <col min="2" max="2" width="76.921875" style="53" customWidth="1"/>
    <col min="3" max="3" width="14.4609375" style="132" customWidth="1"/>
    <col min="4" max="4" width="71.53515625" style="109" customWidth="1"/>
    <col min="5" max="5" width="21.61328125" style="53" customWidth="1"/>
    <col min="6" max="6" width="66.921875" style="53" customWidth="1"/>
    <col min="7" max="16384" width="8.69140625" style="53"/>
  </cols>
  <sheetData>
    <row r="1" spans="2:6" x14ac:dyDescent="0.4">
      <c r="F1" s="88"/>
    </row>
    <row r="2" spans="2:6" ht="18.45" x14ac:dyDescent="0.4">
      <c r="B2" s="39" t="s">
        <v>8</v>
      </c>
      <c r="C2" s="119"/>
      <c r="D2" s="110"/>
    </row>
    <row r="4" spans="2:6" x14ac:dyDescent="0.4">
      <c r="B4" s="84" t="s">
        <v>126</v>
      </c>
      <c r="C4" s="84"/>
      <c r="D4" s="84"/>
    </row>
    <row r="5" spans="2:6" x14ac:dyDescent="0.4">
      <c r="B5" s="93" t="s">
        <v>230</v>
      </c>
      <c r="C5" s="133">
        <f>SUM(C6:C8)</f>
        <v>28850000</v>
      </c>
      <c r="D5" s="111" t="s">
        <v>108</v>
      </c>
    </row>
    <row r="6" spans="2:6" x14ac:dyDescent="0.4">
      <c r="B6" s="89" t="s">
        <v>168</v>
      </c>
      <c r="C6" s="122">
        <v>7212500</v>
      </c>
      <c r="D6" s="111" t="s">
        <v>105</v>
      </c>
    </row>
    <row r="7" spans="2:6" x14ac:dyDescent="0.4">
      <c r="B7" s="89" t="s">
        <v>169</v>
      </c>
      <c r="C7" s="122">
        <v>12982500</v>
      </c>
      <c r="D7" s="111" t="s">
        <v>106</v>
      </c>
    </row>
    <row r="8" spans="2:6" x14ac:dyDescent="0.4">
      <c r="B8" s="89" t="s">
        <v>170</v>
      </c>
      <c r="C8" s="122">
        <v>8655000</v>
      </c>
      <c r="D8" s="111" t="s">
        <v>107</v>
      </c>
    </row>
    <row r="9" spans="2:6" x14ac:dyDescent="0.4">
      <c r="B9" s="89"/>
      <c r="C9" s="122"/>
      <c r="D9" s="111"/>
    </row>
    <row r="10" spans="2:6" x14ac:dyDescent="0.4">
      <c r="B10" s="92" t="s">
        <v>210</v>
      </c>
      <c r="C10" s="129">
        <f>SUM(C11:C13)</f>
        <v>4321275.3843234014</v>
      </c>
      <c r="D10" s="111"/>
    </row>
    <row r="11" spans="2:6" x14ac:dyDescent="0.4">
      <c r="B11" s="97" t="s">
        <v>211</v>
      </c>
      <c r="C11" s="122">
        <f>comp1PTO1</f>
        <v>2242447.9855697267</v>
      </c>
      <c r="D11" s="111" t="str">
        <f>IF('comp 1'!C21&lt;0," Cap Limit Enforced, Adjustment Applied", "")</f>
        <v xml:space="preserve"> Cap Limit Enforced, Adjustment Applied</v>
      </c>
    </row>
    <row r="12" spans="2:6" x14ac:dyDescent="0.4">
      <c r="B12" s="97" t="s">
        <v>212</v>
      </c>
      <c r="C12" s="122">
        <f>comp1PTO2</f>
        <v>906429.94585639762</v>
      </c>
      <c r="D12" s="111" t="str">
        <f>IF('comp 1'!C22&lt;0," Cap Limit Enforced, Adjustment Applied", "")</f>
        <v xml:space="preserve"> Cap Limit Enforced, Adjustment Applied</v>
      </c>
    </row>
    <row r="13" spans="2:6" x14ac:dyDescent="0.4">
      <c r="B13" s="97" t="s">
        <v>213</v>
      </c>
      <c r="C13" s="122">
        <f>comp1PTO3</f>
        <v>1172397.452897277</v>
      </c>
      <c r="D13" s="111" t="str">
        <f>IF('comp 1'!C23&lt;0," Cap Limit Enforced, Adjustment Applied", "")</f>
        <v xml:space="preserve"> Cap Limit Enforced, Adjustment Applied</v>
      </c>
    </row>
    <row r="15" spans="2:6" x14ac:dyDescent="0.4">
      <c r="B15" s="84" t="s">
        <v>104</v>
      </c>
      <c r="C15" s="40" t="s">
        <v>54</v>
      </c>
      <c r="D15" s="110" t="s">
        <v>53</v>
      </c>
    </row>
    <row r="16" spans="2:6" ht="16.3" x14ac:dyDescent="0.4">
      <c r="B16" s="89" t="s">
        <v>92</v>
      </c>
      <c r="C16" s="122">
        <f>'comp 1'!C47</f>
        <v>13425000</v>
      </c>
      <c r="D16" s="109" t="s">
        <v>150</v>
      </c>
    </row>
    <row r="17" spans="2:4" ht="16.3" x14ac:dyDescent="0.4">
      <c r="B17" s="89" t="s">
        <v>93</v>
      </c>
      <c r="C17" s="122">
        <f>C5</f>
        <v>28850000</v>
      </c>
      <c r="D17" s="109" t="s">
        <v>151</v>
      </c>
    </row>
    <row r="18" spans="2:4" ht="16.3" x14ac:dyDescent="0.4">
      <c r="B18" s="93" t="s">
        <v>152</v>
      </c>
      <c r="C18" s="141">
        <f>C16/C17</f>
        <v>0.46533795493934144</v>
      </c>
      <c r="D18" s="112" t="s">
        <v>155</v>
      </c>
    </row>
    <row r="19" spans="2:4" x14ac:dyDescent="0.4">
      <c r="B19" s="46"/>
      <c r="C19" s="142"/>
    </row>
    <row r="20" spans="2:4" x14ac:dyDescent="0.4">
      <c r="B20" s="84" t="s">
        <v>9</v>
      </c>
      <c r="C20" s="40" t="s">
        <v>54</v>
      </c>
      <c r="D20" s="110" t="s">
        <v>53</v>
      </c>
    </row>
    <row r="21" spans="2:4" x14ac:dyDescent="0.4">
      <c r="B21" s="85"/>
      <c r="C21" s="143"/>
      <c r="D21" s="111"/>
    </row>
    <row r="22" spans="2:4" x14ac:dyDescent="0.4">
      <c r="B22" s="92" t="s">
        <v>124</v>
      </c>
      <c r="C22" s="129">
        <f>SUM(C23:C25)</f>
        <v>3601388.094667702</v>
      </c>
    </row>
    <row r="23" spans="2:4" x14ac:dyDescent="0.4">
      <c r="B23" s="97" t="s">
        <v>227</v>
      </c>
      <c r="C23" s="122">
        <f>'comp 1'!C16+'comp 1'!C21</f>
        <v>2160832.8568006214</v>
      </c>
      <c r="D23" s="111" t="str">
        <f>IF('comp 1'!C21&lt;0," Cap Limit Enforced, Adjustment Applied", "")</f>
        <v xml:space="preserve"> Cap Limit Enforced, Adjustment Applied</v>
      </c>
    </row>
    <row r="24" spans="2:4" x14ac:dyDescent="0.4">
      <c r="B24" s="97" t="s">
        <v>228</v>
      </c>
      <c r="C24" s="122">
        <f>'comp 1'!C17+'comp 1'!C22</f>
        <v>540208.21420015534</v>
      </c>
      <c r="D24" s="111" t="str">
        <f>IF('comp 1'!C22&lt;0," Cap Limit Enforced, Adjustment Applied", "")</f>
        <v xml:space="preserve"> Cap Limit Enforced, Adjustment Applied</v>
      </c>
    </row>
    <row r="25" spans="2:4" x14ac:dyDescent="0.4">
      <c r="B25" s="97" t="s">
        <v>229</v>
      </c>
      <c r="C25" s="122">
        <f>'comp 1'!C18+'comp 1'!C23</f>
        <v>900347.0236669255</v>
      </c>
      <c r="D25" s="111" t="str">
        <f>IF('comp 1'!C23&lt;0," Cap Limit Enforced, Adjustment Applied", "")</f>
        <v xml:space="preserve"> Cap Limit Enforced, Adjustment Applied</v>
      </c>
    </row>
    <row r="26" spans="2:4" x14ac:dyDescent="0.4">
      <c r="B26" s="91"/>
      <c r="C26" s="144"/>
      <c r="D26" s="111"/>
    </row>
    <row r="27" spans="2:4" x14ac:dyDescent="0.4">
      <c r="B27" s="92" t="s">
        <v>125</v>
      </c>
      <c r="C27" s="129">
        <f>SUM(C28:C30)</f>
        <v>7000000</v>
      </c>
      <c r="D27" s="111"/>
    </row>
    <row r="28" spans="2:4" x14ac:dyDescent="0.4">
      <c r="B28" s="98" t="s">
        <v>171</v>
      </c>
      <c r="C28" s="122">
        <v>4250000</v>
      </c>
      <c r="D28" s="109" t="s">
        <v>204</v>
      </c>
    </row>
    <row r="29" spans="2:4" x14ac:dyDescent="0.4">
      <c r="B29" s="55" t="s">
        <v>172</v>
      </c>
      <c r="C29" s="122">
        <v>2750000</v>
      </c>
      <c r="D29" s="109" t="s">
        <v>205</v>
      </c>
    </row>
    <row r="30" spans="2:4" x14ac:dyDescent="0.4">
      <c r="B30" s="55" t="s">
        <v>153</v>
      </c>
      <c r="C30" s="122">
        <v>0</v>
      </c>
      <c r="D30" s="109" t="s">
        <v>206</v>
      </c>
    </row>
    <row r="31" spans="2:4" x14ac:dyDescent="0.4">
      <c r="B31" s="89"/>
      <c r="C31" s="135"/>
    </row>
    <row r="32" spans="2:4" x14ac:dyDescent="0.4">
      <c r="B32" s="54" t="s">
        <v>109</v>
      </c>
      <c r="C32" s="129">
        <f>SUM(C33:C35)</f>
        <v>1513376.4252427113</v>
      </c>
      <c r="D32" s="113"/>
    </row>
    <row r="33" spans="2:4" x14ac:dyDescent="0.4">
      <c r="B33" s="98" t="s">
        <v>201</v>
      </c>
      <c r="C33" s="122">
        <f>C28*C$11/C$6</f>
        <v>1321373.1630740156</v>
      </c>
      <c r="D33" s="114" t="s">
        <v>231</v>
      </c>
    </row>
    <row r="34" spans="2:4" x14ac:dyDescent="0.4">
      <c r="B34" s="98" t="s">
        <v>202</v>
      </c>
      <c r="C34" s="122">
        <f>C29*C12/C7</f>
        <v>192003.2621686958</v>
      </c>
      <c r="D34" s="114" t="s">
        <v>232</v>
      </c>
    </row>
    <row r="35" spans="2:4" x14ac:dyDescent="0.4">
      <c r="B35" s="98" t="s">
        <v>203</v>
      </c>
      <c r="C35" s="122">
        <f>C30*C13/C8</f>
        <v>0</v>
      </c>
      <c r="D35" s="114" t="s">
        <v>233</v>
      </c>
    </row>
    <row r="36" spans="2:4" x14ac:dyDescent="0.4">
      <c r="B36" s="46"/>
      <c r="C36" s="135"/>
    </row>
    <row r="37" spans="2:4" x14ac:dyDescent="0.4">
      <c r="B37" s="84" t="s">
        <v>10</v>
      </c>
      <c r="C37" s="40" t="s">
        <v>54</v>
      </c>
      <c r="D37" s="110" t="s">
        <v>53</v>
      </c>
    </row>
    <row r="38" spans="2:4" x14ac:dyDescent="0.4">
      <c r="B38" s="85"/>
      <c r="C38" s="145"/>
    </row>
    <row r="39" spans="2:4" x14ac:dyDescent="0.4">
      <c r="B39" s="92" t="s">
        <v>127</v>
      </c>
      <c r="C39" s="129">
        <f>SUM(C40:C42)</f>
        <v>719887.28965569916</v>
      </c>
    </row>
    <row r="40" spans="2:4" x14ac:dyDescent="0.4">
      <c r="B40" s="97" t="s">
        <v>128</v>
      </c>
      <c r="C40" s="122">
        <f>'comp 1'!C37+'comp 1'!C42</f>
        <v>81615.128769105417</v>
      </c>
      <c r="D40" s="111" t="str">
        <f>IF('comp 1'!C42&lt;0," Cap Limit Enforced, Adjustment Applied", "")</f>
        <v xml:space="preserve"> Cap Limit Enforced, Adjustment Applied</v>
      </c>
    </row>
    <row r="41" spans="2:4" x14ac:dyDescent="0.4">
      <c r="B41" s="97" t="s">
        <v>129</v>
      </c>
      <c r="C41" s="122">
        <f>'comp 1'!C38+'comp 1'!C43</f>
        <v>366221.73165624228</v>
      </c>
      <c r="D41" s="111" t="str">
        <f>IF('comp 1'!C43&lt;0," Cap Limit Enforced, Adjustment Applied", "")</f>
        <v xml:space="preserve"> Cap Limit Enforced, Adjustment Applied</v>
      </c>
    </row>
    <row r="42" spans="2:4" x14ac:dyDescent="0.4">
      <c r="B42" s="97" t="s">
        <v>130</v>
      </c>
      <c r="C42" s="122">
        <f>'comp 1'!C39+'comp 1'!C44</f>
        <v>272050.42923035141</v>
      </c>
      <c r="D42" s="111" t="str">
        <f>IF('comp 1'!C44&lt;0," Cap Limit Enforced, Adjustment Applied", "")</f>
        <v xml:space="preserve"> Cap Limit Enforced, Adjustment Applied</v>
      </c>
    </row>
    <row r="43" spans="2:4" x14ac:dyDescent="0.4">
      <c r="B43" s="89"/>
      <c r="C43" s="145"/>
    </row>
    <row r="44" spans="2:4" x14ac:dyDescent="0.4">
      <c r="B44" s="92" t="s">
        <v>131</v>
      </c>
      <c r="C44" s="129">
        <f>SUM(C45:C47)</f>
        <v>31888750</v>
      </c>
    </row>
    <row r="45" spans="2:4" x14ac:dyDescent="0.4">
      <c r="B45" s="98" t="s">
        <v>173</v>
      </c>
      <c r="C45" s="122">
        <v>8031250</v>
      </c>
      <c r="D45" s="109" t="s">
        <v>198</v>
      </c>
    </row>
    <row r="46" spans="2:4" x14ac:dyDescent="0.4">
      <c r="B46" s="55" t="s">
        <v>174</v>
      </c>
      <c r="C46" s="122">
        <v>20312500</v>
      </c>
      <c r="D46" s="109" t="s">
        <v>199</v>
      </c>
    </row>
    <row r="47" spans="2:4" x14ac:dyDescent="0.4">
      <c r="B47" s="55" t="s">
        <v>175</v>
      </c>
      <c r="C47" s="122">
        <v>3545000</v>
      </c>
      <c r="D47" s="109" t="s">
        <v>200</v>
      </c>
    </row>
    <row r="48" spans="2:4" x14ac:dyDescent="0.4">
      <c r="B48" s="89"/>
      <c r="C48" s="145"/>
    </row>
    <row r="49" spans="2:4" x14ac:dyDescent="0.4">
      <c r="B49" s="54" t="s">
        <v>110</v>
      </c>
      <c r="C49" s="129">
        <f>SUM(C50:C52)</f>
        <v>4395414.6291070059</v>
      </c>
    </row>
    <row r="50" spans="2:4" x14ac:dyDescent="0.4">
      <c r="B50" s="98" t="s">
        <v>207</v>
      </c>
      <c r="C50" s="122">
        <f>C45*C$11/C$6</f>
        <v>2497006.6390442797</v>
      </c>
      <c r="D50" s="114" t="s">
        <v>234</v>
      </c>
    </row>
    <row r="51" spans="2:4" x14ac:dyDescent="0.4">
      <c r="B51" s="98" t="s">
        <v>208</v>
      </c>
      <c r="C51" s="122">
        <f>C46*C$12/C$7</f>
        <v>1418205.9137460487</v>
      </c>
      <c r="D51" s="114" t="s">
        <v>235</v>
      </c>
    </row>
    <row r="52" spans="2:4" x14ac:dyDescent="0.4">
      <c r="B52" s="98" t="s">
        <v>209</v>
      </c>
      <c r="C52" s="122">
        <f>C47*C$13/C$8</f>
        <v>480202.07631667785</v>
      </c>
      <c r="D52" s="114" t="s">
        <v>236</v>
      </c>
    </row>
    <row r="54" spans="2:4" x14ac:dyDescent="0.4">
      <c r="B54" s="84" t="s">
        <v>111</v>
      </c>
      <c r="C54" s="40" t="s">
        <v>54</v>
      </c>
      <c r="D54" s="110" t="s">
        <v>53</v>
      </c>
    </row>
    <row r="55" spans="2:4" x14ac:dyDescent="0.4">
      <c r="B55" s="85"/>
      <c r="C55" s="145"/>
    </row>
    <row r="56" spans="2:4" x14ac:dyDescent="0.4">
      <c r="B56" s="54" t="s">
        <v>49</v>
      </c>
      <c r="C56" s="129">
        <f>SUM(C57:C59)</f>
        <v>259328125</v>
      </c>
      <c r="D56" s="111" t="s">
        <v>167</v>
      </c>
    </row>
    <row r="57" spans="2:4" x14ac:dyDescent="0.4">
      <c r="B57" s="97" t="s">
        <v>214</v>
      </c>
      <c r="C57" s="122">
        <v>0</v>
      </c>
      <c r="D57" s="111" t="s">
        <v>181</v>
      </c>
    </row>
    <row r="58" spans="2:4" x14ac:dyDescent="0.4">
      <c r="B58" s="97" t="s">
        <v>215</v>
      </c>
      <c r="C58" s="122">
        <v>27343750</v>
      </c>
      <c r="D58" s="111" t="s">
        <v>180</v>
      </c>
    </row>
    <row r="59" spans="2:4" x14ac:dyDescent="0.4">
      <c r="B59" s="97" t="s">
        <v>216</v>
      </c>
      <c r="C59" s="122">
        <v>231984375</v>
      </c>
      <c r="D59" s="111" t="s">
        <v>179</v>
      </c>
    </row>
    <row r="60" spans="2:4" x14ac:dyDescent="0.4">
      <c r="B60" s="46"/>
      <c r="C60" s="135"/>
    </row>
    <row r="61" spans="2:4" x14ac:dyDescent="0.4">
      <c r="B61" s="54" t="s">
        <v>102</v>
      </c>
      <c r="C61" s="129">
        <f>SUM(C62:C64)</f>
        <v>120675219.34575391</v>
      </c>
    </row>
    <row r="62" spans="2:4" x14ac:dyDescent="0.4">
      <c r="B62" s="98" t="s">
        <v>207</v>
      </c>
      <c r="C62" s="122">
        <f>C57*C$18</f>
        <v>0</v>
      </c>
      <c r="D62" s="111" t="s">
        <v>176</v>
      </c>
    </row>
    <row r="63" spans="2:4" x14ac:dyDescent="0.4">
      <c r="B63" s="98" t="s">
        <v>208</v>
      </c>
      <c r="C63" s="122">
        <f>C58*C$18</f>
        <v>12724084.705372617</v>
      </c>
      <c r="D63" s="111" t="s">
        <v>177</v>
      </c>
    </row>
    <row r="64" spans="2:4" x14ac:dyDescent="0.4">
      <c r="B64" s="98" t="s">
        <v>209</v>
      </c>
      <c r="C64" s="122">
        <f>C59*C$18</f>
        <v>107951134.64038129</v>
      </c>
      <c r="D64" s="111" t="s">
        <v>178</v>
      </c>
    </row>
    <row r="65" spans="2:4" x14ac:dyDescent="0.4">
      <c r="B65" s="46"/>
    </row>
    <row r="66" spans="2:4" x14ac:dyDescent="0.4">
      <c r="B66" s="84" t="s">
        <v>91</v>
      </c>
      <c r="C66" s="130">
        <f>SUM(C67:C69)</f>
        <v>126584010.40010363</v>
      </c>
      <c r="D66" s="115"/>
    </row>
    <row r="67" spans="2:4" x14ac:dyDescent="0.4">
      <c r="B67" s="95" t="s">
        <v>46</v>
      </c>
      <c r="C67" s="147">
        <f>C33+C50+C62</f>
        <v>3818379.8021182953</v>
      </c>
      <c r="D67" s="116" t="s">
        <v>51</v>
      </c>
    </row>
    <row r="68" spans="2:4" x14ac:dyDescent="0.4">
      <c r="B68" s="95" t="s">
        <v>47</v>
      </c>
      <c r="C68" s="147">
        <f>C34+C51+C63</f>
        <v>14334293.881287361</v>
      </c>
      <c r="D68" s="116" t="s">
        <v>52</v>
      </c>
    </row>
    <row r="69" spans="2:4" x14ac:dyDescent="0.4">
      <c r="B69" s="95" t="s">
        <v>48</v>
      </c>
      <c r="C69" s="147">
        <f>C35+C52+C64</f>
        <v>108431336.71669798</v>
      </c>
      <c r="D69" s="116" t="s">
        <v>50</v>
      </c>
    </row>
    <row r="70" spans="2:4" x14ac:dyDescent="0.4">
      <c r="B70" s="87"/>
      <c r="C70" s="148"/>
      <c r="D70" s="116"/>
    </row>
    <row r="71" spans="2:4" x14ac:dyDescent="0.4">
      <c r="B71" s="94" t="s">
        <v>135</v>
      </c>
      <c r="C71" s="130">
        <f>SUM(C72:C74)</f>
        <v>3818379.8021182953</v>
      </c>
      <c r="D71" s="117"/>
    </row>
    <row r="72" spans="2:4" x14ac:dyDescent="0.4">
      <c r="B72" s="96" t="s">
        <v>132</v>
      </c>
      <c r="C72" s="149">
        <f>C33</f>
        <v>1321373.1630740156</v>
      </c>
      <c r="D72" s="114" t="s">
        <v>237</v>
      </c>
    </row>
    <row r="73" spans="2:4" x14ac:dyDescent="0.4">
      <c r="B73" s="96" t="s">
        <v>133</v>
      </c>
      <c r="C73" s="149">
        <f>C50</f>
        <v>2497006.6390442797</v>
      </c>
      <c r="D73" s="114" t="s">
        <v>238</v>
      </c>
    </row>
    <row r="74" spans="2:4" x14ac:dyDescent="0.4">
      <c r="B74" s="96" t="s">
        <v>134</v>
      </c>
      <c r="C74" s="149">
        <f>C62</f>
        <v>0</v>
      </c>
      <c r="D74" s="116" t="s">
        <v>184</v>
      </c>
    </row>
    <row r="75" spans="2:4" x14ac:dyDescent="0.4">
      <c r="B75" s="85"/>
      <c r="C75" s="150"/>
    </row>
    <row r="76" spans="2:4" x14ac:dyDescent="0.4">
      <c r="B76" s="94" t="s">
        <v>139</v>
      </c>
      <c r="C76" s="130">
        <f>SUM(C77:C79)</f>
        <v>14334293.881287361</v>
      </c>
      <c r="D76" s="110"/>
    </row>
    <row r="77" spans="2:4" x14ac:dyDescent="0.4">
      <c r="B77" s="96" t="s">
        <v>136</v>
      </c>
      <c r="C77" s="149">
        <f>C34</f>
        <v>192003.2621686958</v>
      </c>
      <c r="D77" s="114" t="s">
        <v>239</v>
      </c>
    </row>
    <row r="78" spans="2:4" x14ac:dyDescent="0.4">
      <c r="B78" s="96" t="s">
        <v>137</v>
      </c>
      <c r="C78" s="149">
        <f>C51</f>
        <v>1418205.9137460487</v>
      </c>
      <c r="D78" s="114" t="s">
        <v>240</v>
      </c>
    </row>
    <row r="79" spans="2:4" x14ac:dyDescent="0.4">
      <c r="B79" s="96" t="s">
        <v>138</v>
      </c>
      <c r="C79" s="149">
        <f>C63</f>
        <v>12724084.705372617</v>
      </c>
      <c r="D79" s="116" t="s">
        <v>183</v>
      </c>
    </row>
    <row r="80" spans="2:4" x14ac:dyDescent="0.4">
      <c r="B80" s="85"/>
      <c r="C80" s="150"/>
    </row>
    <row r="81" spans="2:6" x14ac:dyDescent="0.4">
      <c r="B81" s="94" t="s">
        <v>12</v>
      </c>
      <c r="C81" s="146">
        <f>SUM(C82:C84)</f>
        <v>108431336.71669798</v>
      </c>
      <c r="D81" s="110"/>
    </row>
    <row r="82" spans="2:6" x14ac:dyDescent="0.4">
      <c r="B82" s="96" t="s">
        <v>140</v>
      </c>
      <c r="C82" s="149">
        <f>C35</f>
        <v>0</v>
      </c>
      <c r="D82" s="114" t="s">
        <v>241</v>
      </c>
    </row>
    <row r="83" spans="2:6" x14ac:dyDescent="0.4">
      <c r="B83" s="96" t="s">
        <v>141</v>
      </c>
      <c r="C83" s="149">
        <f>C52</f>
        <v>480202.07631667785</v>
      </c>
      <c r="D83" s="114" t="s">
        <v>242</v>
      </c>
    </row>
    <row r="84" spans="2:6" x14ac:dyDescent="0.4">
      <c r="B84" s="96" t="s">
        <v>142</v>
      </c>
      <c r="C84" s="149">
        <f>C64</f>
        <v>107951134.64038129</v>
      </c>
      <c r="D84" s="116" t="s">
        <v>182</v>
      </c>
    </row>
    <row r="86" spans="2:6" ht="16.3" x14ac:dyDescent="0.4">
      <c r="B86" s="41" t="s">
        <v>185</v>
      </c>
    </row>
    <row r="87" spans="2:6" ht="16.3" x14ac:dyDescent="0.4">
      <c r="B87" s="41" t="s">
        <v>94</v>
      </c>
      <c r="F87" s="53">
        <v>2</v>
      </c>
    </row>
    <row r="88" spans="2:6" ht="16.3" x14ac:dyDescent="0.4">
      <c r="B88" s="41" t="s">
        <v>95</v>
      </c>
    </row>
    <row r="89" spans="2:6" x14ac:dyDescent="0.4">
      <c r="B89" s="41"/>
    </row>
    <row r="90" spans="2:6" ht="92.5" customHeight="1" x14ac:dyDescent="0.4">
      <c r="B90" s="191" t="str">
        <f>"Disclaimer: " &amp;rDisclaimer</f>
        <v xml:space="preserve">Disclaimer: Disclaimer and Understanding All information contained in this draft Calculation Guide and Worksheet pertaining to the Extended Day-Ahead Market (EDAM) Access Charge, and as provided by the California Independent System Operator Corporation (ISO), is prepared for discussion and information purposes only. 
The draft Calculation Guide and Worksheet is provided “as is” without representation or warranty of any kind, including, without limitation, a representation or warranty as to accuracy, completeness, or appropriateness for any particular purpose. The draft Calculation Guide and Worksheet shall be revised as the development and review of the EDAM Access Charge settlement continues. The ISO assumes no responsibility for the consequences of any errors or omissions. The ISO may revise or withdraw all or part of this information at any time at its discretion without notice.
</v>
      </c>
      <c r="C90" s="191"/>
      <c r="D90" s="191"/>
    </row>
    <row r="96" spans="2:6" x14ac:dyDescent="0.4">
      <c r="B96" s="85"/>
      <c r="C96" s="134"/>
      <c r="D96" s="118"/>
    </row>
  </sheetData>
  <mergeCells count="1">
    <mergeCell ref="B90:D90"/>
  </mergeCells>
  <conditionalFormatting sqref="D11:D13">
    <cfRule type="expression" dxfId="3" priority="5">
      <formula>LEN($D$11:$D$13)&gt;0</formula>
    </cfRule>
  </conditionalFormatting>
  <conditionalFormatting sqref="D40:D42">
    <cfRule type="expression" dxfId="2" priority="3">
      <formula>LEN($D$40:$D$42)&gt;0</formula>
    </cfRule>
  </conditionalFormatting>
  <conditionalFormatting sqref="D23:D25">
    <cfRule type="expression" dxfId="1" priority="1">
      <formula>LEN($D$40:$D$42)&gt;0</formula>
    </cfRule>
  </conditionalFormatting>
  <pageMargins left="0.7" right="0.7" top="0.75" bottom="0.75" header="0.3" footer="0.3"/>
  <pageSetup scale="54" orientation="portrait" r:id="rId1"/>
  <extLst>
    <ext xmlns:x14="http://schemas.microsoft.com/office/spreadsheetml/2009/9/main" uri="{78C0D931-6437-407d-A8EE-F0AAD7539E65}">
      <x14:conditionalFormattings>
        <x14:conditionalFormatting xmlns:xm="http://schemas.microsoft.com/office/excel/2006/main">
          <x14:cfRule type="expression" priority="4" id="{0C361AB0-7FEA-49AA-AA93-8B16E2948A3E}">
            <xm:f>'comp 1'!C26&lt;0</xm:f>
            <x14:dxf>
              <font>
                <color rgb="FFFF0000"/>
              </font>
            </x14:dxf>
          </x14:cfRule>
          <xm:sqref>D40:D42 D23:D25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4"/>
  <sheetViews>
    <sheetView showGridLines="0" zoomScale="115" zoomScaleNormal="115" zoomScaleSheetLayoutView="115" workbookViewId="0">
      <pane ySplit="2" topLeftCell="A3" activePane="bottomLeft" state="frozen"/>
      <selection pane="bottomLeft" activeCell="B13" sqref="B13"/>
    </sheetView>
  </sheetViews>
  <sheetFormatPr defaultRowHeight="14.6" x14ac:dyDescent="0.4"/>
  <cols>
    <col min="1" max="1" width="4.15234375" customWidth="1"/>
    <col min="2" max="2" width="66.69140625" style="53" customWidth="1"/>
    <col min="3" max="3" width="13.53515625" style="53" bestFit="1" customWidth="1"/>
    <col min="4" max="4" width="53.921875" style="164" customWidth="1"/>
  </cols>
  <sheetData>
    <row r="1" spans="2:4" ht="21" x14ac:dyDescent="0.4">
      <c r="B1" s="39" t="s">
        <v>68</v>
      </c>
      <c r="C1" s="40"/>
      <c r="D1" s="153"/>
    </row>
    <row r="2" spans="2:4" x14ac:dyDescent="0.4">
      <c r="C2" s="42" t="s">
        <v>54</v>
      </c>
      <c r="D2" s="154" t="s">
        <v>53</v>
      </c>
    </row>
    <row r="3" spans="2:4" x14ac:dyDescent="0.4">
      <c r="B3" s="43" t="s">
        <v>21</v>
      </c>
      <c r="C3" s="44">
        <f>C4+C33+C34+C36</f>
        <v>7015</v>
      </c>
      <c r="D3" s="155"/>
    </row>
    <row r="4" spans="2:4" ht="29.15" x14ac:dyDescent="0.4">
      <c r="B4" s="54" t="s">
        <v>14</v>
      </c>
      <c r="C4" s="45">
        <f>C5+C29+C30+C32</f>
        <v>2725</v>
      </c>
      <c r="D4" s="156" t="s">
        <v>70</v>
      </c>
    </row>
    <row r="5" spans="2:4" x14ac:dyDescent="0.4">
      <c r="B5" s="55" t="s">
        <v>55</v>
      </c>
      <c r="C5" s="47">
        <f>C11+C16+C21+C27</f>
        <v>2415</v>
      </c>
      <c r="D5" s="157" t="s">
        <v>20</v>
      </c>
    </row>
    <row r="6" spans="2:4" x14ac:dyDescent="0.4">
      <c r="B6" s="56" t="s">
        <v>64</v>
      </c>
      <c r="C6" s="47"/>
      <c r="D6" s="158"/>
    </row>
    <row r="7" spans="2:4" x14ac:dyDescent="0.4">
      <c r="B7" s="58" t="s">
        <v>56</v>
      </c>
      <c r="C7" s="47">
        <v>6300</v>
      </c>
      <c r="D7" s="158" t="s">
        <v>18</v>
      </c>
    </row>
    <row r="8" spans="2:4" x14ac:dyDescent="0.4">
      <c r="B8" s="58" t="s">
        <v>57</v>
      </c>
      <c r="C8" s="47">
        <v>3360</v>
      </c>
      <c r="D8" s="158" t="s">
        <v>19</v>
      </c>
    </row>
    <row r="9" spans="2:4" ht="29.15" x14ac:dyDescent="0.4">
      <c r="B9" s="58" t="s">
        <v>58</v>
      </c>
      <c r="C9" s="47">
        <f>MIN(C7,C8)</f>
        <v>3360</v>
      </c>
      <c r="D9" s="158" t="s">
        <v>81</v>
      </c>
    </row>
    <row r="10" spans="2:4" x14ac:dyDescent="0.4">
      <c r="B10" s="58"/>
      <c r="C10" s="47"/>
      <c r="D10" s="158"/>
    </row>
    <row r="11" spans="2:4" ht="43.75" x14ac:dyDescent="0.4">
      <c r="B11" s="59" t="s">
        <v>59</v>
      </c>
      <c r="C11" s="48">
        <f>MAX(0,C9-MAX(0,(C7-C8)))</f>
        <v>420</v>
      </c>
      <c r="D11" s="158" t="s">
        <v>80</v>
      </c>
    </row>
    <row r="12" spans="2:4" x14ac:dyDescent="0.4">
      <c r="B12" s="56" t="s">
        <v>65</v>
      </c>
      <c r="C12" s="47"/>
      <c r="D12" s="158"/>
    </row>
    <row r="13" spans="2:4" x14ac:dyDescent="0.4">
      <c r="B13" s="58" t="s">
        <v>56</v>
      </c>
      <c r="C13" s="47">
        <v>1890</v>
      </c>
      <c r="D13" s="157" t="s">
        <v>63</v>
      </c>
    </row>
    <row r="14" spans="2:4" x14ac:dyDescent="0.4">
      <c r="B14" s="58" t="s">
        <v>57</v>
      </c>
      <c r="C14" s="47">
        <v>3360</v>
      </c>
      <c r="D14" s="157"/>
    </row>
    <row r="15" spans="2:4" x14ac:dyDescent="0.4">
      <c r="B15" s="58" t="s">
        <v>58</v>
      </c>
      <c r="C15" s="47">
        <f>MIN(C13,C14)</f>
        <v>1890</v>
      </c>
      <c r="D15" s="157"/>
    </row>
    <row r="16" spans="2:4" x14ac:dyDescent="0.4">
      <c r="B16" s="59" t="s">
        <v>59</v>
      </c>
      <c r="C16" s="48">
        <f>MAX(0,C15-MAX(0,(C13-C14)))</f>
        <v>1890</v>
      </c>
      <c r="D16" s="157"/>
    </row>
    <row r="17" spans="2:4" x14ac:dyDescent="0.4">
      <c r="B17" s="56" t="s">
        <v>66</v>
      </c>
      <c r="C17" s="47"/>
      <c r="D17" s="157"/>
    </row>
    <row r="18" spans="2:4" x14ac:dyDescent="0.4">
      <c r="B18" s="58" t="s">
        <v>56</v>
      </c>
      <c r="C18" s="47">
        <v>5985</v>
      </c>
      <c r="D18" s="157" t="s">
        <v>63</v>
      </c>
    </row>
    <row r="19" spans="2:4" x14ac:dyDescent="0.4">
      <c r="B19" s="58" t="s">
        <v>57</v>
      </c>
      <c r="C19" s="47">
        <v>2940</v>
      </c>
      <c r="D19" s="158"/>
    </row>
    <row r="20" spans="2:4" x14ac:dyDescent="0.4">
      <c r="B20" s="58" t="s">
        <v>58</v>
      </c>
      <c r="C20" s="47">
        <f>MIN(C18,C19)</f>
        <v>2940</v>
      </c>
      <c r="D20" s="158"/>
    </row>
    <row r="21" spans="2:4" x14ac:dyDescent="0.4">
      <c r="B21" s="59" t="s">
        <v>59</v>
      </c>
      <c r="C21" s="48">
        <f>MAX(0,C20-MAX(0,(C18-C19)))</f>
        <v>0</v>
      </c>
      <c r="D21" s="158"/>
    </row>
    <row r="22" spans="2:4" ht="29.15" x14ac:dyDescent="0.4">
      <c r="B22" s="56" t="s">
        <v>13</v>
      </c>
      <c r="C22" s="47"/>
      <c r="D22" s="159" t="s">
        <v>87</v>
      </c>
    </row>
    <row r="23" spans="2:4" x14ac:dyDescent="0.4">
      <c r="B23" s="56" t="s">
        <v>67</v>
      </c>
      <c r="C23" s="47"/>
      <c r="D23" s="160"/>
    </row>
    <row r="24" spans="2:4" x14ac:dyDescent="0.4">
      <c r="B24" s="58" t="s">
        <v>56</v>
      </c>
      <c r="C24" s="47">
        <v>7875</v>
      </c>
      <c r="D24" s="159" t="s">
        <v>63</v>
      </c>
    </row>
    <row r="25" spans="2:4" x14ac:dyDescent="0.4">
      <c r="B25" s="58" t="s">
        <v>57</v>
      </c>
      <c r="C25" s="47">
        <v>3990</v>
      </c>
      <c r="D25" s="160"/>
    </row>
    <row r="26" spans="2:4" x14ac:dyDescent="0.4">
      <c r="B26" s="58" t="s">
        <v>58</v>
      </c>
      <c r="C26" s="47">
        <f>MIN(C24,C25)</f>
        <v>3990</v>
      </c>
      <c r="D26" s="160"/>
    </row>
    <row r="27" spans="2:4" x14ac:dyDescent="0.4">
      <c r="B27" s="59" t="s">
        <v>59</v>
      </c>
      <c r="C27" s="48">
        <f>MAX(0,C26-MAX(0,(C24-C25)))</f>
        <v>105</v>
      </c>
      <c r="D27" s="160"/>
    </row>
    <row r="28" spans="2:4" x14ac:dyDescent="0.4">
      <c r="B28" s="46"/>
      <c r="C28" s="47"/>
      <c r="D28" s="161"/>
    </row>
    <row r="29" spans="2:4" x14ac:dyDescent="0.4">
      <c r="B29" s="60" t="s">
        <v>60</v>
      </c>
      <c r="C29" s="50">
        <v>85</v>
      </c>
      <c r="D29" s="160"/>
    </row>
    <row r="30" spans="2:4" x14ac:dyDescent="0.4">
      <c r="B30" s="60" t="s">
        <v>61</v>
      </c>
      <c r="C30" s="50">
        <v>225</v>
      </c>
      <c r="D30" s="160"/>
    </row>
    <row r="31" spans="2:4" ht="29.15" x14ac:dyDescent="0.4">
      <c r="B31" s="57" t="s">
        <v>13</v>
      </c>
      <c r="C31" s="48"/>
      <c r="D31" s="159" t="s">
        <v>86</v>
      </c>
    </row>
    <row r="32" spans="2:4" x14ac:dyDescent="0.4">
      <c r="B32" s="60" t="s">
        <v>62</v>
      </c>
      <c r="C32" s="50">
        <v>0</v>
      </c>
      <c r="D32" s="160"/>
    </row>
    <row r="33" spans="2:4" x14ac:dyDescent="0.4">
      <c r="B33" s="61" t="s">
        <v>15</v>
      </c>
      <c r="C33" s="45">
        <v>325</v>
      </c>
      <c r="D33" s="160"/>
    </row>
    <row r="34" spans="2:4" x14ac:dyDescent="0.4">
      <c r="B34" s="61" t="s">
        <v>16</v>
      </c>
      <c r="C34" s="45">
        <v>1690</v>
      </c>
      <c r="D34" s="160"/>
    </row>
    <row r="35" spans="2:4" ht="29.15" x14ac:dyDescent="0.4">
      <c r="B35" s="55" t="s">
        <v>13</v>
      </c>
      <c r="C35" s="47"/>
      <c r="D35" s="159" t="s">
        <v>85</v>
      </c>
    </row>
    <row r="36" spans="2:4" x14ac:dyDescent="0.4">
      <c r="B36" s="61" t="s">
        <v>17</v>
      </c>
      <c r="C36" s="45">
        <v>2275</v>
      </c>
      <c r="D36" s="158"/>
    </row>
    <row r="37" spans="2:4" x14ac:dyDescent="0.4">
      <c r="B37" s="41"/>
      <c r="C37" s="51"/>
      <c r="D37" s="158"/>
    </row>
    <row r="38" spans="2:4" x14ac:dyDescent="0.4">
      <c r="B38" s="41" t="s">
        <v>25</v>
      </c>
      <c r="C38" s="151">
        <v>325745982</v>
      </c>
      <c r="D38" s="158"/>
    </row>
    <row r="39" spans="2:4" x14ac:dyDescent="0.4">
      <c r="B39" s="41" t="s">
        <v>26</v>
      </c>
      <c r="C39" s="151">
        <v>588739980</v>
      </c>
      <c r="D39" s="158"/>
    </row>
    <row r="40" spans="2:4" x14ac:dyDescent="0.4">
      <c r="B40" s="41" t="s">
        <v>27</v>
      </c>
      <c r="C40" s="151">
        <v>858147422</v>
      </c>
      <c r="D40" s="158"/>
    </row>
    <row r="41" spans="2:4" x14ac:dyDescent="0.4">
      <c r="B41" s="41"/>
      <c r="C41" s="52"/>
      <c r="D41" s="158"/>
    </row>
    <row r="42" spans="2:4" ht="16.3" x14ac:dyDescent="0.4">
      <c r="B42" s="41" t="s">
        <v>69</v>
      </c>
      <c r="C42" s="152">
        <v>11.6304</v>
      </c>
    </row>
    <row r="43" spans="2:4" x14ac:dyDescent="0.4">
      <c r="C43" s="49"/>
      <c r="D43" s="158"/>
    </row>
    <row r="44" spans="2:4" ht="30.9" x14ac:dyDescent="0.4">
      <c r="B44" s="64" t="s">
        <v>186</v>
      </c>
      <c r="C44" s="90">
        <f>C3*C42</f>
        <v>81587.255999999994</v>
      </c>
      <c r="D44" s="162" t="s">
        <v>190</v>
      </c>
    </row>
    <row r="45" spans="2:4" x14ac:dyDescent="0.4">
      <c r="B45" s="64"/>
      <c r="C45" s="90"/>
      <c r="D45" s="162"/>
    </row>
    <row r="46" spans="2:4" ht="29.15" x14ac:dyDescent="0.4">
      <c r="B46" s="65" t="s">
        <v>188</v>
      </c>
      <c r="C46" s="86">
        <f>$C$44*C38/(SUM($C$38:$C$40))</f>
        <v>14992.790423722152</v>
      </c>
      <c r="D46" s="163" t="s">
        <v>82</v>
      </c>
    </row>
    <row r="47" spans="2:4" ht="29.15" x14ac:dyDescent="0.4">
      <c r="B47" s="65" t="s">
        <v>187</v>
      </c>
      <c r="C47" s="86">
        <f>$C$44*C39/(SUM($C$38:$C$40))</f>
        <v>27097.356903718832</v>
      </c>
      <c r="D47" s="163" t="s">
        <v>83</v>
      </c>
    </row>
    <row r="48" spans="2:4" ht="29.15" x14ac:dyDescent="0.4">
      <c r="B48" s="65" t="s">
        <v>189</v>
      </c>
      <c r="C48" s="86">
        <f>$C$44*C40/(SUM($C$38:$C$40))</f>
        <v>39497.108672559007</v>
      </c>
      <c r="D48" s="163" t="s">
        <v>84</v>
      </c>
    </row>
    <row r="50" spans="2:4" ht="16.3" x14ac:dyDescent="0.4">
      <c r="B50" s="41" t="s">
        <v>88</v>
      </c>
    </row>
    <row r="51" spans="2:4" x14ac:dyDescent="0.4">
      <c r="B51" s="177" t="s">
        <v>245</v>
      </c>
    </row>
    <row r="52" spans="2:4" x14ac:dyDescent="0.4">
      <c r="B52" s="192" t="s">
        <v>89</v>
      </c>
      <c r="C52" s="192"/>
      <c r="D52" s="192"/>
    </row>
    <row r="54" spans="2:4" ht="109.5" customHeight="1" x14ac:dyDescent="0.4">
      <c r="B54" s="191" t="str">
        <f>"Disclaimer: " &amp;rDisclaimer</f>
        <v xml:space="preserve">Disclaimer: Disclaimer and Understanding All information contained in this draft Calculation Guide and Worksheet pertaining to the Extended Day-Ahead Market (EDAM) Access Charge, and as provided by the California Independent System Operator Corporation (ISO), is prepared for discussion and information purposes only. 
The draft Calculation Guide and Worksheet is provided “as is” without representation or warranty of any kind, including, without limitation, a representation or warranty as to accuracy, completeness, or appropriateness for any particular purpose. The draft Calculation Guide and Worksheet shall be revised as the development and review of the EDAM Access Charge settlement continues. The ISO assumes no responsibility for the consequences of any errors or omissions. The ISO may revise or withdraw all or part of this information at any time at its discretion without notice.
</v>
      </c>
      <c r="C54" s="191"/>
      <c r="D54" s="191"/>
    </row>
  </sheetData>
  <mergeCells count="2">
    <mergeCell ref="B52:D52"/>
    <mergeCell ref="B54:D54"/>
  </mergeCells>
  <pageMargins left="0.7" right="0.7" top="0.75" bottom="0.75" header="0.3" footer="0.3"/>
  <pageSetup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zoomScaleNormal="100" zoomScaleSheetLayoutView="115" workbookViewId="0">
      <selection activeCell="D10" sqref="D10"/>
    </sheetView>
  </sheetViews>
  <sheetFormatPr defaultRowHeight="14.6" x14ac:dyDescent="0.4"/>
  <cols>
    <col min="1" max="1" width="2.07421875" customWidth="1"/>
    <col min="2" max="5" width="16.53515625" customWidth="1"/>
    <col min="6" max="12" width="14.3828125" customWidth="1"/>
  </cols>
  <sheetData>
    <row r="1" spans="1:12" ht="18.45" x14ac:dyDescent="0.5">
      <c r="B1" s="20" t="s">
        <v>79</v>
      </c>
      <c r="C1" s="20"/>
      <c r="D1" s="20"/>
      <c r="E1" s="20"/>
      <c r="F1" s="21"/>
      <c r="G1" s="21"/>
      <c r="H1" s="21"/>
      <c r="I1" s="22"/>
      <c r="J1" s="22"/>
      <c r="K1" s="22"/>
      <c r="L1" s="22"/>
    </row>
    <row r="2" spans="1:12" ht="2.0499999999999998" customHeight="1" thickBot="1" x14ac:dyDescent="0.45">
      <c r="F2" s="1"/>
      <c r="G2" s="1"/>
      <c r="H2" s="1"/>
    </row>
    <row r="3" spans="1:12" x14ac:dyDescent="0.4">
      <c r="C3" s="33" t="s">
        <v>73</v>
      </c>
      <c r="D3" s="34"/>
      <c r="E3" s="35"/>
      <c r="F3" s="33" t="s">
        <v>74</v>
      </c>
      <c r="G3" s="34"/>
      <c r="H3" s="35"/>
      <c r="I3" s="33" t="s">
        <v>75</v>
      </c>
      <c r="J3" s="36"/>
      <c r="K3" s="37"/>
      <c r="L3" s="38" t="s">
        <v>217</v>
      </c>
    </row>
    <row r="4" spans="1:12" ht="15" thickBot="1" x14ac:dyDescent="0.45">
      <c r="C4" s="9" t="s">
        <v>71</v>
      </c>
      <c r="D4" s="10" t="s">
        <v>72</v>
      </c>
      <c r="E4" s="11" t="s">
        <v>1</v>
      </c>
      <c r="F4" s="9" t="s">
        <v>71</v>
      </c>
      <c r="G4" s="10" t="s">
        <v>72</v>
      </c>
      <c r="H4" s="11" t="s">
        <v>1</v>
      </c>
      <c r="I4" s="9" t="s">
        <v>71</v>
      </c>
      <c r="J4" s="10" t="s">
        <v>72</v>
      </c>
      <c r="K4" s="11" t="s">
        <v>1</v>
      </c>
      <c r="L4" s="12" t="s">
        <v>71</v>
      </c>
    </row>
    <row r="5" spans="1:12" x14ac:dyDescent="0.4">
      <c r="B5" s="15" t="s">
        <v>0</v>
      </c>
      <c r="C5" s="16">
        <f>SUM(C6:C10)</f>
        <v>130905285.78442703</v>
      </c>
      <c r="D5" s="17">
        <f>C5*0.9375</f>
        <v>122723705.42290035</v>
      </c>
      <c r="E5" s="166"/>
      <c r="F5" s="16">
        <f>SUM(F6:F10)</f>
        <v>139168453.4019537</v>
      </c>
      <c r="G5" s="17">
        <f>F5*1.0475</f>
        <v>145778954.93854651</v>
      </c>
      <c r="H5" s="18"/>
      <c r="I5" s="16">
        <f>SUM(I6:I10)</f>
        <v>124409750.42410746</v>
      </c>
      <c r="J5" s="17">
        <f>I5*1.03875</f>
        <v>129230628.25304164</v>
      </c>
      <c r="K5" s="18"/>
      <c r="L5" s="19">
        <f>SUM(L6:L10)</f>
        <v>126198133.87193324</v>
      </c>
    </row>
    <row r="6" spans="1:12" ht="16.3" x14ac:dyDescent="0.4">
      <c r="B6" s="13" t="s">
        <v>76</v>
      </c>
      <c r="C6" s="25">
        <f>comp1CISO+'comp 1'!C56</f>
        <v>4321275.3843234014</v>
      </c>
      <c r="D6" s="176">
        <f>(D$5-D$8)*C6/SUM($C$6:$C$7)</f>
        <v>4048502.4202052159</v>
      </c>
      <c r="E6" s="167"/>
      <c r="F6" s="25">
        <f>comp1CISO+'comp 1'!C56</f>
        <v>4321275.3843234014</v>
      </c>
      <c r="G6" s="6">
        <f>G$5*F6/SUM(F$6:F$8)</f>
        <v>4809268.2488412941</v>
      </c>
      <c r="H6" s="27"/>
      <c r="I6" s="25">
        <f>comp1CISO</f>
        <v>4345440.8212560387</v>
      </c>
      <c r="J6" s="6">
        <f>J$5*I6/SUM(I$6:I$8)</f>
        <v>4286085.8452308057</v>
      </c>
      <c r="K6" s="31"/>
      <c r="L6" s="26">
        <f>comp1CISO</f>
        <v>4345440.8212560387</v>
      </c>
    </row>
    <row r="7" spans="1:12" ht="16.75" thickBot="1" x14ac:dyDescent="0.45">
      <c r="B7" s="13" t="s">
        <v>77</v>
      </c>
      <c r="C7" s="25">
        <f>comp2CISO</f>
        <v>126584010.40010363</v>
      </c>
      <c r="D7" s="176">
        <f>(D$5-D$8)*C7/SUM($C$6:$C$7)</f>
        <v>118593615.74669513</v>
      </c>
      <c r="E7" s="169"/>
      <c r="F7" s="30">
        <f>comp2CISO</f>
        <v>126584010.40010363</v>
      </c>
      <c r="G7" s="29">
        <f t="shared" ref="G7:G8" si="0">G$5*F7/SUM(F$6:F$8)</f>
        <v>140878885.95036462</v>
      </c>
      <c r="H7" s="81"/>
      <c r="I7" s="30">
        <f>comp2CISO</f>
        <v>126584010.40010363</v>
      </c>
      <c r="J7" s="29">
        <f t="shared" ref="J7:J8" si="1">J$5*I7/SUM(I$6:I$8)</f>
        <v>124854981.92830308</v>
      </c>
      <c r="K7" s="82"/>
      <c r="L7" s="32">
        <f>comp2CISO</f>
        <v>126584010.40010363</v>
      </c>
    </row>
    <row r="8" spans="1:12" ht="16.75" thickBot="1" x14ac:dyDescent="0.45">
      <c r="B8" s="13" t="s">
        <v>78</v>
      </c>
      <c r="C8" s="175">
        <v>0</v>
      </c>
      <c r="D8" s="171">
        <f>comp3CISO</f>
        <v>81587.255999999994</v>
      </c>
      <c r="E8" s="172"/>
      <c r="F8" s="173">
        <f>comp3CISO</f>
        <v>81587.255999999994</v>
      </c>
      <c r="G8" s="76">
        <f t="shared" si="0"/>
        <v>90800.739340596774</v>
      </c>
      <c r="H8" s="78"/>
      <c r="I8" s="77">
        <f>G8</f>
        <v>90800.739340596774</v>
      </c>
      <c r="J8" s="76">
        <f t="shared" si="1"/>
        <v>89560.47950774584</v>
      </c>
      <c r="K8" s="80"/>
      <c r="L8" s="79">
        <f>J8</f>
        <v>89560.47950774584</v>
      </c>
    </row>
    <row r="9" spans="1:12" ht="0.55000000000000004" customHeight="1" thickBot="1" x14ac:dyDescent="0.45">
      <c r="B9" s="71"/>
      <c r="C9" s="70"/>
      <c r="D9" s="170"/>
      <c r="E9" s="170"/>
      <c r="F9" s="170"/>
      <c r="G9" s="68"/>
      <c r="H9" s="73"/>
      <c r="I9" s="72"/>
      <c r="J9" s="68"/>
      <c r="K9" s="74"/>
      <c r="L9" s="72"/>
    </row>
    <row r="10" spans="1:12" ht="16.75" thickBot="1" x14ac:dyDescent="0.45">
      <c r="B10" s="14" t="s">
        <v>90</v>
      </c>
      <c r="C10" s="174">
        <v>0</v>
      </c>
      <c r="D10" s="168"/>
      <c r="E10" s="69">
        <f>C5-D5</f>
        <v>8181580.361526683</v>
      </c>
      <c r="F10" s="67">
        <f>E10</f>
        <v>8181580.361526683</v>
      </c>
      <c r="G10" s="68"/>
      <c r="H10" s="69">
        <f>F5-G5</f>
        <v>-6610501.5365928113</v>
      </c>
      <c r="I10" s="67">
        <f>H10</f>
        <v>-6610501.5365928113</v>
      </c>
      <c r="J10" s="68"/>
      <c r="K10" s="66">
        <f>I5-J5</f>
        <v>-4820877.8289341778</v>
      </c>
      <c r="L10" s="67">
        <f>K10</f>
        <v>-4820877.8289341778</v>
      </c>
    </row>
    <row r="11" spans="1:12" ht="5.5" customHeight="1" thickBot="1" x14ac:dyDescent="0.45">
      <c r="B11" s="2"/>
      <c r="C11" s="2"/>
      <c r="D11" s="2"/>
      <c r="E11" s="2"/>
      <c r="F11" s="3"/>
      <c r="G11" s="7"/>
      <c r="H11" s="3"/>
      <c r="I11" s="3"/>
      <c r="J11" s="7"/>
      <c r="K11" s="3"/>
      <c r="L11" s="3"/>
    </row>
    <row r="12" spans="1:12" x14ac:dyDescent="0.4">
      <c r="B12" s="15" t="s">
        <v>22</v>
      </c>
      <c r="C12" s="16">
        <f>SUM(C13:C17)</f>
        <v>6060827.7876880225</v>
      </c>
      <c r="D12" s="17">
        <f>C12*D$5/C$5</f>
        <v>5682026.0509575214</v>
      </c>
      <c r="E12" s="166"/>
      <c r="F12" s="16">
        <f>SUM(F13:F17)</f>
        <v>6454622.3148422455</v>
      </c>
      <c r="G12" s="17">
        <f>F12*G$5/(F$12+F$19+F$26)</f>
        <v>6761216.8747972511</v>
      </c>
      <c r="H12" s="18"/>
      <c r="I12" s="16">
        <f>SUM(I13:I17)</f>
        <v>5770917.3128388794</v>
      </c>
      <c r="J12" s="17">
        <f>I12*J$5/(I$12+I$19+I$26)</f>
        <v>5995705.1216895031</v>
      </c>
      <c r="K12" s="18"/>
      <c r="L12" s="19">
        <f>SUM(L13:L17)</f>
        <v>5852499.4867106332</v>
      </c>
    </row>
    <row r="13" spans="1:12" ht="16.3" x14ac:dyDescent="0.4">
      <c r="B13" s="13" t="s">
        <v>76</v>
      </c>
      <c r="C13" s="25">
        <f>comp1PTO1</f>
        <v>2242447.9855697267</v>
      </c>
      <c r="D13" s="176">
        <f>(D$12-D$15)*C13/SUM($C$13:$C$14)</f>
        <v>2096747.7982225085</v>
      </c>
      <c r="E13" s="167"/>
      <c r="F13" s="25">
        <f>comp1PTO1</f>
        <v>2242447.9855697267</v>
      </c>
      <c r="G13" s="6">
        <f>G$12*F13/(SUM(F$13:F$15))</f>
        <v>2495412.2601166596</v>
      </c>
      <c r="H13" s="27"/>
      <c r="I13" s="25">
        <f>comp1PTO1</f>
        <v>2242447.9855697267</v>
      </c>
      <c r="J13" s="6">
        <f>J$12*I13/(SUM(I$13:I$15))</f>
        <v>2212263.3659326625</v>
      </c>
      <c r="K13" s="31"/>
      <c r="L13" s="26">
        <f>comp1PTO1</f>
        <v>2242447.9855697267</v>
      </c>
    </row>
    <row r="14" spans="1:12" ht="16.75" thickBot="1" x14ac:dyDescent="0.45">
      <c r="B14" s="13" t="s">
        <v>77</v>
      </c>
      <c r="C14" s="25">
        <f>comp2PTO1</f>
        <v>3818379.8021182953</v>
      </c>
      <c r="D14" s="176">
        <f>(D$12-D$15)*C14/SUM($C$13:$C$14)</f>
        <v>3570285.4623112907</v>
      </c>
      <c r="E14" s="167"/>
      <c r="F14" s="25">
        <f>comp2PTO1</f>
        <v>3818379.8021182953</v>
      </c>
      <c r="G14" s="29">
        <f t="shared" ref="G14:G15" si="2">G$12*F14/(SUM(F$13:F$15))</f>
        <v>4249120.5295747286</v>
      </c>
      <c r="H14" s="81"/>
      <c r="I14" s="30">
        <f>comp2PTO1</f>
        <v>3818379.8021182953</v>
      </c>
      <c r="J14" s="29">
        <f t="shared" ref="J14:J15" si="3">J$12*I14/(SUM(I$13:I$15))</f>
        <v>3766982.2478836062</v>
      </c>
      <c r="K14" s="82"/>
      <c r="L14" s="32">
        <f>comp2PTO1</f>
        <v>3818379.8021182953</v>
      </c>
    </row>
    <row r="15" spans="1:12" ht="16.75" thickBot="1" x14ac:dyDescent="0.45">
      <c r="B15" s="13" t="s">
        <v>78</v>
      </c>
      <c r="C15" s="28">
        <v>0</v>
      </c>
      <c r="D15" s="76">
        <f>comp3PTO1</f>
        <v>14992.790423722152</v>
      </c>
      <c r="E15" s="78"/>
      <c r="F15" s="77">
        <f>comp3PTO1</f>
        <v>14992.790423722152</v>
      </c>
      <c r="G15" s="76">
        <f t="shared" si="2"/>
        <v>16684.085105862796</v>
      </c>
      <c r="H15" s="78"/>
      <c r="I15" s="77">
        <f>G15</f>
        <v>16684.085105862796</v>
      </c>
      <c r="J15" s="76">
        <f t="shared" si="3"/>
        <v>16459.507873234175</v>
      </c>
      <c r="K15" s="80"/>
      <c r="L15" s="79">
        <f>J15</f>
        <v>16459.507873234175</v>
      </c>
    </row>
    <row r="16" spans="1:12" ht="0.55000000000000004" customHeight="1" thickBot="1" x14ac:dyDescent="0.45">
      <c r="A16" s="75"/>
      <c r="B16" s="71"/>
      <c r="C16" s="70"/>
      <c r="D16" s="70"/>
      <c r="E16" s="70"/>
      <c r="F16" s="70"/>
      <c r="G16" s="68"/>
      <c r="H16" s="73"/>
      <c r="I16" s="72"/>
      <c r="J16" s="68"/>
      <c r="K16" s="74"/>
      <c r="L16" s="72"/>
    </row>
    <row r="17" spans="2:12" ht="16.75" thickBot="1" x14ac:dyDescent="0.45">
      <c r="B17" s="14" t="s">
        <v>90</v>
      </c>
      <c r="C17" s="24">
        <v>0</v>
      </c>
      <c r="D17" s="168"/>
      <c r="E17" s="69">
        <f>C12-D12</f>
        <v>378801.73673050106</v>
      </c>
      <c r="F17" s="67">
        <f>E17</f>
        <v>378801.73673050106</v>
      </c>
      <c r="G17" s="68"/>
      <c r="H17" s="69">
        <f>F12-G12</f>
        <v>-306594.55995500553</v>
      </c>
      <c r="I17" s="67">
        <f>H17</f>
        <v>-306594.55995500553</v>
      </c>
      <c r="J17" s="68"/>
      <c r="K17" s="66">
        <f>I12-J12</f>
        <v>-224787.80885062367</v>
      </c>
      <c r="L17" s="67">
        <f>K17</f>
        <v>-224787.80885062367</v>
      </c>
    </row>
    <row r="18" spans="2:12" ht="6" customHeight="1" thickBot="1" x14ac:dyDescent="0.45">
      <c r="G18" s="8"/>
      <c r="J18" s="8"/>
    </row>
    <row r="19" spans="2:12" x14ac:dyDescent="0.4">
      <c r="B19" s="15" t="s">
        <v>23</v>
      </c>
      <c r="C19" s="16">
        <f>SUM(C20:C24)</f>
        <v>15240723.827143759</v>
      </c>
      <c r="D19" s="17">
        <f>C19*D$5/C$5</f>
        <v>14288178.587947274</v>
      </c>
      <c r="E19" s="166"/>
      <c r="F19" s="16">
        <f>SUM(F20:F24)</f>
        <v>16220366.423243962</v>
      </c>
      <c r="G19" s="17">
        <f>F19*G$5/(F$12+F$19+F$26)</f>
        <v>16990833.828348048</v>
      </c>
      <c r="H19" s="18"/>
      <c r="I19" s="16">
        <f>SUM(I20:I24)</f>
        <v>14500411.784929276</v>
      </c>
      <c r="J19" s="17">
        <f>I19*J$5/(I$12+I$19+I$26)</f>
        <v>15065229.406785402</v>
      </c>
      <c r="K19" s="18"/>
      <c r="L19" s="19">
        <f>SUM(L20:L24)</f>
        <v>14705655.472119186</v>
      </c>
    </row>
    <row r="20" spans="2:12" ht="16.3" x14ac:dyDescent="0.4">
      <c r="B20" s="13" t="s">
        <v>76</v>
      </c>
      <c r="C20" s="25">
        <f>comp1PTO2</f>
        <v>906429.94585639762</v>
      </c>
      <c r="D20" s="176">
        <f>(D$19-D$22)*C20/SUM($C$20:$C$21)</f>
        <v>848166.48045849847</v>
      </c>
      <c r="E20" s="167"/>
      <c r="F20" s="25">
        <f>comp1PTO2</f>
        <v>906429.94585639762</v>
      </c>
      <c r="G20" s="6">
        <f>G$19*F20/(SUM(F$20:F$22))</f>
        <v>1008722.8820295751</v>
      </c>
      <c r="H20" s="27"/>
      <c r="I20" s="25">
        <f>comp1PTO2</f>
        <v>906429.94585639762</v>
      </c>
      <c r="J20" s="6">
        <f>J$19*I20/(SUM(I$20:I$22))</f>
        <v>894223.24055965955</v>
      </c>
      <c r="K20" s="31"/>
      <c r="L20" s="26">
        <f>comp1PTO2</f>
        <v>906429.94585639762</v>
      </c>
    </row>
    <row r="21" spans="2:12" ht="16.75" thickBot="1" x14ac:dyDescent="0.45">
      <c r="B21" s="13" t="s">
        <v>77</v>
      </c>
      <c r="C21" s="25">
        <f>comp2PTO2</f>
        <v>14334293.881287361</v>
      </c>
      <c r="D21" s="176">
        <f>(D$19-D$22)*C21/SUM($C$20:$C$21)</f>
        <v>13412914.750585057</v>
      </c>
      <c r="E21" s="167"/>
      <c r="F21" s="25">
        <f>comp2PTO2</f>
        <v>14334293.881287361</v>
      </c>
      <c r="G21" s="29">
        <f t="shared" ref="G21:G22" si="4">G$19*F21/(SUM(F$20:F$22))</f>
        <v>15951955.583428869</v>
      </c>
      <c r="H21" s="81"/>
      <c r="I21" s="30">
        <f>comp2PTO2</f>
        <v>14334293.881287361</v>
      </c>
      <c r="J21" s="29">
        <f t="shared" ref="J21:J22" si="5">J$19*I21/(SUM(I$20:I$22))</f>
        <v>14141256.899394188</v>
      </c>
      <c r="K21" s="82"/>
      <c r="L21" s="32">
        <f>comp2PTO2</f>
        <v>14334293.881287361</v>
      </c>
    </row>
    <row r="22" spans="2:12" ht="16.75" thickBot="1" x14ac:dyDescent="0.45">
      <c r="B22" s="13" t="s">
        <v>78</v>
      </c>
      <c r="C22" s="28">
        <v>0</v>
      </c>
      <c r="D22" s="76">
        <f>comp3PTO2</f>
        <v>27097.356903718832</v>
      </c>
      <c r="E22" s="78"/>
      <c r="F22" s="77">
        <f>comp3PTO2</f>
        <v>27097.356903718832</v>
      </c>
      <c r="G22" s="76">
        <f t="shared" si="4"/>
        <v>30155.362889603432</v>
      </c>
      <c r="H22" s="78"/>
      <c r="I22" s="77">
        <f>G22</f>
        <v>30155.362889603432</v>
      </c>
      <c r="J22" s="76">
        <f t="shared" si="5"/>
        <v>29749.266831554731</v>
      </c>
      <c r="K22" s="80"/>
      <c r="L22" s="79">
        <f>J22</f>
        <v>29749.266831554731</v>
      </c>
    </row>
    <row r="23" spans="2:12" ht="0.55000000000000004" customHeight="1" thickBot="1" x14ac:dyDescent="0.45">
      <c r="B23" s="71"/>
      <c r="C23" s="70"/>
      <c r="D23" s="76">
        <f>comp3PTO1</f>
        <v>14992.790423722152</v>
      </c>
      <c r="E23" s="70"/>
      <c r="F23" s="70"/>
      <c r="G23" s="68"/>
      <c r="H23" s="73"/>
      <c r="I23" s="72"/>
      <c r="J23" s="68"/>
      <c r="K23" s="74"/>
      <c r="L23" s="72"/>
    </row>
    <row r="24" spans="2:12" ht="16.75" thickBot="1" x14ac:dyDescent="0.45">
      <c r="B24" s="14" t="s">
        <v>90</v>
      </c>
      <c r="C24" s="24">
        <v>0</v>
      </c>
      <c r="D24" s="168"/>
      <c r="E24" s="69">
        <f>C19-D19</f>
        <v>952545.23919648491</v>
      </c>
      <c r="F24" s="67">
        <f>E24</f>
        <v>952545.23919648491</v>
      </c>
      <c r="G24" s="68"/>
      <c r="H24" s="69">
        <f>F19-G19</f>
        <v>-770467.4051040858</v>
      </c>
      <c r="I24" s="67">
        <f>H24</f>
        <v>-770467.4051040858</v>
      </c>
      <c r="J24" s="68"/>
      <c r="K24" s="66">
        <f>I19-J19</f>
        <v>-564817.62185612693</v>
      </c>
      <c r="L24" s="67">
        <f>K24</f>
        <v>-564817.62185612693</v>
      </c>
    </row>
    <row r="25" spans="2:12" ht="6.55" customHeight="1" thickBot="1" x14ac:dyDescent="0.45">
      <c r="B25" s="2"/>
      <c r="C25" s="2"/>
      <c r="D25" s="2"/>
      <c r="E25" s="2"/>
      <c r="F25" s="3"/>
      <c r="G25" s="7"/>
      <c r="H25" s="3"/>
      <c r="I25" s="3"/>
      <c r="J25" s="7"/>
      <c r="K25" s="3"/>
      <c r="L25" s="3"/>
    </row>
    <row r="26" spans="2:12" x14ac:dyDescent="0.4">
      <c r="B26" s="15" t="s">
        <v>24</v>
      </c>
      <c r="C26" s="16">
        <f>SUM(C27:C31)</f>
        <v>109603734.16959526</v>
      </c>
      <c r="D26" s="17">
        <f>C26*D$5/C$5</f>
        <v>102753500.78399555</v>
      </c>
      <c r="E26" s="166"/>
      <c r="F26" s="16">
        <f>SUM(F27:F31)</f>
        <v>116493464.66386752</v>
      </c>
      <c r="G26" s="17">
        <f>F26*G$5/(F$12+F$19+F$26)</f>
        <v>122026904.2354012</v>
      </c>
      <c r="H26" s="18"/>
      <c r="I26" s="16">
        <f>SUM(I27:I31)</f>
        <v>104114252.71422954</v>
      </c>
      <c r="J26" s="17">
        <f>I26*J$5/(I$12+I$19+I$26)</f>
        <v>108169693.72456674</v>
      </c>
      <c r="K26" s="18"/>
      <c r="L26" s="19">
        <f>SUM(L27:L31)</f>
        <v>105591658.74099967</v>
      </c>
    </row>
    <row r="27" spans="2:12" ht="16.3" x14ac:dyDescent="0.4">
      <c r="B27" s="13" t="s">
        <v>76</v>
      </c>
      <c r="C27" s="25">
        <f>comp1PTO3</f>
        <v>1172397.452897277</v>
      </c>
      <c r="D27" s="176">
        <f>(D$26-D$29)*C27/SUM($C$27:$C$28)</f>
        <v>1098700.1236608955</v>
      </c>
      <c r="E27" s="167"/>
      <c r="F27" s="25">
        <f>comp1PTO3</f>
        <v>1172397.452897277</v>
      </c>
      <c r="G27" s="6">
        <f>G$26*F27/(SUM(F$27:F$29))</f>
        <v>1304814.0778288133</v>
      </c>
      <c r="H27" s="27"/>
      <c r="I27" s="25">
        <f>comp1PTO3</f>
        <v>1172397.452897277</v>
      </c>
      <c r="J27" s="6">
        <f>J$26*I27/(SUM(I$27:I$29))</f>
        <v>1156594.0947744579</v>
      </c>
      <c r="K27" s="31"/>
      <c r="L27" s="26">
        <f>comp1PTO3</f>
        <v>1172397.452897277</v>
      </c>
    </row>
    <row r="28" spans="2:12" ht="16.75" thickBot="1" x14ac:dyDescent="0.45">
      <c r="B28" s="13" t="s">
        <v>77</v>
      </c>
      <c r="C28" s="25">
        <f>comp2PTO3</f>
        <v>108431336.71669798</v>
      </c>
      <c r="D28" s="176">
        <f>(D$26-D$29)*C28/SUM($C$27:$C$28)</f>
        <v>101615303.5516621</v>
      </c>
      <c r="E28" s="167"/>
      <c r="F28" s="25">
        <f>comp2PTO3</f>
        <v>108431336.71669798</v>
      </c>
      <c r="G28" s="29">
        <f t="shared" ref="G28:G29" si="6">G$26*F28/(SUM(F$27:F$29))</f>
        <v>120678132.04140441</v>
      </c>
      <c r="H28" s="81"/>
      <c r="I28" s="30">
        <f>comp2PTO3</f>
        <v>108431336.71669798</v>
      </c>
      <c r="J28" s="29">
        <f t="shared" ref="J28:J29" si="7">J$26*I28/(SUM(I$27:I$29))</f>
        <v>106969734.04805067</v>
      </c>
      <c r="K28" s="82"/>
      <c r="L28" s="32">
        <f>comp2PTO3</f>
        <v>108431336.71669798</v>
      </c>
    </row>
    <row r="29" spans="2:12" ht="16.75" thickBot="1" x14ac:dyDescent="0.45">
      <c r="B29" s="13" t="s">
        <v>78</v>
      </c>
      <c r="C29" s="28">
        <v>0</v>
      </c>
      <c r="D29" s="76">
        <f>comp3PTO3</f>
        <v>39497.108672559007</v>
      </c>
      <c r="E29" s="78"/>
      <c r="F29" s="77">
        <f>comp3PTO3</f>
        <v>39497.108672559007</v>
      </c>
      <c r="G29" s="76">
        <f t="shared" si="6"/>
        <v>43958.116167969027</v>
      </c>
      <c r="H29" s="78"/>
      <c r="I29" s="77">
        <f>G29</f>
        <v>43958.116167969027</v>
      </c>
      <c r="J29" s="76">
        <f t="shared" si="7"/>
        <v>43365.581741618844</v>
      </c>
      <c r="K29" s="80"/>
      <c r="L29" s="79">
        <f>J29</f>
        <v>43365.581741618844</v>
      </c>
    </row>
    <row r="30" spans="2:12" ht="0.55000000000000004" customHeight="1" thickBot="1" x14ac:dyDescent="0.45">
      <c r="B30" s="71"/>
      <c r="C30" s="70"/>
      <c r="D30" s="70"/>
      <c r="E30" s="70"/>
      <c r="F30" s="70"/>
      <c r="G30" s="68"/>
      <c r="H30" s="73"/>
      <c r="I30" s="72"/>
      <c r="J30" s="68"/>
      <c r="K30" s="74"/>
      <c r="L30" s="72"/>
    </row>
    <row r="31" spans="2:12" ht="16.75" thickBot="1" x14ac:dyDescent="0.45">
      <c r="B31" s="14" t="s">
        <v>90</v>
      </c>
      <c r="C31" s="24">
        <v>0</v>
      </c>
      <c r="D31" s="168"/>
      <c r="E31" s="69">
        <f>C26-D26</f>
        <v>6850233.3855997026</v>
      </c>
      <c r="F31" s="67">
        <f>E31</f>
        <v>6850233.3855997026</v>
      </c>
      <c r="G31" s="68"/>
      <c r="H31" s="69">
        <f>F26-G26</f>
        <v>-5533439.57153368</v>
      </c>
      <c r="I31" s="67">
        <f>H31</f>
        <v>-5533439.57153368</v>
      </c>
      <c r="J31" s="68"/>
      <c r="K31" s="66">
        <f>I26-J26</f>
        <v>-4055441.0103372037</v>
      </c>
      <c r="L31" s="67">
        <f>K31</f>
        <v>-4055441.0103372037</v>
      </c>
    </row>
    <row r="32" spans="2:12" ht="4.5" customHeight="1" x14ac:dyDescent="0.4">
      <c r="F32" s="5"/>
      <c r="G32" s="5"/>
      <c r="H32" s="5"/>
    </row>
    <row r="33" spans="2:12" ht="16.3" x14ac:dyDescent="0.4">
      <c r="B33" s="23" t="s">
        <v>218</v>
      </c>
      <c r="C33" s="23"/>
      <c r="D33" s="23"/>
      <c r="E33" s="23"/>
      <c r="F33" s="5"/>
      <c r="G33" s="5"/>
      <c r="H33" s="5"/>
    </row>
    <row r="34" spans="2:12" ht="16.3" x14ac:dyDescent="0.4">
      <c r="B34" s="23" t="s">
        <v>219</v>
      </c>
      <c r="C34" s="23"/>
      <c r="D34" s="23"/>
      <c r="E34" s="23"/>
      <c r="F34" s="5"/>
      <c r="G34" s="5"/>
      <c r="H34" s="5"/>
    </row>
    <row r="35" spans="2:12" ht="16.3" x14ac:dyDescent="0.4">
      <c r="B35" s="23" t="s">
        <v>220</v>
      </c>
      <c r="C35" s="23"/>
      <c r="D35" s="23"/>
      <c r="E35" s="23"/>
      <c r="F35" s="5"/>
      <c r="G35" s="5"/>
      <c r="H35" s="5"/>
    </row>
    <row r="36" spans="2:12" ht="16.3" x14ac:dyDescent="0.4">
      <c r="B36" s="23" t="s">
        <v>221</v>
      </c>
      <c r="C36" s="23"/>
      <c r="D36" s="23"/>
      <c r="E36" s="23"/>
      <c r="F36" s="5"/>
      <c r="G36" s="5"/>
      <c r="H36" s="5"/>
    </row>
    <row r="37" spans="2:12" x14ac:dyDescent="0.4">
      <c r="B37" s="4"/>
      <c r="C37" s="4"/>
      <c r="D37" s="4"/>
      <c r="E37" s="4"/>
      <c r="F37" s="5"/>
      <c r="G37" s="5"/>
      <c r="H37" s="5"/>
    </row>
    <row r="38" spans="2:12" ht="98.05" customHeight="1" x14ac:dyDescent="0.4">
      <c r="B38" s="191" t="str">
        <f>"Disclaimer: " &amp;rDisclaimer</f>
        <v xml:space="preserve">Disclaimer: Disclaimer and Understanding All information contained in this draft Calculation Guide and Worksheet pertaining to the Extended Day-Ahead Market (EDAM) Access Charge, and as provided by the California Independent System Operator Corporation (ISO), is prepared for discussion and information purposes only. 
The draft Calculation Guide and Worksheet is provided “as is” without representation or warranty of any kind, including, without limitation, a representation or warranty as to accuracy, completeness, or appropriateness for any particular purpose. The draft Calculation Guide and Worksheet shall be revised as the development and review of the EDAM Access Charge settlement continues. The ISO assumes no responsibility for the consequences of any errors or omissions. The ISO may revise or withdraw all or part of this information at any time at its discretion without notice.
</v>
      </c>
      <c r="C38" s="191"/>
      <c r="D38" s="191"/>
      <c r="E38" s="191"/>
      <c r="F38" s="191"/>
      <c r="G38" s="191"/>
      <c r="H38" s="191"/>
      <c r="I38" s="191"/>
      <c r="J38" s="191"/>
      <c r="K38" s="191"/>
      <c r="L38" s="191"/>
    </row>
    <row r="39" spans="2:12" x14ac:dyDescent="0.4">
      <c r="B39" s="4"/>
      <c r="C39" s="4"/>
      <c r="D39" s="4"/>
      <c r="E39" s="4"/>
      <c r="F39" s="5"/>
      <c r="G39" s="5"/>
      <c r="H39" s="5"/>
    </row>
    <row r="40" spans="2:12" x14ac:dyDescent="0.4">
      <c r="B40" s="4"/>
      <c r="C40" s="4"/>
      <c r="D40" s="4"/>
      <c r="E40" s="4"/>
      <c r="F40" s="5"/>
      <c r="G40" s="5"/>
      <c r="H40" s="5"/>
    </row>
    <row r="41" spans="2:12" x14ac:dyDescent="0.4">
      <c r="B41" s="4"/>
      <c r="C41" s="4"/>
      <c r="D41" s="4"/>
      <c r="E41" s="4"/>
      <c r="F41" s="5"/>
      <c r="G41" s="5"/>
      <c r="H41" s="5"/>
    </row>
    <row r="42" spans="2:12" x14ac:dyDescent="0.4">
      <c r="B42" s="4"/>
      <c r="C42" s="4"/>
      <c r="D42" s="4"/>
      <c r="E42" s="4"/>
      <c r="F42" s="5"/>
      <c r="G42" s="5"/>
      <c r="H42" s="5"/>
    </row>
    <row r="43" spans="2:12" x14ac:dyDescent="0.4">
      <c r="B43" s="4"/>
      <c r="C43" s="4"/>
      <c r="D43" s="4"/>
      <c r="E43" s="4"/>
      <c r="F43" s="5"/>
      <c r="G43" s="5"/>
      <c r="H43" s="5"/>
    </row>
    <row r="44" spans="2:12" x14ac:dyDescent="0.4">
      <c r="B44" s="4"/>
      <c r="C44" s="4"/>
      <c r="D44" s="4"/>
      <c r="E44" s="4"/>
      <c r="F44" s="5"/>
      <c r="G44" s="5"/>
      <c r="H44" s="5"/>
    </row>
    <row r="45" spans="2:12" x14ac:dyDescent="0.4">
      <c r="B45" s="4"/>
      <c r="C45" s="4"/>
      <c r="D45" s="4"/>
      <c r="E45" s="4"/>
      <c r="F45" s="5"/>
      <c r="G45" s="5"/>
      <c r="H45" s="5"/>
    </row>
    <row r="46" spans="2:12" x14ac:dyDescent="0.4">
      <c r="B46" s="4"/>
      <c r="C46" s="4"/>
      <c r="D46" s="4"/>
      <c r="E46" s="4"/>
      <c r="F46" s="5"/>
      <c r="G46" s="5"/>
      <c r="H46" s="5"/>
    </row>
    <row r="47" spans="2:12" x14ac:dyDescent="0.4">
      <c r="B47" s="4"/>
      <c r="C47" s="4"/>
      <c r="D47" s="4"/>
      <c r="E47" s="4"/>
      <c r="F47" s="5"/>
      <c r="G47" s="5"/>
      <c r="H47" s="5"/>
    </row>
    <row r="48" spans="2:12" x14ac:dyDescent="0.4">
      <c r="B48" s="4"/>
      <c r="C48" s="4"/>
      <c r="D48" s="4"/>
      <c r="E48" s="4"/>
      <c r="F48" s="5"/>
      <c r="G48" s="5"/>
      <c r="H48" s="5"/>
    </row>
    <row r="49" spans="2:8" x14ac:dyDescent="0.4">
      <c r="B49" s="4"/>
      <c r="C49" s="4"/>
      <c r="D49" s="4"/>
      <c r="E49" s="4"/>
      <c r="F49" s="5"/>
      <c r="G49" s="5"/>
      <c r="H49" s="5"/>
    </row>
    <row r="50" spans="2:8" x14ac:dyDescent="0.4">
      <c r="B50" s="4"/>
      <c r="C50" s="4"/>
      <c r="D50" s="4"/>
      <c r="E50" s="4"/>
      <c r="F50" s="5"/>
      <c r="G50" s="5"/>
      <c r="H50" s="5"/>
    </row>
    <row r="51" spans="2:8" x14ac:dyDescent="0.4">
      <c r="B51" s="4"/>
      <c r="C51" s="4"/>
      <c r="D51" s="4"/>
      <c r="E51" s="4"/>
      <c r="F51" s="5"/>
      <c r="G51" s="5"/>
      <c r="H51" s="5"/>
    </row>
    <row r="52" spans="2:8" x14ac:dyDescent="0.4">
      <c r="B52" s="4"/>
      <c r="C52" s="4"/>
      <c r="D52" s="4"/>
      <c r="E52" s="4"/>
      <c r="F52" s="5"/>
      <c r="G52" s="5"/>
      <c r="H52" s="5"/>
    </row>
    <row r="53" spans="2:8" x14ac:dyDescent="0.4">
      <c r="B53" s="4"/>
      <c r="C53" s="4"/>
      <c r="D53" s="4"/>
      <c r="E53" s="4"/>
      <c r="F53" s="5"/>
      <c r="G53" s="5"/>
      <c r="H53" s="5"/>
    </row>
    <row r="54" spans="2:8" x14ac:dyDescent="0.4">
      <c r="B54" s="4"/>
      <c r="C54" s="4"/>
      <c r="D54" s="4"/>
      <c r="E54" s="4"/>
      <c r="F54" s="5"/>
      <c r="G54" s="5"/>
      <c r="H54" s="5"/>
    </row>
    <row r="55" spans="2:8" x14ac:dyDescent="0.4">
      <c r="B55" s="4"/>
      <c r="C55" s="4"/>
      <c r="D55" s="4"/>
      <c r="E55" s="4"/>
      <c r="F55" s="5"/>
      <c r="G55" s="5"/>
      <c r="H55" s="5"/>
    </row>
    <row r="56" spans="2:8" x14ac:dyDescent="0.4">
      <c r="B56" s="4"/>
      <c r="C56" s="4"/>
      <c r="D56" s="4"/>
      <c r="E56" s="4"/>
      <c r="F56" s="5"/>
      <c r="G56" s="5"/>
      <c r="H56" s="5"/>
    </row>
    <row r="57" spans="2:8" x14ac:dyDescent="0.4">
      <c r="B57" s="4"/>
      <c r="C57" s="4"/>
      <c r="D57" s="4"/>
      <c r="E57" s="4"/>
      <c r="F57" s="5"/>
      <c r="G57" s="5"/>
      <c r="H57" s="5"/>
    </row>
    <row r="58" spans="2:8" x14ac:dyDescent="0.4">
      <c r="B58" s="4"/>
      <c r="C58" s="4"/>
      <c r="D58" s="4"/>
      <c r="E58" s="4"/>
      <c r="F58" s="5"/>
      <c r="G58" s="5"/>
      <c r="H58" s="5"/>
    </row>
  </sheetData>
  <mergeCells count="1">
    <mergeCell ref="B38:L38"/>
  </mergeCells>
  <pageMargins left="0.7" right="0.7" top="0.75" bottom="0.75" header="0.3" footer="0.3"/>
  <pageSetup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3EB158-43DC-4F32-912D-EA8DE869A88B}"/>
</file>

<file path=customXml/itemProps2.xml><?xml version="1.0" encoding="utf-8"?>
<ds:datastoreItem xmlns:ds="http://schemas.openxmlformats.org/officeDocument/2006/customXml" ds:itemID="{01CDB058-D343-436E-A9C6-B2CC7D185112}"/>
</file>

<file path=customXml/itemProps3.xml><?xml version="1.0" encoding="utf-8"?>
<ds:datastoreItem xmlns:ds="http://schemas.openxmlformats.org/officeDocument/2006/customXml" ds:itemID="{0CDC78CB-2488-4FB1-858E-F99DBF2CF4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Sheet2</vt:lpstr>
      <vt:lpstr>Read Me</vt:lpstr>
      <vt:lpstr>comp 1</vt:lpstr>
      <vt:lpstr>comp 2</vt:lpstr>
      <vt:lpstr>comp 3</vt:lpstr>
      <vt:lpstr>true-up</vt:lpstr>
      <vt:lpstr>comp1CISO</vt:lpstr>
      <vt:lpstr>comp1PTO1</vt:lpstr>
      <vt:lpstr>comp1PTO2</vt:lpstr>
      <vt:lpstr>comp1PTO3</vt:lpstr>
      <vt:lpstr>comp2CISO</vt:lpstr>
      <vt:lpstr>comp2PTO1</vt:lpstr>
      <vt:lpstr>comp2PTO2</vt:lpstr>
      <vt:lpstr>comp2PTO3</vt:lpstr>
      <vt:lpstr>comp3CISO</vt:lpstr>
      <vt:lpstr>comp3PTO1</vt:lpstr>
      <vt:lpstr>comp3PTO2</vt:lpstr>
      <vt:lpstr>comp3PTO3</vt:lpstr>
      <vt:lpstr>'comp 2'!Print_Area</vt:lpstr>
      <vt:lpstr>'Read Me'!Print_Area</vt:lpstr>
      <vt:lpstr>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Caldwell, Elizabeth</cp:lastModifiedBy>
  <cp:lastPrinted>2025-02-24T19:06:49Z</cp:lastPrinted>
  <dcterms:created xsi:type="dcterms:W3CDTF">2024-11-05T18:10:21Z</dcterms:created>
  <dcterms:modified xsi:type="dcterms:W3CDTF">2025-02-24T19:16:19Z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