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omefiles\home\jmeredith\profile\Desktop\Angela Task\Conversion_Project\"/>
    </mc:Choice>
  </mc:AlternateContent>
  <xr:revisionPtr revIDLastSave="0" documentId="8_{F14E5BFE-A2DE-433A-A269-8BE48C677192}" xr6:coauthVersionLast="47" xr6:coauthVersionMax="47" xr10:uidLastSave="{00000000-0000-0000-0000-000000000000}"/>
  <bookViews>
    <workbookView xWindow="-120" yWindow="-120" windowWidth="24926" windowHeight="13526" tabRatio="536" xr2:uid="{2B350DB3-E5CD-41A4-810E-BE10DBF9B4BE}"/>
  </bookViews>
  <sheets>
    <sheet name="Sheet1" sheetId="1" r:id="rId1"/>
    <sheet name="Sheet2" sheetId="2" r:id="rId2"/>
    <sheet name="Sheet3" sheetId="3" r:id="rId3"/>
  </sheets>
  <definedNames>
    <definedName name="area">Sheet1!$P$7</definedName>
    <definedName name="iso">Sheet1!$P$6</definedName>
    <definedName name="_xlnm.Print_Area" localSheetId="0">Sheet1!$A$1:$K$67,Sheet1!$A$69:$M$133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F12" i="1"/>
  <c r="F13" i="1"/>
  <c r="F14" i="1"/>
  <c r="F15" i="1"/>
  <c r="F16" i="1"/>
  <c r="F17" i="1"/>
  <c r="F18" i="1"/>
  <c r="F19" i="1"/>
  <c r="F20" i="1"/>
  <c r="B21" i="1"/>
  <c r="F21" i="1" s="1"/>
  <c r="C21" i="1"/>
  <c r="D21" i="1"/>
  <c r="A24" i="1"/>
  <c r="A25" i="1"/>
  <c r="C33" i="1"/>
  <c r="B34" i="1"/>
  <c r="C34" i="1" s="1"/>
  <c r="D34" i="1"/>
  <c r="B35" i="1"/>
  <c r="C35" i="1"/>
  <c r="E35" i="1" s="1"/>
  <c r="D35" i="1"/>
  <c r="B36" i="1"/>
  <c r="C36" i="1"/>
  <c r="E36" i="1" s="1"/>
  <c r="D36" i="1"/>
  <c r="B37" i="1"/>
  <c r="C37" i="1"/>
  <c r="E37" i="1" s="1"/>
  <c r="D37" i="1"/>
  <c r="B38" i="1"/>
  <c r="D38" i="1"/>
  <c r="B46" i="1"/>
  <c r="B47" i="1"/>
  <c r="C47" i="1"/>
  <c r="E47" i="1" s="1"/>
  <c r="D47" i="1"/>
  <c r="C57" i="1"/>
  <c r="F57" i="1"/>
  <c r="G57" i="1" s="1"/>
  <c r="C58" i="1"/>
  <c r="F58" i="1"/>
  <c r="G58" i="1" s="1"/>
  <c r="C59" i="1"/>
  <c r="F59" i="1"/>
  <c r="G59" i="1" s="1"/>
  <c r="F125" i="1" s="1"/>
  <c r="C60" i="1"/>
  <c r="F60" i="1"/>
  <c r="G60" i="1" s="1"/>
  <c r="C61" i="1"/>
  <c r="F61" i="1"/>
  <c r="G61" i="1" s="1"/>
  <c r="F127" i="1" s="1"/>
  <c r="H127" i="1" s="1"/>
  <c r="C62" i="1"/>
  <c r="F62" i="1"/>
  <c r="G62" i="1" s="1"/>
  <c r="C63" i="1"/>
  <c r="F63" i="1"/>
  <c r="G63" i="1" s="1"/>
  <c r="F129" i="1" s="1"/>
  <c r="C64" i="1"/>
  <c r="F64" i="1"/>
  <c r="G64" i="1" s="1"/>
  <c r="C65" i="1"/>
  <c r="F65" i="1"/>
  <c r="G65" i="1" s="1"/>
  <c r="F131" i="1" s="1"/>
  <c r="B81" i="1"/>
  <c r="E81" i="1"/>
  <c r="B82" i="1"/>
  <c r="B83" i="1"/>
  <c r="E83" i="1"/>
  <c r="B84" i="1"/>
  <c r="B85" i="1"/>
  <c r="E85" i="1"/>
  <c r="B86" i="1"/>
  <c r="B87" i="1"/>
  <c r="E87" i="1"/>
  <c r="G129" i="1" s="1"/>
  <c r="B88" i="1"/>
  <c r="B89" i="1"/>
  <c r="E89" i="1"/>
  <c r="B90" i="1"/>
  <c r="E111" i="1"/>
  <c r="G123" i="1"/>
  <c r="F124" i="1"/>
  <c r="G125" i="1"/>
  <c r="F126" i="1"/>
  <c r="G127" i="1"/>
  <c r="F128" i="1"/>
  <c r="F130" i="1"/>
  <c r="G131" i="1"/>
  <c r="H41" i="1" l="1"/>
  <c r="H129" i="1"/>
  <c r="H125" i="1"/>
  <c r="H42" i="1"/>
  <c r="H43" i="1"/>
  <c r="D59" i="1" s="1"/>
  <c r="E59" i="1" s="1"/>
  <c r="E86" i="1"/>
  <c r="G128" i="1" s="1"/>
  <c r="H128" i="1" s="1"/>
  <c r="E82" i="1"/>
  <c r="G124" i="1" s="1"/>
  <c r="H124" i="1" s="1"/>
  <c r="H131" i="1"/>
  <c r="G66" i="1"/>
  <c r="F123" i="1"/>
  <c r="E88" i="1"/>
  <c r="G130" i="1" s="1"/>
  <c r="H130" i="1" s="1"/>
  <c r="E84" i="1"/>
  <c r="G126" i="1" s="1"/>
  <c r="H126" i="1" s="1"/>
  <c r="E34" i="1"/>
  <c r="H40" i="1" s="1"/>
  <c r="C38" i="1"/>
  <c r="C66" i="1"/>
  <c r="B125" i="1" l="1"/>
  <c r="H59" i="1"/>
  <c r="B104" i="1" s="1"/>
  <c r="H123" i="1"/>
  <c r="H132" i="1" s="1"/>
  <c r="F132" i="1"/>
  <c r="D57" i="1"/>
  <c r="E57" i="1" s="1"/>
  <c r="D61" i="1"/>
  <c r="E61" i="1" s="1"/>
  <c r="D62" i="1"/>
  <c r="E62" i="1" s="1"/>
  <c r="D64" i="1"/>
  <c r="E64" i="1" s="1"/>
  <c r="G132" i="1"/>
  <c r="E90" i="1"/>
  <c r="D65" i="1"/>
  <c r="E65" i="1" s="1"/>
  <c r="D60" i="1"/>
  <c r="E60" i="1" s="1"/>
  <c r="D63" i="1"/>
  <c r="E63" i="1" s="1"/>
  <c r="D58" i="1"/>
  <c r="E58" i="1" s="1"/>
  <c r="H60" i="1" l="1"/>
  <c r="B105" i="1" s="1"/>
  <c r="B126" i="1"/>
  <c r="H65" i="1"/>
  <c r="B110" i="1" s="1"/>
  <c r="B131" i="1"/>
  <c r="H58" i="1"/>
  <c r="B103" i="1" s="1"/>
  <c r="B124" i="1"/>
  <c r="F81" i="1"/>
  <c r="G81" i="1" s="1"/>
  <c r="F85" i="1"/>
  <c r="G85" i="1" s="1"/>
  <c r="F89" i="1"/>
  <c r="G89" i="1" s="1"/>
  <c r="F83" i="1"/>
  <c r="G83" i="1" s="1"/>
  <c r="F87" i="1"/>
  <c r="G87" i="1" s="1"/>
  <c r="F82" i="1"/>
  <c r="G82" i="1" s="1"/>
  <c r="F86" i="1"/>
  <c r="G86" i="1" s="1"/>
  <c r="F84" i="1"/>
  <c r="G84" i="1" s="1"/>
  <c r="F88" i="1"/>
  <c r="G88" i="1" s="1"/>
  <c r="H61" i="1"/>
  <c r="B106" i="1" s="1"/>
  <c r="B127" i="1"/>
  <c r="H64" i="1"/>
  <c r="B109" i="1" s="1"/>
  <c r="B130" i="1"/>
  <c r="H62" i="1"/>
  <c r="B107" i="1" s="1"/>
  <c r="B128" i="1"/>
  <c r="B129" i="1"/>
  <c r="H63" i="1"/>
  <c r="B108" i="1" s="1"/>
  <c r="H57" i="1"/>
  <c r="B123" i="1"/>
  <c r="E66" i="1"/>
  <c r="D108" i="1" l="1"/>
  <c r="C124" i="1"/>
  <c r="H82" i="1"/>
  <c r="C103" i="1" s="1"/>
  <c r="H85" i="1"/>
  <c r="C106" i="1" s="1"/>
  <c r="D106" i="1" s="1"/>
  <c r="C127" i="1"/>
  <c r="C130" i="1"/>
  <c r="H88" i="1"/>
  <c r="C109" i="1" s="1"/>
  <c r="D109" i="1" s="1"/>
  <c r="H87" i="1"/>
  <c r="C108" i="1" s="1"/>
  <c r="C129" i="1"/>
  <c r="H81" i="1"/>
  <c r="C123" i="1"/>
  <c r="G90" i="1"/>
  <c r="B132" i="1"/>
  <c r="C126" i="1"/>
  <c r="H84" i="1"/>
  <c r="C105" i="1" s="1"/>
  <c r="D105" i="1" s="1"/>
  <c r="H83" i="1"/>
  <c r="C104" i="1" s="1"/>
  <c r="D104" i="1" s="1"/>
  <c r="C125" i="1"/>
  <c r="H66" i="1"/>
  <c r="B102" i="1"/>
  <c r="D107" i="1"/>
  <c r="C128" i="1"/>
  <c r="H86" i="1"/>
  <c r="C107" i="1" s="1"/>
  <c r="H89" i="1"/>
  <c r="C110" i="1" s="1"/>
  <c r="D110" i="1" s="1"/>
  <c r="C131" i="1"/>
  <c r="D103" i="1"/>
  <c r="G106" i="1" l="1"/>
  <c r="F106" i="1" s="1"/>
  <c r="G110" i="1"/>
  <c r="F110" i="1" s="1"/>
  <c r="G105" i="1"/>
  <c r="F105" i="1" s="1"/>
  <c r="G109" i="1"/>
  <c r="F109" i="1" s="1"/>
  <c r="G103" i="1"/>
  <c r="F103" i="1" s="1"/>
  <c r="G104" i="1"/>
  <c r="F104" i="1" s="1"/>
  <c r="C132" i="1"/>
  <c r="C102" i="1"/>
  <c r="C111" i="1" s="1"/>
  <c r="H90" i="1"/>
  <c r="G108" i="1"/>
  <c r="F108" i="1" s="1"/>
  <c r="G107" i="1"/>
  <c r="F107" i="1" s="1"/>
  <c r="B111" i="1"/>
  <c r="D102" i="1"/>
  <c r="D111" i="1" l="1"/>
  <c r="G102" i="1"/>
  <c r="F102" i="1" l="1"/>
  <c r="F111" i="1" s="1"/>
  <c r="G111" i="1"/>
  <c r="H102" i="1" l="1"/>
  <c r="H106" i="1"/>
  <c r="I106" i="1" s="1"/>
  <c r="J106" i="1" s="1"/>
  <c r="M106" i="1" s="1"/>
  <c r="K106" i="1" s="1"/>
  <c r="H110" i="1"/>
  <c r="I110" i="1" s="1"/>
  <c r="J110" i="1" s="1"/>
  <c r="M110" i="1" s="1"/>
  <c r="K110" i="1" s="1"/>
  <c r="H104" i="1"/>
  <c r="I104" i="1" s="1"/>
  <c r="J104" i="1" s="1"/>
  <c r="H108" i="1"/>
  <c r="I108" i="1" s="1"/>
  <c r="J108" i="1" s="1"/>
  <c r="M108" i="1" s="1"/>
  <c r="K108" i="1" s="1"/>
  <c r="H103" i="1"/>
  <c r="I103" i="1" s="1"/>
  <c r="J103" i="1" s="1"/>
  <c r="H105" i="1"/>
  <c r="I105" i="1" s="1"/>
  <c r="J105" i="1" s="1"/>
  <c r="M105" i="1" s="1"/>
  <c r="K105" i="1" s="1"/>
  <c r="H109" i="1"/>
  <c r="I109" i="1" s="1"/>
  <c r="J109" i="1" s="1"/>
  <c r="M109" i="1" s="1"/>
  <c r="K109" i="1" s="1"/>
  <c r="H107" i="1"/>
  <c r="I107" i="1" s="1"/>
  <c r="J107" i="1" s="1"/>
  <c r="M107" i="1" s="1"/>
  <c r="K107" i="1" s="1"/>
  <c r="L106" i="1" l="1"/>
  <c r="D127" i="1"/>
  <c r="E127" i="1" s="1"/>
  <c r="K127" i="1" s="1"/>
  <c r="L127" i="1" s="1"/>
  <c r="D130" i="1"/>
  <c r="E130" i="1" s="1"/>
  <c r="K130" i="1" s="1"/>
  <c r="L130" i="1" s="1"/>
  <c r="L109" i="1"/>
  <c r="D126" i="1"/>
  <c r="E126" i="1" s="1"/>
  <c r="K126" i="1" s="1"/>
  <c r="L126" i="1" s="1"/>
  <c r="L105" i="1"/>
  <c r="L110" i="1"/>
  <c r="D131" i="1"/>
  <c r="E131" i="1" s="1"/>
  <c r="K131" i="1" s="1"/>
  <c r="L131" i="1" s="1"/>
  <c r="L107" i="1"/>
  <c r="D128" i="1"/>
  <c r="E128" i="1" s="1"/>
  <c r="K128" i="1" s="1"/>
  <c r="L128" i="1" s="1"/>
  <c r="L108" i="1"/>
  <c r="D129" i="1"/>
  <c r="E129" i="1" s="1"/>
  <c r="K129" i="1" s="1"/>
  <c r="L129" i="1" s="1"/>
  <c r="H111" i="1"/>
  <c r="I102" i="1"/>
  <c r="I111" i="1" l="1"/>
  <c r="J102" i="1"/>
  <c r="J111" i="1" l="1"/>
  <c r="M102" i="1"/>
  <c r="M103" i="1"/>
  <c r="K103" i="1" s="1"/>
  <c r="M104" i="1"/>
  <c r="K104" i="1" s="1"/>
  <c r="L104" i="1" l="1"/>
  <c r="D125" i="1"/>
  <c r="E125" i="1" s="1"/>
  <c r="K125" i="1" s="1"/>
  <c r="L125" i="1" s="1"/>
  <c r="D124" i="1"/>
  <c r="E124" i="1" s="1"/>
  <c r="K124" i="1" s="1"/>
  <c r="L124" i="1" s="1"/>
  <c r="L103" i="1"/>
  <c r="K102" i="1"/>
  <c r="M111" i="1"/>
  <c r="L102" i="1" l="1"/>
  <c r="D123" i="1"/>
  <c r="K111" i="1"/>
  <c r="L111" i="1" s="1"/>
  <c r="D132" i="1" l="1"/>
  <c r="E123" i="1"/>
  <c r="E132" i="1" l="1"/>
  <c r="K123" i="1"/>
  <c r="L123" i="1" l="1"/>
  <c r="L132" i="1" s="1"/>
  <c r="K132" i="1"/>
</calcChain>
</file>

<file path=xl/sharedStrings.xml><?xml version="1.0" encoding="utf-8"?>
<sst xmlns="http://schemas.openxmlformats.org/spreadsheetml/2006/main" count="315" uniqueCount="152">
  <si>
    <t>IOU 1</t>
  </si>
  <si>
    <t>IOU 2</t>
  </si>
  <si>
    <t>IOU 3</t>
  </si>
  <si>
    <t>Muni 1</t>
  </si>
  <si>
    <t>Muni 2</t>
  </si>
  <si>
    <t>Muni 3</t>
  </si>
  <si>
    <t>Muni 4</t>
  </si>
  <si>
    <t>Muni 5</t>
  </si>
  <si>
    <t>TRR</t>
  </si>
  <si>
    <t>Cap</t>
  </si>
  <si>
    <t>Load</t>
  </si>
  <si>
    <t>GWH</t>
  </si>
  <si>
    <t>TAC</t>
  </si>
  <si>
    <t>Area</t>
  </si>
  <si>
    <t>N</t>
  </si>
  <si>
    <t>EC</t>
  </si>
  <si>
    <t>S</t>
  </si>
  <si>
    <t>WC</t>
  </si>
  <si>
    <t>Muni 6</t>
  </si>
  <si>
    <t>Utility</t>
  </si>
  <si>
    <t>Specific</t>
  </si>
  <si>
    <t>($/MWH)</t>
  </si>
  <si>
    <t>($1000)</t>
  </si>
  <si>
    <t>North</t>
  </si>
  <si>
    <t>East/C</t>
  </si>
  <si>
    <t>West/C</t>
  </si>
  <si>
    <t>South</t>
  </si>
  <si>
    <t>ISO-wide</t>
  </si>
  <si>
    <t xml:space="preserve">  Total</t>
  </si>
  <si>
    <t>Rate</t>
  </si>
  <si>
    <t>Total</t>
  </si>
  <si>
    <t>Paid on</t>
  </si>
  <si>
    <t>Gross Load</t>
  </si>
  <si>
    <t>Would have</t>
  </si>
  <si>
    <t>Paid</t>
  </si>
  <si>
    <t>Burden</t>
  </si>
  <si>
    <t>(Benefit)/</t>
  </si>
  <si>
    <t>GMC</t>
  </si>
  <si>
    <t>% of GMC</t>
  </si>
  <si>
    <t>Paid today</t>
  </si>
  <si>
    <t>Access</t>
  </si>
  <si>
    <t>Charge</t>
  </si>
  <si>
    <t>Net</t>
  </si>
  <si>
    <t>TAC Area</t>
  </si>
  <si>
    <t>ISO Wide:</t>
  </si>
  <si>
    <t>TAC Area:</t>
  </si>
  <si>
    <t>ISO-Wide</t>
  </si>
  <si>
    <t>TAC-Area</t>
  </si>
  <si>
    <t>Without</t>
  </si>
  <si>
    <t>New Members</t>
  </si>
  <si>
    <t>on Burden</t>
  </si>
  <si>
    <t>Exceeds Cap</t>
  </si>
  <si>
    <t>Amount by</t>
  </si>
  <si>
    <t>Members</t>
  </si>
  <si>
    <t>Without New</t>
  </si>
  <si>
    <t>= [7] / [8]</t>
  </si>
  <si>
    <t>Total [2]</t>
  </si>
  <si>
    <t>= [3]</t>
  </si>
  <si>
    <t>= [5]</t>
  </si>
  <si>
    <t>= [20]</t>
  </si>
  <si>
    <t>= [27]</t>
  </si>
  <si>
    <t>= [28] + [29]</t>
  </si>
  <si>
    <t>= [17]</t>
  </si>
  <si>
    <t xml:space="preserve"> = [26]</t>
  </si>
  <si>
    <t>= [19]</t>
  </si>
  <si>
    <t>= [24]</t>
  </si>
  <si>
    <t xml:space="preserve">(TAC Area + </t>
  </si>
  <si>
    <t>ISO-wide)</t>
  </si>
  <si>
    <t>TRR of</t>
  </si>
  <si>
    <t>= [21] x [22] x [23]</t>
  </si>
  <si>
    <t>= [21] x [25]</t>
  </si>
  <si>
    <t>= [26] - [24]</t>
  </si>
  <si>
    <t>= [17] - [19]</t>
  </si>
  <si>
    <t>= [15] x [18]</t>
  </si>
  <si>
    <t>= [15] x [16]</t>
  </si>
  <si>
    <t>Would Have</t>
  </si>
  <si>
    <t xml:space="preserve">Paid under </t>
  </si>
  <si>
    <t>Utility-Specific</t>
  </si>
  <si>
    <t>Amount</t>
  </si>
  <si>
    <t>With New</t>
  </si>
  <si>
    <t>Access Chg.</t>
  </si>
  <si>
    <t>Payment</t>
  </si>
  <si>
    <t>Mitigation</t>
  </si>
  <si>
    <t xml:space="preserve">GMC </t>
  </si>
  <si>
    <t>Payment on</t>
  </si>
  <si>
    <t>Cap Exceeds</t>
  </si>
  <si>
    <t>Which IOUs'</t>
  </si>
  <si>
    <t xml:space="preserve">Payments </t>
  </si>
  <si>
    <t>of IOU</t>
  </si>
  <si>
    <t>Adjusted</t>
  </si>
  <si>
    <t xml:space="preserve"> Net</t>
  </si>
  <si>
    <t>Have</t>
  </si>
  <si>
    <t>Would</t>
  </si>
  <si>
    <t xml:space="preserve">Adjusted </t>
  </si>
  <si>
    <t>Chg.</t>
  </si>
  <si>
    <t xml:space="preserve">Access </t>
  </si>
  <si>
    <t>by Entities</t>
  </si>
  <si>
    <t>which have</t>
  </si>
  <si>
    <t>a Net Benefit</t>
  </si>
  <si>
    <t>by Which</t>
  </si>
  <si>
    <t>= [30] + [35]</t>
  </si>
  <si>
    <t>= [34] - [33]</t>
  </si>
  <si>
    <t>Gross</t>
  </si>
  <si>
    <t xml:space="preserve">Step 3:  Calculate the change in GMC.  Assume that IOU1, IOU2, IOU3 pay GMC on 100% on gross load; due to the current Settlement, </t>
  </si>
  <si>
    <t>Muni 1 and Muni 2 pay GMC today on 50% of their gross Load due;  Muni 3 and Muni 4 pay GMC today on 25% of their gross Load;</t>
  </si>
  <si>
    <t>Muni 5 and Muni 6 do not pay GMC today;  GMC rate is revised if more GWH are paying the GMC.</t>
  </si>
  <si>
    <t>IOUs' Burden</t>
  </si>
  <si>
    <t>Payments</t>
  </si>
  <si>
    <t>Reallocation</t>
  </si>
  <si>
    <t>Transition</t>
  </si>
  <si>
    <t>= [34] + [35]</t>
  </si>
  <si>
    <t>= [30] + [36]</t>
  </si>
  <si>
    <t>= [36]</t>
  </si>
  <si>
    <t>= [38] + [39] + [40]</t>
  </si>
  <si>
    <t>= [42] + [43]</t>
  </si>
  <si>
    <t>if [31] - [30] &gt;0:
= [31] - [30]</t>
  </si>
  <si>
    <t>if [30] - [31] &gt;0:
= [30] - [31]</t>
  </si>
  <si>
    <t>Illustration of New Access Charge Methodology and Mitigation Measures</t>
  </si>
  <si>
    <t xml:space="preserve">TRR of </t>
  </si>
  <si>
    <t>HV</t>
  </si>
  <si>
    <t>Facilities</t>
  </si>
  <si>
    <t>HV Facilities</t>
  </si>
  <si>
    <t>New HV</t>
  </si>
  <si>
    <t>of Existing</t>
  </si>
  <si>
    <t>Step 2:  Calculate the HV Access Charge the UDC/MSS pays on Gross Loads and Benefit/Burden</t>
  </si>
  <si>
    <t>and Transmission Revenue Requirement of New HV facilities are included in ISO Grid-wide; each PTO is its own UDC/MSS.</t>
  </si>
  <si>
    <t>Access Charge</t>
  </si>
  <si>
    <t xml:space="preserve">Step 5:  Actual dollars that change hands. </t>
  </si>
  <si>
    <t>Funds Used</t>
  </si>
  <si>
    <t>to Amortize</t>
  </si>
  <si>
    <t>High Cost</t>
  </si>
  <si>
    <t>Transmission</t>
  </si>
  <si>
    <t>if [45] &lt; 0, [45]</t>
  </si>
  <si>
    <t xml:space="preserve"> = [14]</t>
  </si>
  <si>
    <t>= [41] - [44]</t>
  </si>
  <si>
    <t>[34a]</t>
  </si>
  <si>
    <t>[34b]</t>
  </si>
  <si>
    <t>Step 1:  Calculate the Access Charge Rate for each TAC Area.  TAC-Area portion is the percent of Total TRR in each area</t>
  </si>
  <si>
    <t xml:space="preserve">Step 4: Calculate the net benefits/burdens from Access Charge and GMC Impact.   Assume IOU1 and IOU2 have a $3 Million cap and IOU 3 </t>
  </si>
  <si>
    <t>has a $1 Million cap; munis are held harmless; IOUs pay muni cost increases in proportion to their cap relative to the total cap.</t>
  </si>
  <si>
    <t>East/Central</t>
  </si>
  <si>
    <t>West/Central</t>
  </si>
  <si>
    <t>Revised</t>
  </si>
  <si>
    <t>(%)</t>
  </si>
  <si>
    <t>(GWH)</t>
  </si>
  <si>
    <t>= total [24] / total [21]</t>
  </si>
  <si>
    <t>IOUs = ([32] / total[32]) x total[33];
Munis = ([30] / total[30]) 
x total[33] - total[32]</t>
  </si>
  <si>
    <t xml:space="preserve">= ([10] + [11])
 / [12] </t>
  </si>
  <si>
    <t>Reallocate IOU 
Burden so that IOU 
Burden (col [37]) is 
in proportion to the 
cap (col [31])</t>
  </si>
  <si>
    <t>Existing</t>
  </si>
  <si>
    <t>= ( [1] + [2] ) / [3]</t>
  </si>
  <si>
    <t>= [9] + [13]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</si>
</sst>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0"/>
    <numFmt numFmtId="165" formatCode="&quot;$&quot;#,##0.0000_);[Red]\(&quot;$&quot;#,##0.0000\)"/>
    <numFmt numFmtId="167" formatCode="&quot;$&quot;#,##0"/>
    <numFmt numFmtId="168" formatCode="0.0000_);[Red]\(0.0000\)"/>
    <numFmt numFmtId="169" formatCode="#,##0.0000_);[Red]\(#,##0.0000\)"/>
    <numFmt numFmtId="171" formatCode="_(* #,##0_);_(* \(#,##0\);_(* &quot;-&quot;??_);_(@_)"/>
    <numFmt numFmtId="173" formatCode="&quot;[&quot;#&quot;]&quot;"/>
    <numFmt numFmtId="175" formatCode="_(* #,##0.0000_);_(* \(#,##0.0000\);_(* &quot;-&quot;??_);_(@_)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i/>
      <sz val="7"/>
      <name val="Arial"/>
      <family val="2"/>
    </font>
    <font>
      <i/>
      <sz val="7"/>
      <color indexed="12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8"/>
      <color indexed="12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5" fontId="0" fillId="0" borderId="0" xfId="0" applyNumberFormat="1"/>
    <xf numFmtId="6" fontId="0" fillId="0" borderId="0" xfId="0" applyNumberFormat="1"/>
    <xf numFmtId="49" fontId="0" fillId="0" borderId="0" xfId="0" applyNumberFormat="1" applyAlignment="1">
      <alignment horizontal="center"/>
    </xf>
    <xf numFmtId="38" fontId="0" fillId="0" borderId="0" xfId="0" applyNumberFormat="1"/>
    <xf numFmtId="3" fontId="0" fillId="0" borderId="0" xfId="0" applyNumberFormat="1"/>
    <xf numFmtId="165" fontId="0" fillId="0" borderId="0" xfId="0" applyNumberFormat="1"/>
    <xf numFmtId="9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0" borderId="0" xfId="0" applyBorder="1"/>
    <xf numFmtId="169" fontId="0" fillId="0" borderId="0" xfId="0" applyNumberFormat="1"/>
    <xf numFmtId="5" fontId="2" fillId="0" borderId="0" xfId="0" applyNumberFormat="1" applyFont="1"/>
    <xf numFmtId="0" fontId="2" fillId="0" borderId="0" xfId="0" applyFont="1" applyAlignment="1">
      <alignment horizontal="center"/>
    </xf>
    <xf numFmtId="5" fontId="3" fillId="0" borderId="0" xfId="0" applyNumberFormat="1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5" fontId="4" fillId="0" borderId="0" xfId="0" applyNumberFormat="1" applyFont="1"/>
    <xf numFmtId="0" fontId="0" fillId="0" borderId="0" xfId="0" quotePrefix="1" applyAlignment="1">
      <alignment horizontal="left"/>
    </xf>
    <xf numFmtId="0" fontId="5" fillId="0" borderId="0" xfId="0" applyFont="1"/>
    <xf numFmtId="165" fontId="5" fillId="0" borderId="0" xfId="0" applyNumberFormat="1" applyFont="1"/>
    <xf numFmtId="171" fontId="0" fillId="0" borderId="0" xfId="1" applyNumberFormat="1" applyFont="1"/>
    <xf numFmtId="0" fontId="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8" fillId="0" borderId="1" xfId="0" applyFont="1" applyBorder="1" applyAlignment="1">
      <alignment horizontal="center"/>
    </xf>
    <xf numFmtId="49" fontId="9" fillId="0" borderId="1" xfId="0" quotePrefix="1" applyNumberFormat="1" applyFont="1" applyBorder="1" applyAlignment="1">
      <alignment horizontal="center" vertical="top"/>
    </xf>
    <xf numFmtId="0" fontId="9" fillId="0" borderId="1" xfId="0" quotePrefix="1" applyFont="1" applyBorder="1" applyAlignment="1">
      <alignment horizontal="center" vertical="top" wrapText="1"/>
    </xf>
    <xf numFmtId="0" fontId="9" fillId="0" borderId="1" xfId="0" quotePrefix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6" fillId="0" borderId="1" xfId="0" applyFont="1" applyBorder="1"/>
    <xf numFmtId="43" fontId="9" fillId="0" borderId="1" xfId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6" fontId="0" fillId="0" borderId="0" xfId="0" applyNumberFormat="1" applyBorder="1"/>
    <xf numFmtId="167" fontId="0" fillId="0" borderId="0" xfId="0" applyNumberFormat="1" applyBorder="1"/>
    <xf numFmtId="49" fontId="9" fillId="0" borderId="1" xfId="0" quotePrefix="1" applyNumberFormat="1" applyFont="1" applyBorder="1" applyAlignment="1">
      <alignment horizontal="center" vertical="top" wrapText="1"/>
    </xf>
    <xf numFmtId="0" fontId="11" fillId="0" borderId="1" xfId="0" quotePrefix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38" fontId="0" fillId="0" borderId="0" xfId="0" applyNumberFormat="1" applyBorder="1"/>
    <xf numFmtId="164" fontId="0" fillId="0" borderId="0" xfId="0" applyNumberFormat="1" applyBorder="1"/>
    <xf numFmtId="0" fontId="10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1" xfId="0" applyFont="1" applyBorder="1" applyAlignment="1">
      <alignment vertical="top"/>
    </xf>
    <xf numFmtId="49" fontId="11" fillId="0" borderId="1" xfId="0" applyNumberFormat="1" applyFont="1" applyBorder="1" applyAlignment="1">
      <alignment horizontal="center" vertical="top"/>
    </xf>
    <xf numFmtId="0" fontId="11" fillId="0" borderId="0" xfId="0" applyFont="1" applyBorder="1"/>
    <xf numFmtId="173" fontId="9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1" xfId="0" applyFont="1" applyBorder="1" applyAlignment="1">
      <alignment vertical="top"/>
    </xf>
    <xf numFmtId="0" fontId="0" fillId="0" borderId="0" xfId="0" quotePrefix="1" applyBorder="1" applyAlignment="1">
      <alignment horizontal="left"/>
    </xf>
    <xf numFmtId="0" fontId="0" fillId="0" borderId="2" xfId="0" applyBorder="1"/>
    <xf numFmtId="5" fontId="0" fillId="0" borderId="0" xfId="0" applyNumberFormat="1" applyBorder="1"/>
    <xf numFmtId="49" fontId="0" fillId="0" borderId="0" xfId="0" applyNumberFormat="1" applyBorder="1" applyAlignment="1">
      <alignment horizontal="center"/>
    </xf>
    <xf numFmtId="5" fontId="0" fillId="0" borderId="2" xfId="0" applyNumberFormat="1" applyBorder="1"/>
    <xf numFmtId="0" fontId="0" fillId="0" borderId="3" xfId="0" applyBorder="1"/>
    <xf numFmtId="5" fontId="0" fillId="0" borderId="3" xfId="0" applyNumberFormat="1" applyBorder="1"/>
    <xf numFmtId="0" fontId="10" fillId="0" borderId="1" xfId="0" applyFont="1" applyBorder="1" applyAlignment="1">
      <alignment vertical="top"/>
    </xf>
    <xf numFmtId="0" fontId="5" fillId="0" borderId="0" xfId="0" applyFont="1" applyBorder="1"/>
    <xf numFmtId="5" fontId="5" fillId="0" borderId="0" xfId="0" applyNumberFormat="1" applyFont="1" applyBorder="1"/>
    <xf numFmtId="38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6" fontId="4" fillId="0" borderId="0" xfId="0" applyNumberFormat="1" applyFont="1" applyBorder="1"/>
    <xf numFmtId="5" fontId="4" fillId="0" borderId="0" xfId="0" applyNumberFormat="1" applyFont="1" applyBorder="1"/>
    <xf numFmtId="3" fontId="5" fillId="0" borderId="0" xfId="0" applyNumberFormat="1" applyFont="1" applyBorder="1"/>
    <xf numFmtId="5" fontId="5" fillId="0" borderId="0" xfId="0" applyNumberFormat="1" applyFont="1"/>
    <xf numFmtId="171" fontId="5" fillId="0" borderId="0" xfId="1" applyNumberFormat="1" applyFont="1"/>
    <xf numFmtId="173" fontId="9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38" fontId="5" fillId="0" borderId="0" xfId="0" applyNumberFormat="1" applyFont="1"/>
    <xf numFmtId="6" fontId="5" fillId="0" borderId="0" xfId="0" applyNumberFormat="1" applyFont="1"/>
    <xf numFmtId="6" fontId="5" fillId="0" borderId="0" xfId="0" applyNumberFormat="1" applyFont="1" applyBorder="1"/>
    <xf numFmtId="0" fontId="5" fillId="0" borderId="2" xfId="0" applyFont="1" applyBorder="1"/>
    <xf numFmtId="6" fontId="5" fillId="0" borderId="2" xfId="0" applyNumberFormat="1" applyFont="1" applyBorder="1"/>
    <xf numFmtId="0" fontId="2" fillId="0" borderId="0" xfId="0" quotePrefix="1" applyFont="1" applyAlignment="1">
      <alignment horizontal="center"/>
    </xf>
    <xf numFmtId="0" fontId="0" fillId="0" borderId="0" xfId="0" quotePrefix="1" applyBorder="1" applyAlignment="1">
      <alignment horizontal="center"/>
    </xf>
    <xf numFmtId="43" fontId="9" fillId="0" borderId="1" xfId="1" quotePrefix="1" applyFont="1" applyBorder="1" applyAlignment="1">
      <alignment horizontal="center" vertical="top"/>
    </xf>
    <xf numFmtId="173" fontId="9" fillId="0" borderId="1" xfId="0" quotePrefix="1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9" fontId="0" fillId="2" borderId="4" xfId="2" applyFont="1" applyFill="1" applyBorder="1"/>
    <xf numFmtId="0" fontId="9" fillId="0" borderId="0" xfId="0" quotePrefix="1" applyFont="1" applyBorder="1" applyAlignment="1">
      <alignment horizontal="center" vertical="top"/>
    </xf>
    <xf numFmtId="0" fontId="5" fillId="0" borderId="3" xfId="0" applyFont="1" applyBorder="1"/>
    <xf numFmtId="0" fontId="4" fillId="0" borderId="0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175" fontId="3" fillId="0" borderId="0" xfId="1" applyNumberFormat="1" applyFont="1"/>
    <xf numFmtId="175" fontId="4" fillId="0" borderId="0" xfId="1" applyNumberFormat="1" applyFont="1" applyBorder="1"/>
    <xf numFmtId="175" fontId="0" fillId="0" borderId="0" xfId="1" applyNumberFormat="1" applyFont="1"/>
    <xf numFmtId="175" fontId="0" fillId="0" borderId="0" xfId="1" applyNumberFormat="1" applyFont="1" applyBorder="1"/>
    <xf numFmtId="49" fontId="9" fillId="0" borderId="0" xfId="0" quotePrefix="1" applyNumberFormat="1" applyFont="1" applyBorder="1" applyAlignment="1">
      <alignment horizontal="center" vertical="top"/>
    </xf>
    <xf numFmtId="8" fontId="0" fillId="0" borderId="0" xfId="0" applyNumberFormat="1"/>
    <xf numFmtId="49" fontId="9" fillId="0" borderId="0" xfId="0" quotePrefix="1" applyNumberFormat="1" applyFont="1" applyBorder="1" applyAlignment="1">
      <alignment horizontal="center" vertical="top" wrapText="1"/>
    </xf>
    <xf numFmtId="6" fontId="3" fillId="0" borderId="0" xfId="0" applyNumberFormat="1" applyFont="1" applyAlignment="1">
      <alignment horizontal="right"/>
    </xf>
    <xf numFmtId="6" fontId="0" fillId="0" borderId="0" xfId="0" applyNumberFormat="1" applyAlignment="1">
      <alignment horizontal="right"/>
    </xf>
    <xf numFmtId="6" fontId="3" fillId="0" borderId="0" xfId="0" applyNumberFormat="1" applyFont="1" applyBorder="1" applyAlignment="1">
      <alignment horizontal="right"/>
    </xf>
    <xf numFmtId="6" fontId="13" fillId="0" borderId="0" xfId="0" applyNumberFormat="1" applyFont="1" applyAlignment="1">
      <alignment horizontal="right"/>
    </xf>
    <xf numFmtId="6" fontId="4" fillId="0" borderId="0" xfId="0" applyNumberFormat="1" applyFont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 applyAlignment="1">
      <alignment horizontal="right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5" fontId="0" fillId="0" borderId="0" xfId="0" quotePrefix="1" applyNumberForma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173" fontId="16" fillId="0" borderId="0" xfId="0" applyNumberFormat="1" applyFont="1" applyBorder="1" applyAlignment="1">
      <alignment horizontal="center"/>
    </xf>
    <xf numFmtId="0" fontId="16" fillId="0" borderId="1" xfId="0" quotePrefix="1" applyFont="1" applyBorder="1" applyAlignment="1">
      <alignment horizontal="center" vertical="top"/>
    </xf>
    <xf numFmtId="0" fontId="5" fillId="0" borderId="0" xfId="0" quotePrefix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6" fillId="0" borderId="1" xfId="0" quotePrefix="1" applyFont="1" applyBorder="1" applyAlignment="1">
      <alignment horizontal="center" vertical="top" wrapText="1"/>
    </xf>
    <xf numFmtId="49" fontId="0" fillId="0" borderId="0" xfId="0" quotePrefix="1" applyNumberFormat="1" applyAlignment="1">
      <alignment horizontal="center"/>
    </xf>
    <xf numFmtId="173" fontId="9" fillId="0" borderId="0" xfId="0" quotePrefix="1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1" applyNumberFormat="1" applyFont="1" applyAlignment="1">
      <alignment horizontal="center"/>
    </xf>
    <xf numFmtId="0" fontId="5" fillId="0" borderId="0" xfId="0" quotePrefix="1" applyFont="1" applyAlignment="1">
      <alignment horizontal="right"/>
    </xf>
    <xf numFmtId="173" fontId="9" fillId="0" borderId="1" xfId="0" quotePrefix="1" applyNumberFormat="1" applyFont="1" applyBorder="1" applyAlignment="1">
      <alignment horizontal="center" vertical="top" wrapText="1"/>
    </xf>
    <xf numFmtId="0" fontId="17" fillId="0" borderId="0" xfId="0" applyFont="1"/>
    <xf numFmtId="49" fontId="16" fillId="0" borderId="1" xfId="0" quotePrefix="1" applyNumberFormat="1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353786</xdr:colOff>
      <xdr:row>34</xdr:row>
      <xdr:rowOff>119743</xdr:rowOff>
    </xdr:from>
    <xdr:to>
      <xdr:col>5</xdr:col>
      <xdr:colOff>707571</xdr:colOff>
      <xdr:row>46</xdr:row>
      <xdr:rowOff>38100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985B0CB-22D8-D894-1CBB-45746F2FA4A5}"/>
            </a:ext>
          </a:extLst>
        </xdr:cNvPr>
        <xdr:cNvSpPr>
          <a:spLocks/>
        </xdr:cNvSpPr>
      </xdr:nvSpPr>
      <xdr:spPr bwMode="auto">
        <a:xfrm>
          <a:off x="4120243" y="5562600"/>
          <a:ext cx="353786" cy="1926771"/>
        </a:xfrm>
        <a:prstGeom prst="rightBrace">
          <a:avLst>
            <a:gd name="adj1" fmla="val 45385"/>
            <a:gd name="adj2" fmla="val 51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0F52-B722-4959-9198-A919BD801B10}">
  <dimension ref="A1:Q134"/>
  <sheetViews>
    <sheetView tabSelected="1" zoomScaleNormal="100" workbookViewId="0"/>
  </sheetViews>
  <sheetFormatPr defaultRowHeight="12.45" outlineLevelCol="1" x14ac:dyDescent="0.3"/>
  <cols>
    <col min="2" max="2" width="11" customWidth="1"/>
    <col min="3" max="3" width="10.53515625" customWidth="1"/>
    <col min="4" max="4" width="10.15234375" customWidth="1"/>
    <col min="5" max="5" width="12.3046875" customWidth="1"/>
    <col min="6" max="6" width="12" customWidth="1"/>
    <col min="7" max="7" width="12.3828125" customWidth="1"/>
    <col min="8" max="8" width="14.69140625" customWidth="1"/>
    <col min="9" max="9" width="9.3828125" hidden="1" customWidth="1" outlineLevel="1"/>
    <col min="10" max="10" width="10" hidden="1" customWidth="1" outlineLevel="1"/>
    <col min="11" max="11" width="14.84375" customWidth="1" collapsed="1"/>
    <col min="12" max="12" width="11" customWidth="1"/>
    <col min="13" max="13" width="11.3046875" customWidth="1"/>
    <col min="14" max="14" width="10.84375" customWidth="1"/>
  </cols>
  <sheetData>
    <row r="1" spans="1:16" s="106" customFormat="1" ht="24" customHeight="1" thickBot="1" x14ac:dyDescent="0.35">
      <c r="A1" s="104" t="s">
        <v>117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6" ht="12.9" thickTop="1" x14ac:dyDescent="0.3">
      <c r="A2" s="84" t="str">
        <f>"Assumptions: in the second year, "&amp;area*100&amp;"% of TRR of existing High Voltage (""HV"") facilities is TAC Area, "&amp;iso*100&amp;"% is ISO Grid-wide "</f>
        <v xml:space="preserve">Assumptions: in the second year, 80% of TRR of existing High Voltage ("HV") facilities is TAC Area, 20% is ISO Grid-wide </v>
      </c>
      <c r="B2" s="58"/>
      <c r="C2" s="58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x14ac:dyDescent="0.3">
      <c r="A3" s="88" t="s">
        <v>125</v>
      </c>
      <c r="B3" s="54"/>
      <c r="C3" s="54"/>
      <c r="D3" s="11"/>
      <c r="E3" s="11"/>
      <c r="F3" s="11"/>
      <c r="G3" s="11"/>
      <c r="H3" s="11"/>
      <c r="I3" s="11"/>
      <c r="J3" s="11"/>
      <c r="K3" s="11"/>
    </row>
    <row r="4" spans="1:16" x14ac:dyDescent="0.3">
      <c r="A4" s="11"/>
      <c r="B4" s="54"/>
      <c r="C4" s="54"/>
      <c r="D4" s="11"/>
      <c r="E4" s="11"/>
      <c r="F4" s="11"/>
      <c r="G4" s="11"/>
      <c r="H4" s="11"/>
      <c r="I4" s="11"/>
      <c r="J4" s="11"/>
      <c r="K4" s="11"/>
    </row>
    <row r="5" spans="1:16" x14ac:dyDescent="0.3">
      <c r="A5" s="11"/>
      <c r="B5" s="107"/>
      <c r="C5" s="78"/>
      <c r="D5" s="11"/>
      <c r="E5" s="11"/>
      <c r="F5" s="37"/>
      <c r="G5" s="11"/>
      <c r="H5" s="11"/>
      <c r="I5" s="11"/>
      <c r="J5" s="11"/>
      <c r="K5" s="11"/>
    </row>
    <row r="6" spans="1:16" x14ac:dyDescent="0.3">
      <c r="A6" s="11"/>
      <c r="B6" s="107" t="s">
        <v>118</v>
      </c>
      <c r="C6" s="78" t="s">
        <v>68</v>
      </c>
      <c r="D6" s="11"/>
      <c r="E6" s="11"/>
      <c r="F6" s="37" t="s">
        <v>119</v>
      </c>
      <c r="G6" s="11"/>
      <c r="H6" s="11"/>
      <c r="I6" s="11"/>
      <c r="J6" s="11"/>
      <c r="K6" s="11"/>
      <c r="O6" s="19" t="s">
        <v>44</v>
      </c>
      <c r="P6" s="82">
        <v>0.2</v>
      </c>
    </row>
    <row r="7" spans="1:16" x14ac:dyDescent="0.3">
      <c r="A7" s="11"/>
      <c r="B7" s="37" t="s">
        <v>149</v>
      </c>
      <c r="C7" s="37" t="s">
        <v>122</v>
      </c>
      <c r="D7" s="78" t="s">
        <v>102</v>
      </c>
      <c r="E7" s="11"/>
      <c r="F7" s="37" t="s">
        <v>19</v>
      </c>
      <c r="G7" s="11"/>
      <c r="H7" s="11"/>
      <c r="I7" s="11"/>
      <c r="J7" s="11"/>
      <c r="K7" s="11"/>
      <c r="O7" s="19" t="s">
        <v>45</v>
      </c>
      <c r="P7" s="82">
        <v>0.8</v>
      </c>
    </row>
    <row r="8" spans="1:16" x14ac:dyDescent="0.3">
      <c r="A8" s="11"/>
      <c r="B8" s="81" t="s">
        <v>121</v>
      </c>
      <c r="C8" s="37" t="s">
        <v>120</v>
      </c>
      <c r="D8" s="37" t="s">
        <v>10</v>
      </c>
      <c r="E8" s="37" t="s">
        <v>12</v>
      </c>
      <c r="F8" s="37" t="s">
        <v>20</v>
      </c>
      <c r="G8" s="11"/>
      <c r="H8" s="11"/>
      <c r="I8" s="11"/>
      <c r="J8" s="11"/>
      <c r="K8" s="11"/>
    </row>
    <row r="9" spans="1:16" x14ac:dyDescent="0.3">
      <c r="A9" s="11"/>
      <c r="B9" s="55" t="s">
        <v>22</v>
      </c>
      <c r="C9" s="55" t="s">
        <v>22</v>
      </c>
      <c r="D9" s="37" t="s">
        <v>11</v>
      </c>
      <c r="E9" s="37" t="s">
        <v>13</v>
      </c>
      <c r="F9" s="37" t="s">
        <v>21</v>
      </c>
      <c r="G9" s="11"/>
      <c r="H9" s="11"/>
      <c r="I9" s="11"/>
      <c r="J9" s="11"/>
      <c r="K9" s="11"/>
    </row>
    <row r="10" spans="1:16" s="41" customFormat="1" ht="10.75" x14ac:dyDescent="0.3">
      <c r="A10" s="40"/>
      <c r="B10" s="46">
        <v>1</v>
      </c>
      <c r="C10" s="46">
        <v>2</v>
      </c>
      <c r="D10" s="46">
        <v>3</v>
      </c>
      <c r="E10" s="46">
        <v>4</v>
      </c>
      <c r="F10" s="46">
        <v>5</v>
      </c>
    </row>
    <row r="11" spans="1:16" s="40" customFormat="1" ht="10.75" x14ac:dyDescent="0.2">
      <c r="A11" s="59"/>
      <c r="B11" s="26"/>
      <c r="C11" s="32"/>
      <c r="D11" s="32"/>
      <c r="E11" s="32"/>
      <c r="F11" s="26" t="s">
        <v>150</v>
      </c>
    </row>
    <row r="12" spans="1:16" x14ac:dyDescent="0.3">
      <c r="A12" s="11" t="s">
        <v>0</v>
      </c>
      <c r="B12" s="54">
        <v>65000</v>
      </c>
      <c r="C12" s="54">
        <v>20000</v>
      </c>
      <c r="D12" s="38">
        <v>60000</v>
      </c>
      <c r="E12" s="37" t="s">
        <v>14</v>
      </c>
      <c r="F12" s="39">
        <f>(B12+C12)/D12</f>
        <v>1.4166666666666667</v>
      </c>
      <c r="G12" s="11"/>
      <c r="H12" s="11"/>
      <c r="I12" s="11"/>
      <c r="J12" s="11"/>
      <c r="K12" s="11"/>
    </row>
    <row r="13" spans="1:16" x14ac:dyDescent="0.3">
      <c r="A13" s="11" t="s">
        <v>1</v>
      </c>
      <c r="B13" s="54">
        <v>100000</v>
      </c>
      <c r="C13" s="54">
        <v>10000</v>
      </c>
      <c r="D13" s="38">
        <v>65000</v>
      </c>
      <c r="E13" s="37" t="s">
        <v>15</v>
      </c>
      <c r="F13" s="39">
        <f t="shared" ref="F13:F21" si="0">(B13+C13)/D13</f>
        <v>1.6923076923076923</v>
      </c>
      <c r="G13" s="11"/>
      <c r="H13" s="11"/>
      <c r="I13" s="11"/>
      <c r="J13" s="11"/>
      <c r="K13" s="11"/>
    </row>
    <row r="14" spans="1:16" x14ac:dyDescent="0.3">
      <c r="A14" s="11" t="s">
        <v>2</v>
      </c>
      <c r="B14" s="54">
        <v>15000</v>
      </c>
      <c r="C14" s="54">
        <v>5000</v>
      </c>
      <c r="D14" s="38">
        <v>10000</v>
      </c>
      <c r="E14" s="37" t="s">
        <v>16</v>
      </c>
      <c r="F14" s="39">
        <f t="shared" si="0"/>
        <v>2</v>
      </c>
      <c r="G14" s="11"/>
      <c r="H14" s="11"/>
      <c r="I14" s="11"/>
      <c r="J14" s="11"/>
      <c r="K14" s="11"/>
    </row>
    <row r="15" spans="1:16" x14ac:dyDescent="0.3">
      <c r="A15" s="11" t="s">
        <v>3</v>
      </c>
      <c r="B15" s="54">
        <v>75000</v>
      </c>
      <c r="C15" s="54"/>
      <c r="D15" s="38">
        <v>15000</v>
      </c>
      <c r="E15" s="37" t="s">
        <v>17</v>
      </c>
      <c r="F15" s="39">
        <f t="shared" si="0"/>
        <v>5</v>
      </c>
      <c r="G15" s="11"/>
      <c r="H15" s="11"/>
      <c r="I15" s="11"/>
      <c r="J15" s="11"/>
      <c r="K15" s="11"/>
    </row>
    <row r="16" spans="1:16" x14ac:dyDescent="0.3">
      <c r="A16" s="11" t="s">
        <v>4</v>
      </c>
      <c r="B16" s="54">
        <v>18000</v>
      </c>
      <c r="C16" s="54">
        <v>2000</v>
      </c>
      <c r="D16" s="38">
        <v>10000</v>
      </c>
      <c r="E16" s="37" t="s">
        <v>14</v>
      </c>
      <c r="F16" s="39">
        <f>(B16+C16)/D16</f>
        <v>2</v>
      </c>
      <c r="G16" s="11"/>
      <c r="H16" s="11"/>
      <c r="I16" s="11"/>
      <c r="J16" s="11"/>
      <c r="K16" s="11"/>
    </row>
    <row r="17" spans="1:14" x14ac:dyDescent="0.3">
      <c r="A17" s="11" t="s">
        <v>5</v>
      </c>
      <c r="B17" s="54">
        <v>9000</v>
      </c>
      <c r="C17" s="54">
        <v>1000</v>
      </c>
      <c r="D17" s="38">
        <v>5000</v>
      </c>
      <c r="E17" s="37" t="s">
        <v>14</v>
      </c>
      <c r="F17" s="39">
        <f t="shared" si="0"/>
        <v>2</v>
      </c>
      <c r="G17" s="11"/>
      <c r="H17" s="11"/>
      <c r="I17" s="11"/>
      <c r="J17" s="11"/>
      <c r="K17" s="11"/>
    </row>
    <row r="18" spans="1:14" x14ac:dyDescent="0.3">
      <c r="A18" s="11" t="s">
        <v>6</v>
      </c>
      <c r="B18" s="54">
        <v>6000</v>
      </c>
      <c r="C18" s="54"/>
      <c r="D18" s="38">
        <v>2000</v>
      </c>
      <c r="E18" s="37" t="s">
        <v>15</v>
      </c>
      <c r="F18" s="39">
        <f t="shared" si="0"/>
        <v>3</v>
      </c>
      <c r="G18" s="11"/>
      <c r="H18" s="11"/>
      <c r="I18" s="11"/>
      <c r="J18" s="11"/>
      <c r="K18" s="11"/>
    </row>
    <row r="19" spans="1:14" x14ac:dyDescent="0.3">
      <c r="A19" s="11" t="s">
        <v>7</v>
      </c>
      <c r="B19" s="54">
        <v>4000</v>
      </c>
      <c r="C19" s="54">
        <v>1000</v>
      </c>
      <c r="D19" s="38">
        <v>3000</v>
      </c>
      <c r="E19" s="37" t="s">
        <v>14</v>
      </c>
      <c r="F19" s="39">
        <f t="shared" si="0"/>
        <v>1.6666666666666667</v>
      </c>
      <c r="G19" s="11"/>
      <c r="H19" s="11"/>
      <c r="I19" s="11"/>
      <c r="J19" s="11"/>
      <c r="K19" s="11"/>
    </row>
    <row r="20" spans="1:14" x14ac:dyDescent="0.3">
      <c r="A20" s="11" t="s">
        <v>18</v>
      </c>
      <c r="B20" s="54">
        <v>3000</v>
      </c>
      <c r="C20" s="54">
        <v>1000</v>
      </c>
      <c r="D20" s="38">
        <v>1000</v>
      </c>
      <c r="E20" s="37" t="s">
        <v>17</v>
      </c>
      <c r="F20" s="39">
        <f t="shared" si="0"/>
        <v>4</v>
      </c>
      <c r="G20" s="11"/>
      <c r="H20" s="11"/>
      <c r="I20" s="11"/>
      <c r="J20" s="11"/>
      <c r="K20" s="11"/>
    </row>
    <row r="21" spans="1:14" x14ac:dyDescent="0.3">
      <c r="A21" s="60" t="s">
        <v>28</v>
      </c>
      <c r="B21" s="61">
        <f>SUM(B12:B20)</f>
        <v>295000</v>
      </c>
      <c r="C21" s="61">
        <f>SUM(C12:C20)</f>
        <v>40000</v>
      </c>
      <c r="D21" s="62">
        <f>SUM(D12:D20)</f>
        <v>171000</v>
      </c>
      <c r="E21" s="63"/>
      <c r="F21" s="64">
        <f t="shared" si="0"/>
        <v>1.9590643274853801</v>
      </c>
      <c r="G21" s="11"/>
      <c r="H21" s="11"/>
      <c r="I21" s="11"/>
      <c r="J21" s="11"/>
      <c r="K21" s="11"/>
    </row>
    <row r="22" spans="1:14" ht="12.9" thickBot="1" x14ac:dyDescent="0.35">
      <c r="A22" s="53"/>
      <c r="B22" s="56"/>
      <c r="C22" s="56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 ht="12.9" thickTop="1" x14ac:dyDescent="0.3">
      <c r="A23" s="85" t="s">
        <v>137</v>
      </c>
      <c r="B23" s="54"/>
      <c r="C23" s="54"/>
      <c r="D23" s="11"/>
      <c r="E23" s="11"/>
      <c r="F23" s="11"/>
      <c r="G23" s="11"/>
      <c r="H23" s="11"/>
      <c r="I23" s="11"/>
      <c r="J23" s="11"/>
    </row>
    <row r="24" spans="1:14" x14ac:dyDescent="0.3">
      <c r="A24" s="86" t="str">
        <f>"which has not yet transitioned to the ISO ("&amp;area*100&amp;"%) divided by the Total Load of each area.  The ISO portion is the percent of all"</f>
        <v>which has not yet transitioned to the ISO (80%) divided by the Total Load of each area.  The ISO portion is the percent of all</v>
      </c>
      <c r="B24" s="2"/>
      <c r="C24" s="2"/>
      <c r="G24" s="11"/>
      <c r="H24" s="11"/>
      <c r="I24" s="11"/>
      <c r="J24" s="11"/>
    </row>
    <row r="25" spans="1:14" x14ac:dyDescent="0.3">
      <c r="A25" s="87" t="str">
        <f>"TRR which has transitioned to ISO-Wide (" &amp;iso*100&amp;"%), plus the TRR of New HV Facilities, divided by total load."</f>
        <v>TRR which has transitioned to ISO-Wide (20%), plus the TRR of New HV Facilities, divided by total load.</v>
      </c>
      <c r="B25" s="2"/>
      <c r="C25" s="2"/>
      <c r="G25" s="11"/>
      <c r="H25" s="11"/>
      <c r="I25" s="11"/>
      <c r="J25" s="11"/>
    </row>
    <row r="26" spans="1:14" x14ac:dyDescent="0.3">
      <c r="A26" s="87"/>
      <c r="B26" s="2"/>
      <c r="C26" s="2"/>
      <c r="G26" s="11"/>
      <c r="H26" s="11"/>
      <c r="I26" s="11"/>
      <c r="J26" s="11"/>
    </row>
    <row r="27" spans="1:14" x14ac:dyDescent="0.3">
      <c r="A27" s="87"/>
      <c r="C27" s="2"/>
      <c r="G27" s="11"/>
      <c r="H27" s="11"/>
      <c r="I27" s="11"/>
      <c r="J27" s="11"/>
    </row>
    <row r="28" spans="1:14" x14ac:dyDescent="0.3">
      <c r="B28" s="107" t="s">
        <v>118</v>
      </c>
      <c r="C28" s="18"/>
      <c r="D28" s="13"/>
      <c r="G28" s="11"/>
      <c r="H28" s="11"/>
      <c r="I28" s="11"/>
      <c r="J28" s="11"/>
    </row>
    <row r="29" spans="1:14" x14ac:dyDescent="0.3">
      <c r="B29" s="37" t="s">
        <v>149</v>
      </c>
      <c r="C29" s="24" t="s">
        <v>43</v>
      </c>
      <c r="D29" s="13"/>
      <c r="E29" s="16" t="s">
        <v>47</v>
      </c>
      <c r="G29" s="11"/>
      <c r="H29" s="11"/>
      <c r="I29" s="11"/>
      <c r="J29" s="11"/>
    </row>
    <row r="30" spans="1:14" x14ac:dyDescent="0.3">
      <c r="B30" s="81" t="s">
        <v>121</v>
      </c>
      <c r="C30" s="24" t="s">
        <v>8</v>
      </c>
      <c r="D30" s="14" t="s">
        <v>10</v>
      </c>
      <c r="E30" s="16" t="s">
        <v>29</v>
      </c>
      <c r="G30" s="11"/>
      <c r="H30" s="11"/>
      <c r="I30" s="11"/>
      <c r="J30" s="11"/>
    </row>
    <row r="31" spans="1:14" x14ac:dyDescent="0.3">
      <c r="B31" s="4" t="s">
        <v>22</v>
      </c>
      <c r="C31" s="17" t="s">
        <v>22</v>
      </c>
      <c r="D31" s="77" t="s">
        <v>144</v>
      </c>
      <c r="E31" s="16" t="s">
        <v>21</v>
      </c>
      <c r="G31" s="11"/>
      <c r="H31" s="11"/>
      <c r="I31" s="11"/>
      <c r="J31" s="11"/>
    </row>
    <row r="32" spans="1:14" s="42" customFormat="1" ht="10.75" x14ac:dyDescent="0.3">
      <c r="A32" s="41"/>
      <c r="B32" s="46">
        <v>6</v>
      </c>
      <c r="C32" s="46">
        <v>7</v>
      </c>
      <c r="D32" s="46">
        <v>8</v>
      </c>
      <c r="E32" s="46">
        <v>9</v>
      </c>
    </row>
    <row r="33" spans="1:15" s="42" customFormat="1" ht="10.75" x14ac:dyDescent="0.3">
      <c r="A33" s="43"/>
      <c r="B33" s="26"/>
      <c r="C33" s="31" t="str">
        <f>"= [6] x "&amp;area*100&amp;"%"</f>
        <v>= [6] x 80%</v>
      </c>
      <c r="D33" s="80"/>
      <c r="E33" s="26" t="s">
        <v>55</v>
      </c>
      <c r="H33" s="120"/>
    </row>
    <row r="34" spans="1:15" x14ac:dyDescent="0.3">
      <c r="A34" t="s">
        <v>23</v>
      </c>
      <c r="B34" s="2">
        <f>SUMIF($E$12:$E$20,"N",$B$12:$B$20)</f>
        <v>96000</v>
      </c>
      <c r="C34" s="15">
        <f>B34*area</f>
        <v>76800</v>
      </c>
      <c r="D34" s="22">
        <f>SUMIF($E$12:$E$20,"N",$D$12:$D$20)</f>
        <v>78000</v>
      </c>
      <c r="E34" s="90">
        <f>C34/D34</f>
        <v>0.98461538461538467</v>
      </c>
      <c r="H34" s="23" t="s">
        <v>12</v>
      </c>
      <c r="O34" t="s">
        <v>14</v>
      </c>
    </row>
    <row r="35" spans="1:15" x14ac:dyDescent="0.3">
      <c r="A35" t="s">
        <v>24</v>
      </c>
      <c r="B35" s="2">
        <f>SUMIF($E$12:$E$20,"EC",$B$12:$B$20)</f>
        <v>106000</v>
      </c>
      <c r="C35" s="15">
        <f>B35*area</f>
        <v>84800</v>
      </c>
      <c r="D35" s="22">
        <f>SUMIF($E$12:$E$20,"EC",$D$12:$D$20)</f>
        <v>67000</v>
      </c>
      <c r="E35" s="90">
        <f>C35/D35</f>
        <v>1.2656716417910447</v>
      </c>
      <c r="H35" s="23" t="s">
        <v>66</v>
      </c>
      <c r="O35" t="s">
        <v>15</v>
      </c>
    </row>
    <row r="36" spans="1:15" x14ac:dyDescent="0.3">
      <c r="A36" t="s">
        <v>25</v>
      </c>
      <c r="B36" s="2">
        <f>SUMIF($E$12:$E$20,"WC",$B$12:$B$20)</f>
        <v>78000</v>
      </c>
      <c r="C36" s="15">
        <f>B36*area</f>
        <v>62400</v>
      </c>
      <c r="D36" s="22">
        <f>SUMIF($E$12:$E$20,"WC",$D$12:$D$20)</f>
        <v>16000</v>
      </c>
      <c r="E36" s="90">
        <f>C36/D36</f>
        <v>3.9</v>
      </c>
      <c r="H36" s="111" t="s">
        <v>67</v>
      </c>
      <c r="O36" t="s">
        <v>17</v>
      </c>
    </row>
    <row r="37" spans="1:15" x14ac:dyDescent="0.3">
      <c r="A37" t="s">
        <v>26</v>
      </c>
      <c r="B37" s="2">
        <f>SUMIF($E$12:$E$20,"S",$B$12:$B$20)</f>
        <v>15000</v>
      </c>
      <c r="C37" s="15">
        <f>B37*area</f>
        <v>12000</v>
      </c>
      <c r="D37" s="22">
        <f>SUMIF($E$12:$E$20,"S",$D$12:$D$20)</f>
        <v>10000</v>
      </c>
      <c r="E37" s="90">
        <f>C37/D37</f>
        <v>1.2</v>
      </c>
      <c r="H37" s="23" t="s">
        <v>21</v>
      </c>
      <c r="O37" t="s">
        <v>16</v>
      </c>
    </row>
    <row r="38" spans="1:15" x14ac:dyDescent="0.3">
      <c r="A38" s="20" t="s">
        <v>28</v>
      </c>
      <c r="B38" s="68">
        <f>SUM(B34:B37)</f>
        <v>295000</v>
      </c>
      <c r="C38" s="18">
        <f>SUM(C34:C37)</f>
        <v>236000</v>
      </c>
      <c r="D38" s="69">
        <f>SUM(D34:D37)</f>
        <v>171000</v>
      </c>
      <c r="E38" s="21"/>
      <c r="H38" s="109">
        <v>14</v>
      </c>
    </row>
    <row r="39" spans="1:15" x14ac:dyDescent="0.3">
      <c r="B39" s="2"/>
      <c r="C39" s="6"/>
      <c r="D39" s="7"/>
      <c r="E39" s="7"/>
      <c r="H39" s="121" t="s">
        <v>151</v>
      </c>
    </row>
    <row r="40" spans="1:15" x14ac:dyDescent="0.3">
      <c r="B40" s="24" t="s">
        <v>46</v>
      </c>
      <c r="C40" s="6"/>
      <c r="D40" s="7"/>
      <c r="E40" s="7"/>
      <c r="G40" s="116" t="s">
        <v>23</v>
      </c>
      <c r="H40" s="117">
        <f>E34+E$47</f>
        <v>1.5635627530364373</v>
      </c>
    </row>
    <row r="41" spans="1:15" x14ac:dyDescent="0.3">
      <c r="B41" s="24" t="s">
        <v>8</v>
      </c>
      <c r="C41" s="24" t="s">
        <v>68</v>
      </c>
      <c r="D41" s="7"/>
      <c r="E41" s="7"/>
      <c r="G41" s="118" t="s">
        <v>140</v>
      </c>
      <c r="H41" s="117">
        <f>E35+E$47</f>
        <v>1.8446190102120974</v>
      </c>
    </row>
    <row r="42" spans="1:15" x14ac:dyDescent="0.3">
      <c r="B42" s="1" t="s">
        <v>123</v>
      </c>
      <c r="C42" s="81" t="s">
        <v>122</v>
      </c>
      <c r="D42" s="2"/>
      <c r="E42" s="16" t="s">
        <v>46</v>
      </c>
      <c r="G42" s="118" t="s">
        <v>141</v>
      </c>
      <c r="H42" s="117">
        <f>E36+E$47</f>
        <v>4.4789473684210526</v>
      </c>
    </row>
    <row r="43" spans="1:15" x14ac:dyDescent="0.3">
      <c r="B43" s="81" t="s">
        <v>121</v>
      </c>
      <c r="C43" s="16" t="s">
        <v>120</v>
      </c>
      <c r="D43" s="1" t="s">
        <v>10</v>
      </c>
      <c r="E43" s="16" t="s">
        <v>29</v>
      </c>
      <c r="G43" s="116" t="s">
        <v>26</v>
      </c>
      <c r="H43" s="117">
        <f>E37+E$47</f>
        <v>1.7789473684210526</v>
      </c>
    </row>
    <row r="44" spans="1:15" x14ac:dyDescent="0.3">
      <c r="B44" s="17" t="s">
        <v>22</v>
      </c>
      <c r="C44" s="17" t="s">
        <v>22</v>
      </c>
      <c r="D44" s="77" t="s">
        <v>144</v>
      </c>
      <c r="E44" s="16" t="s">
        <v>21</v>
      </c>
    </row>
    <row r="45" spans="1:15" x14ac:dyDescent="0.3">
      <c r="A45" s="41"/>
      <c r="B45" s="46">
        <v>10</v>
      </c>
      <c r="C45" s="46">
        <v>11</v>
      </c>
      <c r="D45" s="46">
        <v>12</v>
      </c>
      <c r="E45" s="46">
        <v>13</v>
      </c>
      <c r="K45" s="11"/>
    </row>
    <row r="46" spans="1:15" ht="21.45" x14ac:dyDescent="0.3">
      <c r="A46" s="43"/>
      <c r="B46" s="79" t="str">
        <f>"Total ([6]) x "&amp;iso*100&amp;"%"</f>
        <v>Total ([6]) x 20%</v>
      </c>
      <c r="C46" s="70" t="s">
        <v>56</v>
      </c>
      <c r="D46" s="44"/>
      <c r="E46" s="119" t="s">
        <v>147</v>
      </c>
      <c r="K46" s="11"/>
    </row>
    <row r="47" spans="1:15" x14ac:dyDescent="0.3">
      <c r="A47" s="60" t="s">
        <v>27</v>
      </c>
      <c r="B47" s="65">
        <f>iso*B38</f>
        <v>59000</v>
      </c>
      <c r="C47" s="66">
        <f>C21</f>
        <v>40000</v>
      </c>
      <c r="D47" s="67">
        <f>D21</f>
        <v>171000</v>
      </c>
      <c r="E47" s="91">
        <f>(B47+C47)/D47</f>
        <v>0.57894736842105265</v>
      </c>
      <c r="K47" s="11"/>
    </row>
    <row r="48" spans="1:15" ht="12.9" thickBot="1" x14ac:dyDescent="0.3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</row>
    <row r="49" spans="1:12" ht="12.9" thickTop="1" x14ac:dyDescent="0.3">
      <c r="A49" s="88" t="s">
        <v>124</v>
      </c>
      <c r="B49" s="11"/>
      <c r="C49" s="11"/>
      <c r="D49" s="11"/>
      <c r="E49" s="11"/>
      <c r="F49" s="11"/>
      <c r="G49" s="11"/>
      <c r="H49" s="11"/>
      <c r="I49" s="11"/>
      <c r="J49" s="11"/>
    </row>
    <row r="50" spans="1:12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2" x14ac:dyDescent="0.3">
      <c r="E51" s="81" t="s">
        <v>78</v>
      </c>
      <c r="G51" s="81" t="s">
        <v>75</v>
      </c>
      <c r="H51" s="1" t="s">
        <v>126</v>
      </c>
    </row>
    <row r="52" spans="1:12" x14ac:dyDescent="0.3">
      <c r="D52" s="1" t="s">
        <v>43</v>
      </c>
      <c r="E52" s="1" t="s">
        <v>31</v>
      </c>
      <c r="F52" s="1" t="s">
        <v>19</v>
      </c>
      <c r="G52" s="81" t="s">
        <v>76</v>
      </c>
      <c r="H52" s="1" t="s">
        <v>36</v>
      </c>
      <c r="I52" s="1"/>
      <c r="J52" s="1"/>
    </row>
    <row r="53" spans="1:12" x14ac:dyDescent="0.3">
      <c r="B53" s="1" t="s">
        <v>12</v>
      </c>
      <c r="C53" s="1" t="s">
        <v>10</v>
      </c>
      <c r="D53" s="1" t="s">
        <v>29</v>
      </c>
      <c r="E53" s="1" t="s">
        <v>32</v>
      </c>
      <c r="F53" s="1" t="s">
        <v>20</v>
      </c>
      <c r="G53" s="1" t="s">
        <v>77</v>
      </c>
      <c r="H53" s="1" t="s">
        <v>35</v>
      </c>
      <c r="I53" s="1"/>
      <c r="J53" s="1"/>
    </row>
    <row r="54" spans="1:12" x14ac:dyDescent="0.3">
      <c r="B54" s="1" t="s">
        <v>13</v>
      </c>
      <c r="C54" s="81" t="s">
        <v>144</v>
      </c>
      <c r="D54" s="1" t="s">
        <v>21</v>
      </c>
      <c r="E54" s="4" t="s">
        <v>22</v>
      </c>
      <c r="F54" s="1" t="s">
        <v>21</v>
      </c>
      <c r="G54" s="4" t="s">
        <v>22</v>
      </c>
      <c r="H54" s="4" t="s">
        <v>22</v>
      </c>
      <c r="I54" s="4"/>
      <c r="J54" s="4"/>
    </row>
    <row r="55" spans="1:12" x14ac:dyDescent="0.3">
      <c r="A55" s="47"/>
      <c r="B55" s="48"/>
      <c r="C55" s="46">
        <v>15</v>
      </c>
      <c r="D55" s="46">
        <v>16</v>
      </c>
      <c r="E55" s="46">
        <v>17</v>
      </c>
      <c r="F55" s="46">
        <v>18</v>
      </c>
      <c r="G55" s="46">
        <v>19</v>
      </c>
      <c r="H55" s="46">
        <v>20</v>
      </c>
      <c r="I55" s="46"/>
      <c r="J55" s="46"/>
      <c r="K55" s="46"/>
      <c r="L55" s="46"/>
    </row>
    <row r="56" spans="1:12" x14ac:dyDescent="0.3">
      <c r="A56" s="51"/>
      <c r="B56" s="29"/>
      <c r="C56" s="26" t="s">
        <v>57</v>
      </c>
      <c r="D56" s="26" t="s">
        <v>133</v>
      </c>
      <c r="E56" s="26" t="s">
        <v>74</v>
      </c>
      <c r="F56" s="26" t="s">
        <v>58</v>
      </c>
      <c r="G56" s="26" t="s">
        <v>73</v>
      </c>
      <c r="H56" s="26" t="s">
        <v>72</v>
      </c>
      <c r="I56" s="94"/>
      <c r="J56" s="94"/>
    </row>
    <row r="57" spans="1:12" x14ac:dyDescent="0.3">
      <c r="A57" t="s">
        <v>0</v>
      </c>
      <c r="B57" s="1" t="s">
        <v>14</v>
      </c>
      <c r="C57" s="5">
        <f>D12</f>
        <v>60000</v>
      </c>
      <c r="D57" s="92">
        <f t="shared" ref="D57:D65" si="1">SUMIF($O$34:$O$37,$B57,$H$40:$H$43)</f>
        <v>1.5635627530364373</v>
      </c>
      <c r="E57" s="3">
        <f>C57*D57</f>
        <v>93813.765182186238</v>
      </c>
      <c r="F57" s="92">
        <f>F12</f>
        <v>1.4166666666666667</v>
      </c>
      <c r="G57" s="3">
        <f t="shared" ref="G57:G65" si="2">C57*F57</f>
        <v>85000</v>
      </c>
      <c r="H57" s="3">
        <f t="shared" ref="H57:H65" si="3">E57-G57</f>
        <v>8813.7651821862382</v>
      </c>
      <c r="I57" s="3"/>
      <c r="J57" s="3"/>
    </row>
    <row r="58" spans="1:12" x14ac:dyDescent="0.3">
      <c r="A58" t="s">
        <v>1</v>
      </c>
      <c r="B58" s="1" t="s">
        <v>15</v>
      </c>
      <c r="C58" s="5">
        <f t="shared" ref="C58:C65" si="4">D13</f>
        <v>65000</v>
      </c>
      <c r="D58" s="92">
        <f t="shared" si="1"/>
        <v>1.8446190102120974</v>
      </c>
      <c r="E58" s="3">
        <f>C58*D58</f>
        <v>119900.23566378633</v>
      </c>
      <c r="F58" s="92">
        <f t="shared" ref="F58:F65" si="5">F13</f>
        <v>1.6923076923076923</v>
      </c>
      <c r="G58" s="3">
        <f t="shared" si="2"/>
        <v>110000</v>
      </c>
      <c r="H58" s="3">
        <f t="shared" si="3"/>
        <v>9900.2356637863268</v>
      </c>
      <c r="I58" s="3"/>
      <c r="J58" s="3"/>
    </row>
    <row r="59" spans="1:12" x14ac:dyDescent="0.3">
      <c r="A59" t="s">
        <v>2</v>
      </c>
      <c r="B59" s="1" t="s">
        <v>16</v>
      </c>
      <c r="C59" s="5">
        <f t="shared" si="4"/>
        <v>10000</v>
      </c>
      <c r="D59" s="92">
        <f t="shared" si="1"/>
        <v>1.7789473684210526</v>
      </c>
      <c r="E59" s="3">
        <f t="shared" ref="E59:E65" si="6">C59*D59</f>
        <v>17789.473684210527</v>
      </c>
      <c r="F59" s="92">
        <f t="shared" si="5"/>
        <v>2</v>
      </c>
      <c r="G59" s="3">
        <f t="shared" si="2"/>
        <v>20000</v>
      </c>
      <c r="H59" s="3">
        <f t="shared" si="3"/>
        <v>-2210.5263157894733</v>
      </c>
      <c r="I59" s="3"/>
      <c r="J59" s="3"/>
    </row>
    <row r="60" spans="1:12" x14ac:dyDescent="0.3">
      <c r="A60" t="s">
        <v>3</v>
      </c>
      <c r="B60" s="1" t="s">
        <v>17</v>
      </c>
      <c r="C60" s="5">
        <f t="shared" si="4"/>
        <v>15000</v>
      </c>
      <c r="D60" s="92">
        <f t="shared" si="1"/>
        <v>4.4789473684210526</v>
      </c>
      <c r="E60" s="3">
        <f t="shared" si="6"/>
        <v>67184.210526315786</v>
      </c>
      <c r="F60" s="92">
        <f t="shared" si="5"/>
        <v>5</v>
      </c>
      <c r="G60" s="3">
        <f t="shared" si="2"/>
        <v>75000</v>
      </c>
      <c r="H60" s="3">
        <f t="shared" si="3"/>
        <v>-7815.7894736842136</v>
      </c>
      <c r="I60" s="3"/>
      <c r="J60" s="3"/>
    </row>
    <row r="61" spans="1:12" x14ac:dyDescent="0.3">
      <c r="A61" t="s">
        <v>4</v>
      </c>
      <c r="B61" s="1" t="s">
        <v>14</v>
      </c>
      <c r="C61" s="5">
        <f t="shared" si="4"/>
        <v>10000</v>
      </c>
      <c r="D61" s="92">
        <f t="shared" si="1"/>
        <v>1.5635627530364373</v>
      </c>
      <c r="E61" s="3">
        <f t="shared" si="6"/>
        <v>15635.627530364372</v>
      </c>
      <c r="F61" s="92">
        <f t="shared" si="5"/>
        <v>2</v>
      </c>
      <c r="G61" s="3">
        <f t="shared" si="2"/>
        <v>20000</v>
      </c>
      <c r="H61" s="3">
        <f t="shared" si="3"/>
        <v>-4364.3724696356276</v>
      </c>
      <c r="I61" s="3"/>
      <c r="J61" s="3"/>
    </row>
    <row r="62" spans="1:12" x14ac:dyDescent="0.3">
      <c r="A62" t="s">
        <v>5</v>
      </c>
      <c r="B62" s="1" t="s">
        <v>14</v>
      </c>
      <c r="C62" s="5">
        <f t="shared" si="4"/>
        <v>5000</v>
      </c>
      <c r="D62" s="92">
        <f t="shared" si="1"/>
        <v>1.5635627530364373</v>
      </c>
      <c r="E62" s="3">
        <f t="shared" si="6"/>
        <v>7817.8137651821862</v>
      </c>
      <c r="F62" s="92">
        <f t="shared" si="5"/>
        <v>2</v>
      </c>
      <c r="G62" s="3">
        <f t="shared" si="2"/>
        <v>10000</v>
      </c>
      <c r="H62" s="3">
        <f t="shared" si="3"/>
        <v>-2182.1862348178138</v>
      </c>
      <c r="I62" s="3"/>
      <c r="J62" s="3"/>
    </row>
    <row r="63" spans="1:12" x14ac:dyDescent="0.3">
      <c r="A63" t="s">
        <v>6</v>
      </c>
      <c r="B63" s="1" t="s">
        <v>15</v>
      </c>
      <c r="C63" s="5">
        <f t="shared" si="4"/>
        <v>2000</v>
      </c>
      <c r="D63" s="92">
        <f t="shared" si="1"/>
        <v>1.8446190102120974</v>
      </c>
      <c r="E63" s="3">
        <f t="shared" si="6"/>
        <v>3689.2380204241949</v>
      </c>
      <c r="F63" s="92">
        <f t="shared" si="5"/>
        <v>3</v>
      </c>
      <c r="G63" s="3">
        <f t="shared" si="2"/>
        <v>6000</v>
      </c>
      <c r="H63" s="3">
        <f t="shared" si="3"/>
        <v>-2310.7619795758051</v>
      </c>
      <c r="I63" s="3"/>
      <c r="J63" s="3"/>
    </row>
    <row r="64" spans="1:12" x14ac:dyDescent="0.3">
      <c r="A64" t="s">
        <v>7</v>
      </c>
      <c r="B64" s="1" t="s">
        <v>14</v>
      </c>
      <c r="C64" s="5">
        <f t="shared" si="4"/>
        <v>3000</v>
      </c>
      <c r="D64" s="92">
        <f t="shared" si="1"/>
        <v>1.5635627530364373</v>
      </c>
      <c r="E64" s="3">
        <f t="shared" si="6"/>
        <v>4690.6882591093117</v>
      </c>
      <c r="F64" s="92">
        <f t="shared" si="5"/>
        <v>1.6666666666666667</v>
      </c>
      <c r="G64" s="3">
        <f t="shared" si="2"/>
        <v>5000</v>
      </c>
      <c r="H64" s="3">
        <f t="shared" si="3"/>
        <v>-309.31174089068827</v>
      </c>
      <c r="I64" s="3"/>
      <c r="J64" s="3"/>
    </row>
    <row r="65" spans="1:16" x14ac:dyDescent="0.3">
      <c r="A65" s="11" t="s">
        <v>18</v>
      </c>
      <c r="B65" s="37" t="s">
        <v>17</v>
      </c>
      <c r="C65" s="38">
        <f t="shared" si="4"/>
        <v>1000</v>
      </c>
      <c r="D65" s="93">
        <f t="shared" si="1"/>
        <v>4.4789473684210526</v>
      </c>
      <c r="E65" s="33">
        <f t="shared" si="6"/>
        <v>4478.9473684210525</v>
      </c>
      <c r="F65" s="93">
        <f t="shared" si="5"/>
        <v>4</v>
      </c>
      <c r="G65" s="33">
        <f t="shared" si="2"/>
        <v>4000</v>
      </c>
      <c r="H65" s="33">
        <f t="shared" si="3"/>
        <v>478.94736842105249</v>
      </c>
      <c r="I65" s="33"/>
      <c r="J65" s="33"/>
      <c r="K65" s="11"/>
      <c r="L65" s="11"/>
      <c r="M65" s="11"/>
      <c r="N65" s="11"/>
      <c r="O65" s="11"/>
      <c r="P65" s="11"/>
    </row>
    <row r="66" spans="1:16" x14ac:dyDescent="0.3">
      <c r="A66" s="60" t="s">
        <v>28</v>
      </c>
      <c r="B66" s="60"/>
      <c r="C66" s="62">
        <f>SUM(C57:C65)</f>
        <v>171000</v>
      </c>
      <c r="D66" s="60"/>
      <c r="E66" s="74">
        <f>SUM(E57:E65)</f>
        <v>335000</v>
      </c>
      <c r="F66" s="60"/>
      <c r="G66" s="74">
        <f>SUM(G57:G65)</f>
        <v>335000</v>
      </c>
      <c r="H66" s="74">
        <f>SUM(H57:H65)</f>
        <v>-4.0927261579781771E-12</v>
      </c>
      <c r="I66" s="74"/>
      <c r="J66" s="74"/>
      <c r="K66" s="11"/>
      <c r="L66" s="11"/>
      <c r="M66" s="11"/>
      <c r="N66" s="11"/>
      <c r="O66" s="11"/>
      <c r="P66" s="11"/>
    </row>
    <row r="67" spans="1:16" ht="12.9" thickBot="1" x14ac:dyDescent="0.3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1:16" ht="12.9" thickTop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ht="3.75" customHeight="1" thickBot="1" x14ac:dyDescent="0.3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1:16" ht="12.9" thickTop="1" x14ac:dyDescent="0.3">
      <c r="A70" s="88" t="s">
        <v>103</v>
      </c>
      <c r="B70" s="11"/>
      <c r="C70" s="11"/>
      <c r="D70" s="11"/>
      <c r="E70" s="11"/>
      <c r="F70" s="11"/>
      <c r="G70" s="11"/>
      <c r="H70" s="11"/>
      <c r="I70" s="11"/>
      <c r="J70" s="11"/>
    </row>
    <row r="71" spans="1:16" x14ac:dyDescent="0.3">
      <c r="A71" s="88" t="s">
        <v>104</v>
      </c>
      <c r="B71" s="11"/>
      <c r="C71" s="11"/>
      <c r="D71" s="11"/>
      <c r="E71" s="11"/>
      <c r="F71" s="11"/>
      <c r="G71" s="11"/>
      <c r="H71" s="11"/>
      <c r="I71" s="11"/>
      <c r="J71" s="11"/>
    </row>
    <row r="72" spans="1:16" x14ac:dyDescent="0.3">
      <c r="A72" s="89" t="s">
        <v>105</v>
      </c>
    </row>
    <row r="74" spans="1:16" x14ac:dyDescent="0.3">
      <c r="E74" s="81" t="s">
        <v>37</v>
      </c>
      <c r="G74" s="81" t="s">
        <v>83</v>
      </c>
    </row>
    <row r="75" spans="1:16" x14ac:dyDescent="0.3">
      <c r="E75" s="16" t="s">
        <v>81</v>
      </c>
      <c r="G75" s="1" t="s">
        <v>81</v>
      </c>
      <c r="H75" s="81" t="s">
        <v>37</v>
      </c>
    </row>
    <row r="76" spans="1:16" x14ac:dyDescent="0.3">
      <c r="B76" s="1"/>
      <c r="C76" s="1"/>
      <c r="D76" s="1" t="s">
        <v>38</v>
      </c>
      <c r="E76" s="24" t="s">
        <v>48</v>
      </c>
      <c r="F76" s="81" t="s">
        <v>142</v>
      </c>
      <c r="G76" s="1" t="s">
        <v>79</v>
      </c>
      <c r="H76" s="1" t="s">
        <v>36</v>
      </c>
      <c r="I76" s="1"/>
      <c r="J76" s="1"/>
    </row>
    <row r="77" spans="1:16" x14ac:dyDescent="0.3">
      <c r="B77" s="1" t="s">
        <v>10</v>
      </c>
      <c r="C77" s="1" t="s">
        <v>37</v>
      </c>
      <c r="D77" s="1" t="s">
        <v>39</v>
      </c>
      <c r="E77" s="24" t="s">
        <v>49</v>
      </c>
      <c r="F77" s="81" t="s">
        <v>37</v>
      </c>
      <c r="G77" s="1" t="s">
        <v>53</v>
      </c>
      <c r="H77" s="1" t="s">
        <v>35</v>
      </c>
      <c r="I77" s="1"/>
      <c r="J77" s="1"/>
    </row>
    <row r="78" spans="1:16" x14ac:dyDescent="0.3">
      <c r="B78" s="81" t="s">
        <v>144</v>
      </c>
      <c r="C78" s="1" t="s">
        <v>21</v>
      </c>
      <c r="D78" s="81" t="s">
        <v>143</v>
      </c>
      <c r="E78" s="4" t="s">
        <v>22</v>
      </c>
      <c r="F78" s="1" t="s">
        <v>21</v>
      </c>
      <c r="G78" s="4" t="s">
        <v>22</v>
      </c>
      <c r="H78" s="4" t="s">
        <v>22</v>
      </c>
      <c r="I78" s="4"/>
      <c r="J78" s="4"/>
    </row>
    <row r="79" spans="1:16" x14ac:dyDescent="0.3">
      <c r="A79" s="45"/>
      <c r="B79" s="46">
        <v>21</v>
      </c>
      <c r="C79" s="46">
        <v>22</v>
      </c>
      <c r="D79" s="46">
        <v>23</v>
      </c>
      <c r="E79" s="46">
        <v>24</v>
      </c>
      <c r="F79" s="46">
        <v>25</v>
      </c>
      <c r="G79" s="46">
        <v>26</v>
      </c>
      <c r="H79" s="46">
        <v>27</v>
      </c>
      <c r="I79" s="46"/>
      <c r="J79" s="46"/>
    </row>
    <row r="80" spans="1:16" ht="21.45" x14ac:dyDescent="0.3">
      <c r="A80" s="71"/>
      <c r="B80" s="35" t="s">
        <v>57</v>
      </c>
      <c r="C80" s="36"/>
      <c r="D80" s="36"/>
      <c r="E80" s="35" t="s">
        <v>69</v>
      </c>
      <c r="F80" s="35" t="s">
        <v>145</v>
      </c>
      <c r="G80" s="35" t="s">
        <v>70</v>
      </c>
      <c r="H80" s="35" t="s">
        <v>71</v>
      </c>
      <c r="I80" s="96"/>
      <c r="J80" s="96"/>
    </row>
    <row r="81" spans="1:14" x14ac:dyDescent="0.3">
      <c r="A81" t="s">
        <v>0</v>
      </c>
      <c r="B81" s="5">
        <f>D12</f>
        <v>60000</v>
      </c>
      <c r="C81" s="10">
        <v>0.83</v>
      </c>
      <c r="D81" s="8">
        <v>1</v>
      </c>
      <c r="E81" s="3">
        <f>B81*C81*D81</f>
        <v>49800</v>
      </c>
      <c r="F81" s="12">
        <f t="shared" ref="F81:F89" si="7">$E$90/$B$90</f>
        <v>0.72442982456140348</v>
      </c>
      <c r="G81" s="9">
        <f t="shared" ref="G81:G89" si="8">B81*F81</f>
        <v>43465.789473684206</v>
      </c>
      <c r="H81" s="3">
        <f t="shared" ref="H81:H89" si="9">G81-E81</f>
        <v>-6334.2105263157937</v>
      </c>
      <c r="I81" s="3"/>
      <c r="J81" s="3"/>
    </row>
    <row r="82" spans="1:14" x14ac:dyDescent="0.3">
      <c r="A82" t="s">
        <v>1</v>
      </c>
      <c r="B82" s="5">
        <f t="shared" ref="B82:B89" si="10">D13</f>
        <v>65000</v>
      </c>
      <c r="C82" s="10">
        <v>0.83</v>
      </c>
      <c r="D82" s="8">
        <v>1</v>
      </c>
      <c r="E82" s="3">
        <f t="shared" ref="E82:E89" si="11">B82*C82*D82</f>
        <v>53950</v>
      </c>
      <c r="F82" s="12">
        <f t="shared" si="7"/>
        <v>0.72442982456140348</v>
      </c>
      <c r="G82" s="9">
        <f t="shared" si="8"/>
        <v>47087.938596491229</v>
      </c>
      <c r="H82" s="3">
        <f t="shared" si="9"/>
        <v>-6862.061403508771</v>
      </c>
      <c r="I82" s="3"/>
      <c r="J82" s="3"/>
    </row>
    <row r="83" spans="1:14" x14ac:dyDescent="0.3">
      <c r="A83" t="s">
        <v>2</v>
      </c>
      <c r="B83" s="5">
        <f t="shared" si="10"/>
        <v>10000</v>
      </c>
      <c r="C83" s="10">
        <v>0.83</v>
      </c>
      <c r="D83" s="8">
        <v>1</v>
      </c>
      <c r="E83" s="3">
        <f t="shared" si="11"/>
        <v>8300</v>
      </c>
      <c r="F83" s="12">
        <f t="shared" si="7"/>
        <v>0.72442982456140348</v>
      </c>
      <c r="G83" s="9">
        <f t="shared" si="8"/>
        <v>7244.2982456140344</v>
      </c>
      <c r="H83" s="3">
        <f t="shared" si="9"/>
        <v>-1055.7017543859656</v>
      </c>
      <c r="I83" s="3"/>
      <c r="J83" s="3"/>
    </row>
    <row r="84" spans="1:14" x14ac:dyDescent="0.3">
      <c r="A84" t="s">
        <v>3</v>
      </c>
      <c r="B84" s="5">
        <f t="shared" si="10"/>
        <v>15000</v>
      </c>
      <c r="C84" s="10">
        <v>0.83</v>
      </c>
      <c r="D84" s="8">
        <v>0.5</v>
      </c>
      <c r="E84" s="3">
        <f t="shared" si="11"/>
        <v>6225</v>
      </c>
      <c r="F84" s="12">
        <f t="shared" si="7"/>
        <v>0.72442982456140348</v>
      </c>
      <c r="G84" s="9">
        <f t="shared" si="8"/>
        <v>10866.447368421052</v>
      </c>
      <c r="H84" s="3">
        <f t="shared" si="9"/>
        <v>4641.4473684210516</v>
      </c>
      <c r="I84" s="3"/>
      <c r="J84" s="3"/>
    </row>
    <row r="85" spans="1:14" x14ac:dyDescent="0.3">
      <c r="A85" t="s">
        <v>4</v>
      </c>
      <c r="B85" s="5">
        <f t="shared" si="10"/>
        <v>10000</v>
      </c>
      <c r="C85" s="10">
        <v>0.83</v>
      </c>
      <c r="D85" s="8">
        <v>0.5</v>
      </c>
      <c r="E85" s="3">
        <f t="shared" si="11"/>
        <v>4150</v>
      </c>
      <c r="F85" s="12">
        <f t="shared" si="7"/>
        <v>0.72442982456140348</v>
      </c>
      <c r="G85" s="9">
        <f t="shared" si="8"/>
        <v>7244.2982456140344</v>
      </c>
      <c r="H85" s="3">
        <f t="shared" si="9"/>
        <v>3094.2982456140344</v>
      </c>
      <c r="I85" s="3"/>
      <c r="J85" s="3"/>
    </row>
    <row r="86" spans="1:14" x14ac:dyDescent="0.3">
      <c r="A86" t="s">
        <v>5</v>
      </c>
      <c r="B86" s="5">
        <f t="shared" si="10"/>
        <v>5000</v>
      </c>
      <c r="C86" s="10">
        <v>0.83</v>
      </c>
      <c r="D86" s="8">
        <v>0.25</v>
      </c>
      <c r="E86" s="3">
        <f t="shared" si="11"/>
        <v>1037.5</v>
      </c>
      <c r="F86" s="12">
        <f t="shared" si="7"/>
        <v>0.72442982456140348</v>
      </c>
      <c r="G86" s="9">
        <f t="shared" si="8"/>
        <v>3622.1491228070172</v>
      </c>
      <c r="H86" s="3">
        <f t="shared" si="9"/>
        <v>2584.6491228070172</v>
      </c>
      <c r="I86" s="3"/>
      <c r="J86" s="3"/>
    </row>
    <row r="87" spans="1:14" x14ac:dyDescent="0.3">
      <c r="A87" t="s">
        <v>6</v>
      </c>
      <c r="B87" s="5">
        <f t="shared" si="10"/>
        <v>2000</v>
      </c>
      <c r="C87" s="10">
        <v>0.83</v>
      </c>
      <c r="D87" s="8">
        <v>0.25</v>
      </c>
      <c r="E87" s="3">
        <f t="shared" si="11"/>
        <v>415</v>
      </c>
      <c r="F87" s="12">
        <f t="shared" si="7"/>
        <v>0.72442982456140348</v>
      </c>
      <c r="G87" s="9">
        <f t="shared" si="8"/>
        <v>1448.859649122807</v>
      </c>
      <c r="H87" s="3">
        <f t="shared" si="9"/>
        <v>1033.859649122807</v>
      </c>
      <c r="I87" s="3"/>
      <c r="J87" s="3"/>
    </row>
    <row r="88" spans="1:14" x14ac:dyDescent="0.3">
      <c r="A88" t="s">
        <v>7</v>
      </c>
      <c r="B88" s="5">
        <f t="shared" si="10"/>
        <v>3000</v>
      </c>
      <c r="C88" s="10">
        <v>0.83</v>
      </c>
      <c r="D88" s="8">
        <v>0</v>
      </c>
      <c r="E88" s="3">
        <f t="shared" si="11"/>
        <v>0</v>
      </c>
      <c r="F88" s="12">
        <f t="shared" si="7"/>
        <v>0.72442982456140348</v>
      </c>
      <c r="G88" s="9">
        <f t="shared" si="8"/>
        <v>2173.2894736842104</v>
      </c>
      <c r="H88" s="3">
        <f t="shared" si="9"/>
        <v>2173.2894736842104</v>
      </c>
      <c r="I88" s="3"/>
      <c r="J88" s="3"/>
    </row>
    <row r="89" spans="1:14" x14ac:dyDescent="0.3">
      <c r="A89" t="s">
        <v>18</v>
      </c>
      <c r="B89" s="5">
        <f t="shared" si="10"/>
        <v>1000</v>
      </c>
      <c r="C89" s="10">
        <v>0.83</v>
      </c>
      <c r="D89" s="8">
        <v>0</v>
      </c>
      <c r="E89" s="3">
        <f t="shared" si="11"/>
        <v>0</v>
      </c>
      <c r="F89" s="12">
        <f t="shared" si="7"/>
        <v>0.72442982456140348</v>
      </c>
      <c r="G89" s="9">
        <f t="shared" si="8"/>
        <v>724.42982456140351</v>
      </c>
      <c r="H89" s="3">
        <f t="shared" si="9"/>
        <v>724.42982456140351</v>
      </c>
      <c r="I89" s="3"/>
      <c r="J89" s="3"/>
    </row>
    <row r="90" spans="1:14" x14ac:dyDescent="0.3">
      <c r="A90" s="20" t="s">
        <v>28</v>
      </c>
      <c r="B90" s="72">
        <f>SUM(B81:B89)</f>
        <v>171000</v>
      </c>
      <c r="C90" s="20"/>
      <c r="D90" s="20"/>
      <c r="E90" s="73">
        <f>SUM(E81:E89)</f>
        <v>123877.5</v>
      </c>
      <c r="F90" s="20"/>
      <c r="G90" s="73">
        <f>SUM(G81:G89)</f>
        <v>123877.5</v>
      </c>
      <c r="H90" s="73">
        <f>SUM(H81:H89)</f>
        <v>-6.0254023992456496E-12</v>
      </c>
      <c r="I90" s="73"/>
      <c r="J90" s="73"/>
      <c r="K90" s="11"/>
      <c r="L90" s="11"/>
      <c r="M90" s="11"/>
    </row>
    <row r="91" spans="1:14" ht="12.9" thickBot="1" x14ac:dyDescent="0.3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14" ht="12.9" thickTop="1" x14ac:dyDescent="0.3">
      <c r="A92" s="88" t="s">
        <v>138</v>
      </c>
      <c r="B92" s="11"/>
      <c r="C92" s="11"/>
      <c r="D92" s="11"/>
      <c r="E92" s="11"/>
      <c r="F92" s="11"/>
      <c r="G92" s="11"/>
      <c r="H92" s="11"/>
      <c r="I92" s="11"/>
      <c r="J92" s="11"/>
    </row>
    <row r="93" spans="1:14" x14ac:dyDescent="0.3">
      <c r="A93" s="89" t="s">
        <v>139</v>
      </c>
    </row>
    <row r="95" spans="1:14" x14ac:dyDescent="0.3">
      <c r="B95" s="4" t="s">
        <v>40</v>
      </c>
      <c r="C95" s="4"/>
      <c r="D95" s="1"/>
      <c r="E95" s="4"/>
      <c r="F95" s="16" t="s">
        <v>52</v>
      </c>
      <c r="G95" s="16" t="s">
        <v>78</v>
      </c>
      <c r="H95" s="16" t="s">
        <v>87</v>
      </c>
      <c r="I95" s="16"/>
      <c r="J95" s="81" t="s">
        <v>89</v>
      </c>
      <c r="L95" s="20"/>
      <c r="M95" s="111" t="s">
        <v>89</v>
      </c>
      <c r="N95" s="81"/>
    </row>
    <row r="96" spans="1:14" x14ac:dyDescent="0.3">
      <c r="B96" s="4" t="s">
        <v>41</v>
      </c>
      <c r="C96" s="4" t="s">
        <v>37</v>
      </c>
      <c r="D96" s="23" t="s">
        <v>42</v>
      </c>
      <c r="E96" s="16"/>
      <c r="F96" s="24" t="s">
        <v>86</v>
      </c>
      <c r="G96" s="16" t="s">
        <v>99</v>
      </c>
      <c r="H96" s="24" t="s">
        <v>96</v>
      </c>
      <c r="I96" s="24"/>
      <c r="J96" s="1" t="s">
        <v>90</v>
      </c>
      <c r="K96" s="24" t="s">
        <v>108</v>
      </c>
      <c r="L96" s="20"/>
      <c r="M96" s="23" t="s">
        <v>42</v>
      </c>
    </row>
    <row r="97" spans="1:17" x14ac:dyDescent="0.3">
      <c r="B97" s="4" t="s">
        <v>36</v>
      </c>
      <c r="C97" s="4" t="s">
        <v>36</v>
      </c>
      <c r="D97" s="108" t="s">
        <v>36</v>
      </c>
      <c r="E97" s="17" t="s">
        <v>9</v>
      </c>
      <c r="F97" s="24" t="s">
        <v>85</v>
      </c>
      <c r="G97" s="16" t="s">
        <v>35</v>
      </c>
      <c r="H97" s="81" t="s">
        <v>97</v>
      </c>
      <c r="I97" s="16" t="s">
        <v>82</v>
      </c>
      <c r="J97" s="4" t="s">
        <v>36</v>
      </c>
      <c r="K97" s="16" t="s">
        <v>88</v>
      </c>
      <c r="L97" s="23" t="s">
        <v>109</v>
      </c>
      <c r="M97" s="108" t="s">
        <v>36</v>
      </c>
    </row>
    <row r="98" spans="1:17" x14ac:dyDescent="0.3">
      <c r="B98" s="4" t="s">
        <v>35</v>
      </c>
      <c r="C98" s="4" t="s">
        <v>35</v>
      </c>
      <c r="D98" s="108" t="s">
        <v>35</v>
      </c>
      <c r="E98" s="17" t="s">
        <v>50</v>
      </c>
      <c r="F98" s="24" t="s">
        <v>106</v>
      </c>
      <c r="G98" s="24" t="s">
        <v>51</v>
      </c>
      <c r="H98" s="16" t="s">
        <v>98</v>
      </c>
      <c r="I98" s="16" t="s">
        <v>107</v>
      </c>
      <c r="J98" s="4" t="s">
        <v>35</v>
      </c>
      <c r="K98" s="16" t="s">
        <v>35</v>
      </c>
      <c r="L98" s="23" t="s">
        <v>41</v>
      </c>
      <c r="M98" s="108" t="s">
        <v>35</v>
      </c>
    </row>
    <row r="99" spans="1:17" x14ac:dyDescent="0.3">
      <c r="A99" s="11"/>
      <c r="B99" s="4" t="s">
        <v>22</v>
      </c>
      <c r="C99" s="4" t="s">
        <v>22</v>
      </c>
      <c r="D99" s="108" t="s">
        <v>22</v>
      </c>
      <c r="E99" s="17" t="s">
        <v>22</v>
      </c>
      <c r="F99" s="17" t="s">
        <v>22</v>
      </c>
      <c r="G99" s="17" t="s">
        <v>22</v>
      </c>
      <c r="H99" s="17" t="s">
        <v>22</v>
      </c>
      <c r="I99" s="17" t="s">
        <v>22</v>
      </c>
      <c r="J99" s="4" t="s">
        <v>22</v>
      </c>
      <c r="K99" s="17" t="s">
        <v>22</v>
      </c>
      <c r="L99" s="112" t="s">
        <v>22</v>
      </c>
      <c r="M99" s="108" t="s">
        <v>22</v>
      </c>
    </row>
    <row r="100" spans="1:17" x14ac:dyDescent="0.3">
      <c r="A100" s="50"/>
      <c r="B100" s="46">
        <v>28</v>
      </c>
      <c r="C100" s="46">
        <v>29</v>
      </c>
      <c r="D100" s="109">
        <v>30</v>
      </c>
      <c r="E100" s="46">
        <v>31</v>
      </c>
      <c r="F100" s="46">
        <v>32</v>
      </c>
      <c r="G100" s="46">
        <v>33</v>
      </c>
      <c r="H100" s="46">
        <v>34</v>
      </c>
      <c r="I100" s="115" t="s">
        <v>135</v>
      </c>
      <c r="J100" s="115" t="s">
        <v>136</v>
      </c>
      <c r="K100" s="46">
        <v>35</v>
      </c>
      <c r="L100" s="109">
        <v>36</v>
      </c>
      <c r="M100" s="109">
        <v>37</v>
      </c>
    </row>
    <row r="101" spans="1:17" ht="54.75" customHeight="1" x14ac:dyDescent="0.3">
      <c r="A101" s="30"/>
      <c r="B101" s="28" t="s">
        <v>59</v>
      </c>
      <c r="C101" s="28" t="s">
        <v>60</v>
      </c>
      <c r="D101" s="110" t="s">
        <v>61</v>
      </c>
      <c r="E101" s="29"/>
      <c r="F101" s="27" t="s">
        <v>115</v>
      </c>
      <c r="G101" s="27" t="s">
        <v>116</v>
      </c>
      <c r="H101" s="27" t="s">
        <v>146</v>
      </c>
      <c r="I101" s="27" t="s">
        <v>101</v>
      </c>
      <c r="J101" s="28" t="s">
        <v>100</v>
      </c>
      <c r="K101" s="27" t="s">
        <v>148</v>
      </c>
      <c r="L101" s="113" t="s">
        <v>110</v>
      </c>
      <c r="M101" s="113" t="s">
        <v>111</v>
      </c>
    </row>
    <row r="102" spans="1:17" x14ac:dyDescent="0.3">
      <c r="A102" t="s">
        <v>0</v>
      </c>
      <c r="B102" s="3">
        <f>H57</f>
        <v>8813.7651821862382</v>
      </c>
      <c r="C102" s="3">
        <f>H81</f>
        <v>-6334.2105263157937</v>
      </c>
      <c r="D102" s="73">
        <f t="shared" ref="D102:D110" si="12">B102+C102</f>
        <v>2479.5546558704445</v>
      </c>
      <c r="E102" s="97">
        <v>3000</v>
      </c>
      <c r="F102" s="97">
        <f t="shared" ref="F102:F110" si="13">IF(AND(G102=0,E102&gt;0),E102-D102,0)</f>
        <v>520.44534412955545</v>
      </c>
      <c r="G102" s="97">
        <f t="shared" ref="G102:G110" si="14">IF(D102-E102&gt;0,D102-E102,0)</f>
        <v>0</v>
      </c>
      <c r="H102" s="97">
        <f>IF(F$111&gt;G$111,F102/F$111*G$111,F102)</f>
        <v>381.4169015004781</v>
      </c>
      <c r="I102" s="97">
        <f t="shared" ref="I102:I110" si="15">H102-G102</f>
        <v>381.4169015004781</v>
      </c>
      <c r="J102" s="98">
        <f t="shared" ref="J102:J110" si="16">D102+I102</f>
        <v>2860.9715573709227</v>
      </c>
      <c r="K102" s="97">
        <f t="shared" ref="K102:K110" si="17">M102-J102</f>
        <v>-408.97784605474726</v>
      </c>
      <c r="L102" s="103">
        <f>K102+I102</f>
        <v>-27.560944554269156</v>
      </c>
      <c r="M102" s="102">
        <f>SUM($J$102:$J$104)*(E102/E$111)</f>
        <v>2451.9937113161754</v>
      </c>
      <c r="N102" s="3"/>
      <c r="Q102" s="95"/>
    </row>
    <row r="103" spans="1:17" x14ac:dyDescent="0.3">
      <c r="A103" t="s">
        <v>1</v>
      </c>
      <c r="B103" s="3">
        <f t="shared" ref="B103:B110" si="18">H58</f>
        <v>9900.2356637863268</v>
      </c>
      <c r="C103" s="3">
        <f t="shared" ref="C103:C110" si="19">H82</f>
        <v>-6862.061403508771</v>
      </c>
      <c r="D103" s="73">
        <f t="shared" si="12"/>
        <v>3038.1742602775557</v>
      </c>
      <c r="E103" s="97">
        <v>3000</v>
      </c>
      <c r="F103" s="97">
        <f t="shared" si="13"/>
        <v>0</v>
      </c>
      <c r="G103" s="97">
        <f t="shared" si="14"/>
        <v>38.174260277555732</v>
      </c>
      <c r="H103" s="97">
        <f>IF(F$111&gt;G$111,F103/F$111*G$111,F103)</f>
        <v>0</v>
      </c>
      <c r="I103" s="97">
        <f t="shared" si="15"/>
        <v>-38.174260277555732</v>
      </c>
      <c r="J103" s="98">
        <f t="shared" si="16"/>
        <v>3000</v>
      </c>
      <c r="K103" s="97">
        <f t="shared" si="17"/>
        <v>-548.00628868382455</v>
      </c>
      <c r="L103" s="103">
        <f t="shared" ref="L103:L111" si="20">K103+I103</f>
        <v>-586.18054896138028</v>
      </c>
      <c r="M103" s="102">
        <f>SUM($J$102:$J$104)*(E103/E$111)</f>
        <v>2451.9937113161754</v>
      </c>
      <c r="N103" s="3"/>
      <c r="Q103" s="95"/>
    </row>
    <row r="104" spans="1:17" x14ac:dyDescent="0.3">
      <c r="A104" t="s">
        <v>2</v>
      </c>
      <c r="B104" s="3">
        <f t="shared" si="18"/>
        <v>-2210.5263157894733</v>
      </c>
      <c r="C104" s="3">
        <f t="shared" si="19"/>
        <v>-1055.7017543859656</v>
      </c>
      <c r="D104" s="74">
        <f t="shared" si="12"/>
        <v>-3266.2280701754389</v>
      </c>
      <c r="E104" s="99">
        <v>1000</v>
      </c>
      <c r="F104" s="97">
        <f t="shared" si="13"/>
        <v>4266.2280701754389</v>
      </c>
      <c r="G104" s="99">
        <f t="shared" si="14"/>
        <v>0</v>
      </c>
      <c r="H104" s="97">
        <f>IF(F$111&gt;G$111,F104/F$111*G$111,F104)</f>
        <v>3126.5751725422592</v>
      </c>
      <c r="I104" s="97">
        <f t="shared" si="15"/>
        <v>3126.5751725422592</v>
      </c>
      <c r="J104" s="98">
        <f t="shared" si="16"/>
        <v>-139.65289763317969</v>
      </c>
      <c r="K104" s="97">
        <f t="shared" si="17"/>
        <v>956.98413473857147</v>
      </c>
      <c r="L104" s="103">
        <f t="shared" si="20"/>
        <v>4083.5593072808306</v>
      </c>
      <c r="M104" s="101">
        <f>SUM($J$102:$J$104)*(E104/E$111)</f>
        <v>817.33123710539178</v>
      </c>
      <c r="N104" s="3"/>
      <c r="O104" s="3"/>
      <c r="Q104" s="95"/>
    </row>
    <row r="105" spans="1:17" x14ac:dyDescent="0.3">
      <c r="A105" t="s">
        <v>3</v>
      </c>
      <c r="B105" s="3">
        <f t="shared" si="18"/>
        <v>-7815.7894736842136</v>
      </c>
      <c r="C105" s="3">
        <f t="shared" si="19"/>
        <v>4641.4473684210516</v>
      </c>
      <c r="D105" s="74">
        <f t="shared" si="12"/>
        <v>-3174.342105263162</v>
      </c>
      <c r="E105" s="99">
        <v>0</v>
      </c>
      <c r="F105" s="97">
        <f t="shared" si="13"/>
        <v>0</v>
      </c>
      <c r="G105" s="99">
        <f t="shared" si="14"/>
        <v>0</v>
      </c>
      <c r="H105" s="100">
        <f t="shared" ref="H105:H110" si="21">IF(F$111&gt;G$111,0,IF(D105&lt;0,D105/SUMIF($D$105:$D$111,"&lt;0",$D$105:$D$111)*(G$111-F$111),0))</f>
        <v>0</v>
      </c>
      <c r="I105" s="97">
        <f t="shared" si="15"/>
        <v>0</v>
      </c>
      <c r="J105" s="98">
        <f t="shared" si="16"/>
        <v>-3174.342105263162</v>
      </c>
      <c r="K105" s="97">
        <f t="shared" si="17"/>
        <v>0</v>
      </c>
      <c r="L105" s="103">
        <f t="shared" si="20"/>
        <v>0</v>
      </c>
      <c r="M105" s="101">
        <f t="shared" ref="M105:M110" si="22">J105</f>
        <v>-3174.342105263162</v>
      </c>
      <c r="N105" s="3"/>
    </row>
    <row r="106" spans="1:17" x14ac:dyDescent="0.3">
      <c r="A106" t="s">
        <v>4</v>
      </c>
      <c r="B106" s="3">
        <f t="shared" si="18"/>
        <v>-4364.3724696356276</v>
      </c>
      <c r="C106" s="3">
        <f t="shared" si="19"/>
        <v>3094.2982456140344</v>
      </c>
      <c r="D106" s="74">
        <f t="shared" si="12"/>
        <v>-1270.0742240215932</v>
      </c>
      <c r="E106" s="99">
        <v>0</v>
      </c>
      <c r="F106" s="97">
        <f t="shared" si="13"/>
        <v>0</v>
      </c>
      <c r="G106" s="99">
        <f t="shared" si="14"/>
        <v>0</v>
      </c>
      <c r="H106" s="100">
        <f t="shared" si="21"/>
        <v>0</v>
      </c>
      <c r="I106" s="97">
        <f t="shared" si="15"/>
        <v>0</v>
      </c>
      <c r="J106" s="98">
        <f t="shared" si="16"/>
        <v>-1270.0742240215932</v>
      </c>
      <c r="K106" s="97">
        <f t="shared" si="17"/>
        <v>0</v>
      </c>
      <c r="L106" s="103">
        <f t="shared" si="20"/>
        <v>0</v>
      </c>
      <c r="M106" s="101">
        <f>J106</f>
        <v>-1270.0742240215932</v>
      </c>
      <c r="N106" s="3"/>
      <c r="Q106" s="3"/>
    </row>
    <row r="107" spans="1:17" x14ac:dyDescent="0.3">
      <c r="A107" t="s">
        <v>5</v>
      </c>
      <c r="B107" s="3">
        <f t="shared" si="18"/>
        <v>-2182.1862348178138</v>
      </c>
      <c r="C107" s="3">
        <f t="shared" si="19"/>
        <v>2584.6491228070172</v>
      </c>
      <c r="D107" s="74">
        <f t="shared" si="12"/>
        <v>402.46288798920341</v>
      </c>
      <c r="E107" s="99">
        <v>0</v>
      </c>
      <c r="F107" s="97">
        <f t="shared" si="13"/>
        <v>0</v>
      </c>
      <c r="G107" s="99">
        <f t="shared" si="14"/>
        <v>402.46288798920341</v>
      </c>
      <c r="H107" s="100">
        <f t="shared" si="21"/>
        <v>0</v>
      </c>
      <c r="I107" s="97">
        <f t="shared" si="15"/>
        <v>-402.46288798920341</v>
      </c>
      <c r="J107" s="98">
        <f t="shared" si="16"/>
        <v>0</v>
      </c>
      <c r="K107" s="97">
        <f t="shared" si="17"/>
        <v>0</v>
      </c>
      <c r="L107" s="103">
        <f t="shared" si="20"/>
        <v>-402.46288798920341</v>
      </c>
      <c r="M107" s="101">
        <f t="shared" si="22"/>
        <v>0</v>
      </c>
      <c r="N107" s="3"/>
    </row>
    <row r="108" spans="1:17" x14ac:dyDescent="0.3">
      <c r="A108" t="s">
        <v>6</v>
      </c>
      <c r="B108" s="3">
        <f t="shared" si="18"/>
        <v>-2310.7619795758051</v>
      </c>
      <c r="C108" s="3">
        <f t="shared" si="19"/>
        <v>1033.859649122807</v>
      </c>
      <c r="D108" s="74">
        <f t="shared" si="12"/>
        <v>-1276.9023304529981</v>
      </c>
      <c r="E108" s="99">
        <v>0</v>
      </c>
      <c r="F108" s="97">
        <f t="shared" si="13"/>
        <v>0</v>
      </c>
      <c r="G108" s="99">
        <f t="shared" si="14"/>
        <v>0</v>
      </c>
      <c r="H108" s="100">
        <f t="shared" si="21"/>
        <v>0</v>
      </c>
      <c r="I108" s="97">
        <f t="shared" si="15"/>
        <v>0</v>
      </c>
      <c r="J108" s="98">
        <f t="shared" si="16"/>
        <v>-1276.9023304529981</v>
      </c>
      <c r="K108" s="97">
        <f t="shared" si="17"/>
        <v>0</v>
      </c>
      <c r="L108" s="103">
        <f t="shared" si="20"/>
        <v>0</v>
      </c>
      <c r="M108" s="101">
        <f t="shared" si="22"/>
        <v>-1276.9023304529981</v>
      </c>
      <c r="N108" s="3"/>
    </row>
    <row r="109" spans="1:17" x14ac:dyDescent="0.3">
      <c r="A109" t="s">
        <v>7</v>
      </c>
      <c r="B109" s="3">
        <f t="shared" si="18"/>
        <v>-309.31174089068827</v>
      </c>
      <c r="C109" s="3">
        <f t="shared" si="19"/>
        <v>2173.2894736842104</v>
      </c>
      <c r="D109" s="74">
        <f t="shared" si="12"/>
        <v>1863.9777327935221</v>
      </c>
      <c r="E109" s="99">
        <v>0</v>
      </c>
      <c r="F109" s="97">
        <f t="shared" si="13"/>
        <v>0</v>
      </c>
      <c r="G109" s="99">
        <f t="shared" si="14"/>
        <v>1863.9777327935221</v>
      </c>
      <c r="H109" s="100">
        <f t="shared" si="21"/>
        <v>0</v>
      </c>
      <c r="I109" s="97">
        <f t="shared" si="15"/>
        <v>-1863.9777327935221</v>
      </c>
      <c r="J109" s="98">
        <f t="shared" si="16"/>
        <v>0</v>
      </c>
      <c r="K109" s="97">
        <f t="shared" si="17"/>
        <v>0</v>
      </c>
      <c r="L109" s="103">
        <f t="shared" si="20"/>
        <v>-1863.9777327935221</v>
      </c>
      <c r="M109" s="101">
        <f t="shared" si="22"/>
        <v>0</v>
      </c>
      <c r="N109" s="3"/>
    </row>
    <row r="110" spans="1:17" x14ac:dyDescent="0.3">
      <c r="A110" t="s">
        <v>18</v>
      </c>
      <c r="B110" s="3">
        <f t="shared" si="18"/>
        <v>478.94736842105249</v>
      </c>
      <c r="C110" s="3">
        <f t="shared" si="19"/>
        <v>724.42982456140351</v>
      </c>
      <c r="D110" s="74">
        <f t="shared" si="12"/>
        <v>1203.3771929824561</v>
      </c>
      <c r="E110" s="99">
        <v>0</v>
      </c>
      <c r="F110" s="97">
        <f t="shared" si="13"/>
        <v>0</v>
      </c>
      <c r="G110" s="99">
        <f t="shared" si="14"/>
        <v>1203.3771929824561</v>
      </c>
      <c r="H110" s="100">
        <f t="shared" si="21"/>
        <v>0</v>
      </c>
      <c r="I110" s="97">
        <f t="shared" si="15"/>
        <v>-1203.3771929824561</v>
      </c>
      <c r="J110" s="98">
        <f t="shared" si="16"/>
        <v>0</v>
      </c>
      <c r="K110" s="97">
        <f t="shared" si="17"/>
        <v>0</v>
      </c>
      <c r="L110" s="103">
        <f t="shared" si="20"/>
        <v>-1203.3771929824561</v>
      </c>
      <c r="M110" s="101">
        <f t="shared" si="22"/>
        <v>0</v>
      </c>
      <c r="N110" s="3"/>
    </row>
    <row r="111" spans="1:17" x14ac:dyDescent="0.3">
      <c r="A111" s="60" t="s">
        <v>28</v>
      </c>
      <c r="B111" s="73">
        <f t="shared" ref="B111:G111" si="23">SUM(B102:B110)</f>
        <v>-4.0927261579781771E-12</v>
      </c>
      <c r="C111" s="73">
        <f t="shared" si="23"/>
        <v>-6.0254023992456496E-12</v>
      </c>
      <c r="D111" s="73">
        <f t="shared" si="23"/>
        <v>-1.0459189070388675E-11</v>
      </c>
      <c r="E111" s="101">
        <f t="shared" si="23"/>
        <v>7000</v>
      </c>
      <c r="F111" s="101">
        <f t="shared" si="23"/>
        <v>4786.6734143049944</v>
      </c>
      <c r="G111" s="101">
        <f t="shared" si="23"/>
        <v>3507.9920740427374</v>
      </c>
      <c r="H111" s="102">
        <f>SUM(H102:H110)</f>
        <v>3507.9920740427374</v>
      </c>
      <c r="I111" s="102">
        <f>SUM(I102:I110)</f>
        <v>0</v>
      </c>
      <c r="J111" s="103">
        <f>SUM(J102:J110)</f>
        <v>-1.0686562745831907E-11</v>
      </c>
      <c r="K111" s="101">
        <f>SUM(K102:K110)</f>
        <v>-3.4106051316484809E-13</v>
      </c>
      <c r="L111" s="103">
        <f t="shared" si="20"/>
        <v>-3.4106051316484809E-13</v>
      </c>
      <c r="M111" s="101">
        <f>SUM(M102:M110)</f>
        <v>-1.0686562745831907E-11</v>
      </c>
      <c r="N111" s="3"/>
      <c r="Q111" s="95"/>
    </row>
    <row r="112" spans="1:17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74"/>
      <c r="M112" s="60"/>
      <c r="N112" s="11"/>
      <c r="O112" s="11"/>
      <c r="P112" s="11"/>
    </row>
    <row r="113" spans="1:16" ht="12.9" thickBot="1" x14ac:dyDescent="0.3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1:16" ht="12.9" thickTop="1" x14ac:dyDescent="0.3">
      <c r="A114" s="88" t="s">
        <v>127</v>
      </c>
      <c r="B114" s="11"/>
      <c r="C114" s="11"/>
      <c r="D114" s="11"/>
      <c r="E114" s="11"/>
      <c r="F114" s="11"/>
      <c r="G114" s="11"/>
      <c r="H114" s="11"/>
      <c r="I114" s="11"/>
      <c r="J114" s="11"/>
      <c r="L114" s="11"/>
    </row>
    <row r="115" spans="1:16" x14ac:dyDescent="0.3">
      <c r="A115" s="52"/>
      <c r="B115" s="11"/>
      <c r="C115" s="11"/>
      <c r="D115" s="11"/>
      <c r="E115" s="11"/>
      <c r="F115" s="11"/>
      <c r="G115" s="11"/>
      <c r="H115" s="11"/>
      <c r="I115" s="11"/>
      <c r="J115" s="11"/>
      <c r="L115" s="11"/>
    </row>
    <row r="116" spans="1:16" x14ac:dyDescent="0.3">
      <c r="B116" s="81" t="s">
        <v>95</v>
      </c>
      <c r="G116" s="81" t="s">
        <v>37</v>
      </c>
      <c r="H116" s="1" t="s">
        <v>30</v>
      </c>
      <c r="I116" s="1"/>
      <c r="J116" s="1"/>
      <c r="K116" s="81" t="s">
        <v>93</v>
      </c>
      <c r="L116" s="81" t="s">
        <v>128</v>
      </c>
    </row>
    <row r="117" spans="1:16" x14ac:dyDescent="0.3">
      <c r="B117" s="81" t="s">
        <v>94</v>
      </c>
      <c r="C117" s="1" t="s">
        <v>83</v>
      </c>
      <c r="E117" s="1"/>
      <c r="F117" s="1" t="s">
        <v>80</v>
      </c>
      <c r="G117" s="24" t="s">
        <v>81</v>
      </c>
      <c r="H117" s="81" t="s">
        <v>92</v>
      </c>
      <c r="I117" s="81"/>
      <c r="J117" s="81"/>
      <c r="K117" s="81" t="s">
        <v>42</v>
      </c>
      <c r="L117" s="1" t="s">
        <v>129</v>
      </c>
      <c r="M117" s="1"/>
    </row>
    <row r="118" spans="1:16" x14ac:dyDescent="0.3">
      <c r="B118" s="1" t="s">
        <v>31</v>
      </c>
      <c r="C118" s="81" t="s">
        <v>84</v>
      </c>
      <c r="D118" s="1" t="s">
        <v>109</v>
      </c>
      <c r="E118" s="1" t="s">
        <v>30</v>
      </c>
      <c r="F118" s="1" t="s">
        <v>33</v>
      </c>
      <c r="G118" s="24" t="s">
        <v>54</v>
      </c>
      <c r="H118" s="81" t="s">
        <v>91</v>
      </c>
      <c r="I118" s="81"/>
      <c r="J118" s="81"/>
      <c r="K118" s="81" t="s">
        <v>36</v>
      </c>
      <c r="L118" s="1" t="s">
        <v>130</v>
      </c>
      <c r="M118" s="4"/>
    </row>
    <row r="119" spans="1:16" x14ac:dyDescent="0.3">
      <c r="B119" s="1" t="s">
        <v>32</v>
      </c>
      <c r="C119" s="1" t="s">
        <v>32</v>
      </c>
      <c r="D119" s="1" t="s">
        <v>41</v>
      </c>
      <c r="E119" s="81" t="s">
        <v>34</v>
      </c>
      <c r="F119" s="1" t="s">
        <v>34</v>
      </c>
      <c r="G119" s="16" t="s">
        <v>53</v>
      </c>
      <c r="H119" s="81" t="s">
        <v>34</v>
      </c>
      <c r="I119" s="81"/>
      <c r="J119" s="81"/>
      <c r="K119" s="1" t="s">
        <v>35</v>
      </c>
      <c r="L119" s="1" t="s">
        <v>131</v>
      </c>
      <c r="M119" s="55"/>
    </row>
    <row r="120" spans="1:16" x14ac:dyDescent="0.3">
      <c r="A120" s="11"/>
      <c r="B120" s="4" t="s">
        <v>22</v>
      </c>
      <c r="C120" s="4" t="s">
        <v>22</v>
      </c>
      <c r="D120" s="4" t="s">
        <v>22</v>
      </c>
      <c r="E120" s="4" t="s">
        <v>22</v>
      </c>
      <c r="F120" s="4" t="s">
        <v>22</v>
      </c>
      <c r="G120" s="4" t="s">
        <v>22</v>
      </c>
      <c r="H120" s="4" t="s">
        <v>22</v>
      </c>
      <c r="I120" s="4"/>
      <c r="J120" s="4"/>
      <c r="K120" s="4" t="s">
        <v>22</v>
      </c>
      <c r="L120" s="114" t="s">
        <v>22</v>
      </c>
      <c r="M120" s="55"/>
    </row>
    <row r="121" spans="1:16" x14ac:dyDescent="0.3">
      <c r="A121" s="49"/>
      <c r="B121" s="46">
        <v>38</v>
      </c>
      <c r="C121" s="46">
        <v>39</v>
      </c>
      <c r="D121" s="46">
        <v>40</v>
      </c>
      <c r="E121" s="46">
        <v>41</v>
      </c>
      <c r="F121" s="46">
        <v>42</v>
      </c>
      <c r="G121" s="46">
        <v>43</v>
      </c>
      <c r="H121" s="46">
        <v>44</v>
      </c>
      <c r="I121" s="46"/>
      <c r="J121" s="46"/>
      <c r="K121" s="46">
        <v>45</v>
      </c>
      <c r="L121" s="46">
        <v>46</v>
      </c>
      <c r="M121" s="46"/>
    </row>
    <row r="122" spans="1:16" ht="21.45" x14ac:dyDescent="0.3">
      <c r="A122" s="25"/>
      <c r="B122" s="28" t="s">
        <v>62</v>
      </c>
      <c r="C122" s="27" t="s">
        <v>63</v>
      </c>
      <c r="D122" s="27" t="s">
        <v>112</v>
      </c>
      <c r="E122" s="27" t="s">
        <v>113</v>
      </c>
      <c r="F122" s="27" t="s">
        <v>64</v>
      </c>
      <c r="G122" s="27" t="s">
        <v>65</v>
      </c>
      <c r="H122" s="27" t="s">
        <v>114</v>
      </c>
      <c r="I122" s="27"/>
      <c r="J122" s="27"/>
      <c r="K122" s="27" t="s">
        <v>134</v>
      </c>
      <c r="L122" s="27" t="s">
        <v>132</v>
      </c>
      <c r="M122" s="83"/>
    </row>
    <row r="123" spans="1:16" x14ac:dyDescent="0.3">
      <c r="A123" t="s">
        <v>0</v>
      </c>
      <c r="B123" s="3">
        <f>E57</f>
        <v>93813.765182186238</v>
      </c>
      <c r="C123" s="9">
        <f>G81</f>
        <v>43465.789473684206</v>
      </c>
      <c r="D123" s="3">
        <f t="shared" ref="D123:D131" si="24">K102+I102</f>
        <v>-27.560944554269156</v>
      </c>
      <c r="E123" s="3">
        <f>B123+C123+D123</f>
        <v>137251.99371131617</v>
      </c>
      <c r="F123" s="3">
        <f t="shared" ref="F123:F131" si="25">G57</f>
        <v>85000</v>
      </c>
      <c r="G123" s="3">
        <f>E81</f>
        <v>49800</v>
      </c>
      <c r="H123" s="3">
        <f t="shared" ref="H123:H131" si="26">F123+G123</f>
        <v>134800</v>
      </c>
      <c r="I123" s="3"/>
      <c r="J123" s="3"/>
      <c r="K123" s="3">
        <f t="shared" ref="K123:K131" si="27">E123-H123</f>
        <v>2451.9937113161723</v>
      </c>
      <c r="L123" s="3">
        <f>IF(K123&lt;0,K123,0)</f>
        <v>0</v>
      </c>
      <c r="M123" s="11"/>
    </row>
    <row r="124" spans="1:16" x14ac:dyDescent="0.3">
      <c r="A124" t="s">
        <v>1</v>
      </c>
      <c r="B124" s="3">
        <f t="shared" ref="B124:B131" si="28">E58</f>
        <v>119900.23566378633</v>
      </c>
      <c r="C124" s="9">
        <f t="shared" ref="C124:C131" si="29">G82</f>
        <v>47087.938596491229</v>
      </c>
      <c r="D124" s="3">
        <f t="shared" si="24"/>
        <v>-586.18054896138028</v>
      </c>
      <c r="E124" s="3">
        <f t="shared" ref="E124:E131" si="30">B124+C124+D124</f>
        <v>166401.99371131617</v>
      </c>
      <c r="F124" s="3">
        <f t="shared" si="25"/>
        <v>110000</v>
      </c>
      <c r="G124" s="3">
        <f t="shared" ref="G124:G131" si="31">E82</f>
        <v>53950</v>
      </c>
      <c r="H124" s="3">
        <f t="shared" si="26"/>
        <v>163950</v>
      </c>
      <c r="I124" s="3"/>
      <c r="J124" s="3"/>
      <c r="K124" s="3">
        <f t="shared" si="27"/>
        <v>2451.9937113161723</v>
      </c>
      <c r="L124" s="3">
        <f t="shared" ref="L124:L131" si="32">IF(K124&lt;0,K124,0)</f>
        <v>0</v>
      </c>
      <c r="M124" s="11"/>
    </row>
    <row r="125" spans="1:16" x14ac:dyDescent="0.3">
      <c r="A125" t="s">
        <v>2</v>
      </c>
      <c r="B125" s="3">
        <f t="shared" si="28"/>
        <v>17789.473684210527</v>
      </c>
      <c r="C125" s="9">
        <f t="shared" si="29"/>
        <v>7244.2982456140344</v>
      </c>
      <c r="D125" s="3">
        <f t="shared" si="24"/>
        <v>4083.5593072808306</v>
      </c>
      <c r="E125" s="3">
        <f t="shared" si="30"/>
        <v>29117.331237105391</v>
      </c>
      <c r="F125" s="3">
        <f t="shared" si="25"/>
        <v>20000</v>
      </c>
      <c r="G125" s="3">
        <f t="shared" si="31"/>
        <v>8300</v>
      </c>
      <c r="H125" s="3">
        <f t="shared" si="26"/>
        <v>28300</v>
      </c>
      <c r="I125" s="3"/>
      <c r="J125" s="3"/>
      <c r="K125" s="3">
        <f t="shared" si="27"/>
        <v>817.33123710539076</v>
      </c>
      <c r="L125" s="3">
        <f t="shared" si="32"/>
        <v>0</v>
      </c>
      <c r="M125" s="11"/>
    </row>
    <row r="126" spans="1:16" x14ac:dyDescent="0.3">
      <c r="A126" t="s">
        <v>3</v>
      </c>
      <c r="B126" s="3">
        <f t="shared" si="28"/>
        <v>67184.210526315786</v>
      </c>
      <c r="C126" s="9">
        <f t="shared" si="29"/>
        <v>10866.447368421052</v>
      </c>
      <c r="D126" s="3">
        <f t="shared" si="24"/>
        <v>0</v>
      </c>
      <c r="E126" s="3">
        <f t="shared" si="30"/>
        <v>78050.65789473684</v>
      </c>
      <c r="F126" s="3">
        <f t="shared" si="25"/>
        <v>75000</v>
      </c>
      <c r="G126" s="3">
        <f t="shared" si="31"/>
        <v>6225</v>
      </c>
      <c r="H126" s="3">
        <f t="shared" si="26"/>
        <v>81225</v>
      </c>
      <c r="I126" s="3"/>
      <c r="J126" s="3"/>
      <c r="K126" s="3">
        <f t="shared" si="27"/>
        <v>-3174.3421052631602</v>
      </c>
      <c r="L126" s="3">
        <f t="shared" si="32"/>
        <v>-3174.3421052631602</v>
      </c>
    </row>
    <row r="127" spans="1:16" x14ac:dyDescent="0.3">
      <c r="A127" t="s">
        <v>4</v>
      </c>
      <c r="B127" s="3">
        <f t="shared" si="28"/>
        <v>15635.627530364372</v>
      </c>
      <c r="C127" s="9">
        <f t="shared" si="29"/>
        <v>7244.2982456140344</v>
      </c>
      <c r="D127" s="3">
        <f t="shared" si="24"/>
        <v>0</v>
      </c>
      <c r="E127" s="3">
        <f t="shared" si="30"/>
        <v>22879.925775978409</v>
      </c>
      <c r="F127" s="3">
        <f t="shared" si="25"/>
        <v>20000</v>
      </c>
      <c r="G127" s="3">
        <f t="shared" si="31"/>
        <v>4150</v>
      </c>
      <c r="H127" s="3">
        <f t="shared" si="26"/>
        <v>24150</v>
      </c>
      <c r="I127" s="3"/>
      <c r="J127" s="3"/>
      <c r="K127" s="3">
        <f t="shared" si="27"/>
        <v>-1270.0742240215914</v>
      </c>
      <c r="L127" s="3">
        <f t="shared" si="32"/>
        <v>-1270.0742240215914</v>
      </c>
    </row>
    <row r="128" spans="1:16" x14ac:dyDescent="0.3">
      <c r="A128" t="s">
        <v>5</v>
      </c>
      <c r="B128" s="3">
        <f t="shared" si="28"/>
        <v>7817.8137651821862</v>
      </c>
      <c r="C128" s="9">
        <f t="shared" si="29"/>
        <v>3622.1491228070172</v>
      </c>
      <c r="D128" s="3">
        <f t="shared" si="24"/>
        <v>-402.46288798920341</v>
      </c>
      <c r="E128" s="3">
        <f t="shared" si="30"/>
        <v>11037.5</v>
      </c>
      <c r="F128" s="3">
        <f t="shared" si="25"/>
        <v>10000</v>
      </c>
      <c r="G128" s="3">
        <f t="shared" si="31"/>
        <v>1037.5</v>
      </c>
      <c r="H128" s="3">
        <f t="shared" si="26"/>
        <v>11037.5</v>
      </c>
      <c r="I128" s="3"/>
      <c r="J128" s="3"/>
      <c r="K128" s="3">
        <f t="shared" si="27"/>
        <v>0</v>
      </c>
      <c r="L128" s="3">
        <f t="shared" si="32"/>
        <v>0</v>
      </c>
    </row>
    <row r="129" spans="1:15" x14ac:dyDescent="0.3">
      <c r="A129" t="s">
        <v>6</v>
      </c>
      <c r="B129" s="3">
        <f t="shared" si="28"/>
        <v>3689.2380204241949</v>
      </c>
      <c r="C129" s="9">
        <f t="shared" si="29"/>
        <v>1448.859649122807</v>
      </c>
      <c r="D129" s="3">
        <f t="shared" si="24"/>
        <v>0</v>
      </c>
      <c r="E129" s="3">
        <f t="shared" si="30"/>
        <v>5138.0976695470017</v>
      </c>
      <c r="F129" s="3">
        <f t="shared" si="25"/>
        <v>6000</v>
      </c>
      <c r="G129" s="3">
        <f t="shared" si="31"/>
        <v>415</v>
      </c>
      <c r="H129" s="3">
        <f t="shared" si="26"/>
        <v>6415</v>
      </c>
      <c r="I129" s="3"/>
      <c r="J129" s="3"/>
      <c r="K129" s="3">
        <f t="shared" si="27"/>
        <v>-1276.9023304529983</v>
      </c>
      <c r="L129" s="3">
        <f t="shared" si="32"/>
        <v>-1276.9023304529983</v>
      </c>
    </row>
    <row r="130" spans="1:15" x14ac:dyDescent="0.3">
      <c r="A130" t="s">
        <v>7</v>
      </c>
      <c r="B130" s="3">
        <f t="shared" si="28"/>
        <v>4690.6882591093117</v>
      </c>
      <c r="C130" s="9">
        <f t="shared" si="29"/>
        <v>2173.2894736842104</v>
      </c>
      <c r="D130" s="3">
        <f t="shared" si="24"/>
        <v>-1863.9777327935221</v>
      </c>
      <c r="E130" s="3">
        <f t="shared" si="30"/>
        <v>5000</v>
      </c>
      <c r="F130" s="3">
        <f t="shared" si="25"/>
        <v>5000</v>
      </c>
      <c r="G130" s="3">
        <f t="shared" si="31"/>
        <v>0</v>
      </c>
      <c r="H130" s="3">
        <f t="shared" si="26"/>
        <v>5000</v>
      </c>
      <c r="I130" s="3"/>
      <c r="J130" s="3"/>
      <c r="K130" s="3">
        <f t="shared" si="27"/>
        <v>0</v>
      </c>
      <c r="L130" s="3">
        <f t="shared" si="32"/>
        <v>0</v>
      </c>
    </row>
    <row r="131" spans="1:15" x14ac:dyDescent="0.3">
      <c r="A131" s="11" t="s">
        <v>18</v>
      </c>
      <c r="B131" s="33">
        <f t="shared" si="28"/>
        <v>4478.9473684210525</v>
      </c>
      <c r="C131" s="34">
        <f t="shared" si="29"/>
        <v>724.42982456140351</v>
      </c>
      <c r="D131" s="33">
        <f t="shared" si="24"/>
        <v>-1203.3771929824561</v>
      </c>
      <c r="E131" s="33">
        <f t="shared" si="30"/>
        <v>4000</v>
      </c>
      <c r="F131" s="33">
        <f t="shared" si="25"/>
        <v>4000</v>
      </c>
      <c r="G131" s="33">
        <f t="shared" si="31"/>
        <v>0</v>
      </c>
      <c r="H131" s="33">
        <f t="shared" si="26"/>
        <v>4000</v>
      </c>
      <c r="I131" s="33"/>
      <c r="J131" s="33"/>
      <c r="K131" s="33">
        <f t="shared" si="27"/>
        <v>0</v>
      </c>
      <c r="L131" s="3">
        <f t="shared" si="32"/>
        <v>0</v>
      </c>
    </row>
    <row r="132" spans="1:15" x14ac:dyDescent="0.3">
      <c r="A132" s="60" t="s">
        <v>28</v>
      </c>
      <c r="B132" s="74">
        <f t="shared" ref="B132:H132" si="33">SUM(B123:B131)</f>
        <v>335000</v>
      </c>
      <c r="C132" s="74">
        <f t="shared" si="33"/>
        <v>123877.5</v>
      </c>
      <c r="D132" s="74">
        <f t="shared" si="33"/>
        <v>0</v>
      </c>
      <c r="E132" s="74">
        <f t="shared" si="33"/>
        <v>458877.5</v>
      </c>
      <c r="F132" s="74">
        <f>SUM(F123:F131)</f>
        <v>335000</v>
      </c>
      <c r="G132" s="74">
        <f t="shared" si="33"/>
        <v>123877.5</v>
      </c>
      <c r="H132" s="74">
        <f t="shared" si="33"/>
        <v>458877.5</v>
      </c>
      <c r="I132" s="74"/>
      <c r="J132" s="74"/>
      <c r="K132" s="74">
        <f>SUM(K123:K131)</f>
        <v>-1.4551915228366852E-11</v>
      </c>
      <c r="L132" s="73">
        <f>SUM(L123:L131)</f>
        <v>-5721.3186597377498</v>
      </c>
      <c r="M132" s="11"/>
      <c r="N132" s="11"/>
      <c r="O132" s="11"/>
    </row>
    <row r="133" spans="1:15" ht="12.9" thickBot="1" x14ac:dyDescent="0.35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5"/>
      <c r="L133" s="53"/>
      <c r="M133" s="53"/>
      <c r="N133" s="53"/>
      <c r="O133" s="53"/>
    </row>
    <row r="134" spans="1:15" ht="12.9" thickTop="1" x14ac:dyDescent="0.3"/>
  </sheetData>
  <printOptions horizontalCentered="1"/>
  <pageMargins left="0.59" right="0.63" top="1.1299999999999999" bottom="0.75" header="0.77" footer="0.75"/>
  <pageSetup scale="67" fitToWidth="2" fitToHeight="3" orientation="portrait" r:id="rId1"/>
  <headerFooter alignWithMargins="0">
    <oddHeader>&amp;L&amp;12California Independent System Operator Corp.
Docket Nos. ER00-__-000.&amp;R&amp;12Exhibit No. ___ (ISO-18)</oddHeader>
    <oddFooter>&amp;CPage &amp;P of &amp;N</oddFooter>
  </headerFooter>
  <rowBreaks count="1" manualBreakCount="1">
    <brk id="6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36646-1AA2-443A-B4E7-5DF80791D2C9}">
  <dimension ref="A1"/>
  <sheetViews>
    <sheetView workbookViewId="0"/>
  </sheetViews>
  <sheetFormatPr defaultRowHeight="12.45" x14ac:dyDescent="0.3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1F81-C8F8-414A-97F2-C075DE127248}">
  <dimension ref="A1"/>
  <sheetViews>
    <sheetView workbookViewId="0"/>
  </sheetViews>
  <sheetFormatPr defaultRowHeight="12.45" x14ac:dyDescent="0.3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6FA0AE-D26F-4B55-A397-F18545798816}"/>
</file>

<file path=customXml/itemProps2.xml><?xml version="1.0" encoding="utf-8"?>
<ds:datastoreItem xmlns:ds="http://schemas.openxmlformats.org/officeDocument/2006/customXml" ds:itemID="{F7617F4E-7663-406E-AC74-075BD5D2B9FB}"/>
</file>

<file path=customXml/itemProps3.xml><?xml version="1.0" encoding="utf-8"?>
<ds:datastoreItem xmlns:ds="http://schemas.openxmlformats.org/officeDocument/2006/customXml" ds:itemID="{8D6158A6-0A4D-45D0-A069-8AB727FA063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1BFE902-DADE-4D3D-BAAD-99410E33A81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area</vt:lpstr>
      <vt:lpstr>iso</vt:lpstr>
      <vt:lpstr>Sheet1!Print_Area</vt:lpstr>
    </vt:vector>
  </TitlesOfParts>
  <Company>IBMGS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No._ (ISO_18) Illustrations of New Access Charge Methodology and Mitigation Measures</dc:title>
  <dc:subject>TABL</dc:subject>
  <dc:creator>dbr</dc:creator>
  <dc:description/>
  <cp:lastModifiedBy>Meredith, Jacqueline</cp:lastModifiedBy>
  <cp:lastPrinted>2000-03-30T17:28:06Z</cp:lastPrinted>
  <dcterms:created xsi:type="dcterms:W3CDTF">2000-01-25T23:06:20Z</dcterms:created>
  <dcterms:modified xsi:type="dcterms:W3CDTF">2025-07-10T05:27:59Z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Date">
    <vt:lpwstr>2000-04-04T13:43:05Z</vt:lpwstr>
  </property>
  <property fmtid="{D5CDD505-2E9C-101B-9397-08002B2CF9AE}" pid="3" name="ISOKeywords">
    <vt:lpwstr/>
  </property>
  <property fmtid="{D5CDD505-2E9C-101B-9397-08002B2CF9AE}" pid="4" name="ISOGroup">
    <vt:lpwstr>5861;#Attachment D - Testimony and Exhibits of Deborah Le Vine|8e30a4ad-e2ac-4de1-8684-e3715ab66ca0</vt:lpwstr>
  </property>
  <property fmtid="{D5CDD505-2E9C-101B-9397-08002B2CF9AE}" pid="5" name="ISOTopic">
    <vt:lpwstr>12;#Rules|a943be70-f149-4589-84df-0bab8e11b6eb</vt:lpwstr>
  </property>
  <property fmtid="{D5CDD505-2E9C-101B-9397-08002B2CF9AE}" pid="6" name="Order">
    <vt:lpwstr>24424700.0000000</vt:lpwstr>
  </property>
  <property fmtid="{D5CDD505-2E9C-101B-9397-08002B2CF9AE}" pid="7" name="ISOArchive">
    <vt:lpwstr>3;#Archived|0019c6e1-8c5e-460c-a653-a944372c5015</vt:lpwstr>
  </property>
  <property fmtid="{D5CDD505-2E9C-101B-9397-08002B2CF9AE}" pid="8" name="OriginalUriCopy">
    <vt:lpwstr>http://www.caiso.com/docs/2000/04/04/2000040413430521500.xls, http://www.caiso.com/docs/2000/04/04/2000040413430521500.xls</vt:lpwstr>
  </property>
  <property fmtid="{D5CDD505-2E9C-101B-9397-08002B2CF9AE}" pid="9" name="PageLink">
    <vt:lpwstr/>
  </property>
  <property fmtid="{D5CDD505-2E9C-101B-9397-08002B2CF9AE}" pid="10" name="Archived">
    <vt:lpwstr>0</vt:lpwstr>
  </property>
  <property fmtid="{D5CDD505-2E9C-101B-9397-08002B2CF9AE}" pid="11" name="OriginalURIBackup">
    <vt:lpwstr>http://www.caiso.com/docs/2000/04/04/2000040413430521500.xls, /docs/2000/04/04/2000040413430521500.xls</vt:lpwstr>
  </property>
  <property fmtid="{D5CDD505-2E9C-101B-9397-08002B2CF9AE}" pid="12" name="ContentTypeId">
    <vt:lpwstr>0x010100776092249CC62C48AA17033F357BFB4B</vt:lpwstr>
  </property>
</Properties>
</file>