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files\home\dtretheway\profile\Desktop\"/>
    </mc:Choice>
  </mc:AlternateContent>
  <bookViews>
    <workbookView xWindow="0" yWindow="0" windowWidth="28800" windowHeight="11820"/>
  </bookViews>
  <sheets>
    <sheet name="Settlemen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C11" i="3"/>
  <c r="T30" i="3" l="1"/>
  <c r="X30" i="3"/>
  <c r="W30" i="3"/>
  <c r="V30" i="3"/>
  <c r="U30" i="3"/>
  <c r="P30" i="3"/>
  <c r="R32" i="3"/>
  <c r="R31" i="3"/>
  <c r="J32" i="3"/>
  <c r="J31" i="3"/>
  <c r="K31" i="3"/>
  <c r="B11" i="3" l="1"/>
  <c r="V31" i="3" l="1"/>
  <c r="V32" i="3"/>
  <c r="U31" i="3"/>
  <c r="U32" i="3"/>
  <c r="L14" i="3" l="1"/>
  <c r="K14" i="3"/>
  <c r="J14" i="3"/>
  <c r="N11" i="3" l="1"/>
  <c r="B17" i="3"/>
  <c r="B38" i="3" l="1"/>
  <c r="X31" i="3" l="1"/>
  <c r="T27" i="3"/>
  <c r="H14" i="3"/>
  <c r="L31" i="3" s="1"/>
  <c r="G14" i="3"/>
  <c r="K32" i="3" s="1"/>
  <c r="F14" i="3"/>
  <c r="C14" i="3"/>
  <c r="B37" i="3" s="1"/>
  <c r="D14" i="3"/>
  <c r="F31" i="3" s="1"/>
  <c r="B14" i="3"/>
  <c r="R30" i="3"/>
  <c r="X32" i="3"/>
  <c r="Q31" i="3"/>
  <c r="Q32" i="3"/>
  <c r="Q30" i="3"/>
  <c r="P31" i="3"/>
  <c r="P32" i="3"/>
  <c r="O31" i="3"/>
  <c r="O32" i="3"/>
  <c r="O30" i="3"/>
  <c r="I32" i="3"/>
  <c r="C30" i="3"/>
  <c r="F32" i="3" l="1"/>
  <c r="K30" i="3"/>
  <c r="E30" i="3"/>
  <c r="I30" i="3"/>
  <c r="I31" i="3"/>
  <c r="L32" i="3"/>
  <c r="J30" i="3"/>
  <c r="L30" i="3"/>
  <c r="D30" i="3"/>
  <c r="F30" i="3"/>
  <c r="B40" i="3" s="1"/>
  <c r="E31" i="3" l="1"/>
  <c r="E32" i="3"/>
  <c r="D31" i="3"/>
  <c r="D32" i="3"/>
  <c r="C31" i="3"/>
  <c r="C32" i="3"/>
  <c r="W31" i="3" l="1"/>
  <c r="B39" i="3" s="1"/>
  <c r="W32" i="3"/>
  <c r="L11" i="3"/>
  <c r="K11" i="3"/>
  <c r="H11" i="3"/>
  <c r="G11" i="3"/>
  <c r="D20" i="3"/>
  <c r="C20" i="3"/>
  <c r="B43" i="3" l="1"/>
  <c r="T31" i="3"/>
  <c r="T32" i="3"/>
  <c r="N30" i="3"/>
  <c r="N33" i="3"/>
  <c r="H33" i="3"/>
  <c r="B33" i="3"/>
  <c r="N32" i="3"/>
  <c r="H32" i="3"/>
  <c r="B32" i="3"/>
  <c r="N31" i="3"/>
  <c r="H31" i="3"/>
  <c r="B31" i="3"/>
  <c r="H30" i="3"/>
  <c r="B30" i="3"/>
  <c r="N28" i="3"/>
  <c r="H28" i="3"/>
  <c r="B28" i="3"/>
  <c r="N27" i="3"/>
  <c r="H27" i="3"/>
  <c r="B27" i="3"/>
  <c r="J11" i="3"/>
  <c r="F11" i="3"/>
  <c r="B41" i="3" l="1"/>
</calcChain>
</file>

<file path=xl/comments1.xml><?xml version="1.0" encoding="utf-8"?>
<comments xmlns="http://schemas.openxmlformats.org/spreadsheetml/2006/main">
  <authors>
    <author>Tretheway, Donald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Tretheway, Donald:</t>
        </r>
        <r>
          <rPr>
            <sz val="9"/>
            <color indexed="81"/>
            <rFont val="Tahoma"/>
            <family val="2"/>
          </rPr>
          <t xml:space="preserve">
For simplicity, assume all three RTD intervals are dispatched at the same level.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Tretheway, Donald:</t>
        </r>
        <r>
          <rPr>
            <sz val="9"/>
            <color indexed="81"/>
            <rFont val="Tahoma"/>
            <family val="2"/>
          </rPr>
          <t xml:space="preserve">
For simplicity, assume all three RTD intervals have the same meter value.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Tretheway, Donald:</t>
        </r>
        <r>
          <rPr>
            <sz val="9"/>
            <color indexed="81"/>
            <rFont val="Tahoma"/>
            <family val="2"/>
          </rPr>
          <t xml:space="preserve">
No longer settle FRP forecasted movement because we are settling energy schedule at IR/FRP price.  These forecasted movement payments to generation were previously allcoated to metered demand</t>
        </r>
      </text>
    </comment>
  </commentList>
</comments>
</file>

<file path=xl/sharedStrings.xml><?xml version="1.0" encoding="utf-8"?>
<sst xmlns="http://schemas.openxmlformats.org/spreadsheetml/2006/main" count="155" uniqueCount="55">
  <si>
    <t>Bid In Non-Participating Load</t>
  </si>
  <si>
    <t>Virtual Demand</t>
  </si>
  <si>
    <t>Generator 1</t>
  </si>
  <si>
    <t>Generator 2</t>
  </si>
  <si>
    <t>Variable Energy Forecast</t>
  </si>
  <si>
    <t>Virtual Supply</t>
  </si>
  <si>
    <t>Clearing Price</t>
  </si>
  <si>
    <t>Awards /  Schedule</t>
  </si>
  <si>
    <t>Check</t>
  </si>
  <si>
    <t>Energy</t>
  </si>
  <si>
    <t>Flexible Ramping Product Up</t>
  </si>
  <si>
    <t>Flexible Ramping Product Down</t>
  </si>
  <si>
    <t>IFM</t>
  </si>
  <si>
    <t>FMM</t>
  </si>
  <si>
    <t>RTD</t>
  </si>
  <si>
    <t>Settlement</t>
  </si>
  <si>
    <t>N/A</t>
  </si>
  <si>
    <t>ISO Reliability Forecast</t>
  </si>
  <si>
    <t>Cleared Physical Supply</t>
  </si>
  <si>
    <t>Imbalance Reserve Up Uncertainty</t>
  </si>
  <si>
    <t>Imbalance Reserve Down Uncertainty</t>
  </si>
  <si>
    <t>Meter</t>
  </si>
  <si>
    <t>Flexible Ramping Product Up No Pay</t>
  </si>
  <si>
    <t>Flexible Ramping Product Down No Pay</t>
  </si>
  <si>
    <t>Reliability Forecast to FMM Uncertainty</t>
  </si>
  <si>
    <t>FMM FRP Requirement</t>
  </si>
  <si>
    <t>RTD FRP Requirement</t>
  </si>
  <si>
    <t>Imbalance Reserve Up Energy Schedule</t>
  </si>
  <si>
    <t>Imblance Reserve Down Energy Schedule</t>
  </si>
  <si>
    <t>Flexible Ramping Product Up Uncertainty</t>
  </si>
  <si>
    <t>Flexible Ramping Product Down Uncertainty</t>
  </si>
  <si>
    <t>Total Cost Allocation</t>
  </si>
  <si>
    <t>Flexible Ramping Product Up Energy Schedule</t>
  </si>
  <si>
    <t>Flexible Ramping Product Down Energy Schedule</t>
  </si>
  <si>
    <t>Convert to MWh Pricing for Interval</t>
  </si>
  <si>
    <t>Yellow cells are input data</t>
  </si>
  <si>
    <t>For illustrative purposes only</t>
  </si>
  <si>
    <t>(Paid) Charged</t>
  </si>
  <si>
    <t>Allocated to Metered Demand</t>
  </si>
  <si>
    <t>(1) Net virtual supply + net negative metered demand, (2) metered demand</t>
  </si>
  <si>
    <t>(1) Net virtual demand + net positive metered demand, (2) metered demand</t>
  </si>
  <si>
    <t>Cost Allocation RUC Up (existing)</t>
  </si>
  <si>
    <t>Cost Allocation RUC Down (new)</t>
  </si>
  <si>
    <t>Cost Allocation Uncertainty Up (existing)</t>
  </si>
  <si>
    <t>Cost Allocation Uncertainty Down (existing)</t>
  </si>
  <si>
    <t>Cost Allocation Scheduled Movement (modified)</t>
  </si>
  <si>
    <t>Uninstructed Imbalance Settlement</t>
  </si>
  <si>
    <t>FRP Monthly allocation by category</t>
  </si>
  <si>
    <t>Imbalance reserves behave now like DA FRP</t>
  </si>
  <si>
    <t>DA Flexible Ramping Product Up Uncertainty</t>
  </si>
  <si>
    <t>DA Flexible Ramping Product Down Uncertainty</t>
  </si>
  <si>
    <t>FMM Flexible Ramping Product Up Uncertainty</t>
  </si>
  <si>
    <t>FMM Flexible Ramping Product Down Uncertainty</t>
  </si>
  <si>
    <t>RTD Flexible Ramping Product Up Uncertainty</t>
  </si>
  <si>
    <t>RTD Flexible Ramping Product Down Uncertainty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</si>
</sst>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wrapText="1"/>
    </xf>
    <xf numFmtId="44" fontId="0" fillId="0" borderId="0" xfId="1" applyFont="1"/>
    <xf numFmtId="44" fontId="0" fillId="2" borderId="0" xfId="1" applyFont="1" applyFill="1"/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1" applyFont="1" applyFill="1"/>
    <xf numFmtId="0" fontId="0" fillId="0" borderId="0" xfId="0" applyAlignment="1">
      <alignment horizontal="center"/>
    </xf>
    <xf numFmtId="0" fontId="0" fillId="2" borderId="0" xfId="0" applyFill="1"/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3343275" cy="619125"/>
    <xdr:pic>
      <xdr:nvPicPr>
        <xdr:cNvPr id="4" name="Picture 3" descr="CAISOLogo-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zoomScale="110" zoomScaleNormal="110" workbookViewId="0">
      <selection activeCell="B21" sqref="B21"/>
    </sheetView>
  </sheetViews>
  <sheetFormatPr defaultRowHeight="15" x14ac:dyDescent="0.25"/>
  <cols>
    <col min="1" max="1" width="41.85546875" customWidth="1"/>
    <col min="2" max="24" width="11.28515625" customWidth="1"/>
  </cols>
  <sheetData>
    <row r="1" spans="1:14" x14ac:dyDescent="0.25">
      <c r="B1" s="18" t="s">
        <v>12</v>
      </c>
      <c r="C1" s="18"/>
      <c r="D1" s="18"/>
      <c r="F1" s="18" t="s">
        <v>13</v>
      </c>
      <c r="G1" s="18"/>
      <c r="H1" s="18"/>
      <c r="J1" s="18" t="s">
        <v>14</v>
      </c>
      <c r="K1" s="18"/>
      <c r="L1" s="18"/>
      <c r="N1" s="3" t="s">
        <v>21</v>
      </c>
    </row>
    <row r="2" spans="1:14" ht="90" x14ac:dyDescent="0.25">
      <c r="A2" s="1" t="s">
        <v>7</v>
      </c>
      <c r="B2" s="2" t="s">
        <v>9</v>
      </c>
      <c r="C2" s="2" t="s">
        <v>49</v>
      </c>
      <c r="D2" s="2" t="s">
        <v>50</v>
      </c>
      <c r="E2" s="1"/>
      <c r="F2" s="4" t="s">
        <v>9</v>
      </c>
      <c r="G2" s="4" t="s">
        <v>51</v>
      </c>
      <c r="H2" s="4" t="s">
        <v>52</v>
      </c>
      <c r="I2" s="1"/>
      <c r="J2" s="4" t="s">
        <v>9</v>
      </c>
      <c r="K2" s="4" t="s">
        <v>53</v>
      </c>
      <c r="L2" s="4" t="s">
        <v>54</v>
      </c>
      <c r="N2" s="4" t="s">
        <v>9</v>
      </c>
    </row>
    <row r="3" spans="1:14" x14ac:dyDescent="0.25">
      <c r="A3" t="s">
        <v>0</v>
      </c>
      <c r="B3" s="7">
        <v>-1000</v>
      </c>
      <c r="C3" s="8" t="s">
        <v>16</v>
      </c>
      <c r="D3" s="8" t="s">
        <v>16</v>
      </c>
      <c r="E3" s="3"/>
      <c r="F3" s="7">
        <v>-1400</v>
      </c>
      <c r="G3" s="8" t="s">
        <v>16</v>
      </c>
      <c r="H3" s="8" t="s">
        <v>16</v>
      </c>
      <c r="I3" s="3"/>
      <c r="J3" s="7">
        <v>-1450</v>
      </c>
      <c r="K3" s="8" t="s">
        <v>16</v>
      </c>
      <c r="L3" s="8" t="s">
        <v>16</v>
      </c>
      <c r="N3" s="7">
        <v>-1445</v>
      </c>
    </row>
    <row r="4" spans="1:14" x14ac:dyDescent="0.25">
      <c r="A4" t="s">
        <v>1</v>
      </c>
      <c r="B4" s="7">
        <v>-100</v>
      </c>
      <c r="C4" s="8" t="s">
        <v>16</v>
      </c>
      <c r="D4" s="8" t="s">
        <v>16</v>
      </c>
      <c r="E4" s="3"/>
      <c r="F4" s="3">
        <v>0</v>
      </c>
      <c r="G4" s="8" t="s">
        <v>16</v>
      </c>
      <c r="H4" s="8" t="s">
        <v>16</v>
      </c>
      <c r="I4" s="3"/>
      <c r="J4" s="3">
        <v>0</v>
      </c>
      <c r="K4" s="8" t="s">
        <v>16</v>
      </c>
      <c r="L4" s="8" t="s">
        <v>16</v>
      </c>
      <c r="N4" s="8" t="s">
        <v>16</v>
      </c>
    </row>
    <row r="5" spans="1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x14ac:dyDescent="0.25">
      <c r="A6" t="s">
        <v>2</v>
      </c>
      <c r="B6" s="7">
        <v>200</v>
      </c>
      <c r="C6" s="7">
        <v>400</v>
      </c>
      <c r="D6" s="7">
        <v>0</v>
      </c>
      <c r="E6" s="3"/>
      <c r="F6" s="7">
        <v>600</v>
      </c>
      <c r="G6" s="7">
        <v>100</v>
      </c>
      <c r="H6" s="7">
        <v>0</v>
      </c>
      <c r="I6" s="3"/>
      <c r="J6" s="7">
        <v>650</v>
      </c>
      <c r="K6" s="7">
        <v>80</v>
      </c>
      <c r="L6" s="7">
        <v>0</v>
      </c>
      <c r="N6" s="7">
        <v>655</v>
      </c>
    </row>
    <row r="7" spans="1:14" x14ac:dyDescent="0.25">
      <c r="A7" t="s">
        <v>3</v>
      </c>
      <c r="B7" s="7">
        <v>200</v>
      </c>
      <c r="C7" s="7">
        <v>300</v>
      </c>
      <c r="D7" s="7">
        <v>100</v>
      </c>
      <c r="E7" s="3"/>
      <c r="F7" s="7">
        <v>400</v>
      </c>
      <c r="G7" s="7">
        <v>0</v>
      </c>
      <c r="H7" s="7">
        <v>100</v>
      </c>
      <c r="I7" s="3"/>
      <c r="J7" s="7">
        <v>400</v>
      </c>
      <c r="K7" s="7">
        <v>0</v>
      </c>
      <c r="L7" s="7">
        <v>80</v>
      </c>
      <c r="N7" s="7">
        <v>390</v>
      </c>
    </row>
    <row r="8" spans="1:14" x14ac:dyDescent="0.25">
      <c r="A8" t="s">
        <v>4</v>
      </c>
      <c r="B8" s="7">
        <v>400</v>
      </c>
      <c r="C8" s="7">
        <v>0</v>
      </c>
      <c r="D8" s="7">
        <v>0</v>
      </c>
      <c r="E8" s="3"/>
      <c r="F8" s="7">
        <v>400</v>
      </c>
      <c r="G8" s="7">
        <v>0</v>
      </c>
      <c r="H8" s="7">
        <v>0</v>
      </c>
      <c r="I8" s="3"/>
      <c r="J8" s="7">
        <v>400</v>
      </c>
      <c r="K8" s="7">
        <v>0</v>
      </c>
      <c r="L8" s="7">
        <v>0</v>
      </c>
      <c r="N8" s="7">
        <v>400</v>
      </c>
    </row>
    <row r="9" spans="1:14" x14ac:dyDescent="0.25">
      <c r="A9" t="s">
        <v>5</v>
      </c>
      <c r="B9" s="7">
        <v>300</v>
      </c>
      <c r="C9" s="8" t="s">
        <v>16</v>
      </c>
      <c r="D9" s="8" t="s">
        <v>16</v>
      </c>
      <c r="E9" s="3"/>
      <c r="F9" s="3">
        <v>0</v>
      </c>
      <c r="G9" s="8" t="s">
        <v>16</v>
      </c>
      <c r="H9" s="8" t="s">
        <v>16</v>
      </c>
      <c r="I9" s="3"/>
      <c r="J9" s="3">
        <v>0</v>
      </c>
      <c r="K9" s="8" t="s">
        <v>16</v>
      </c>
      <c r="L9" s="8" t="s">
        <v>16</v>
      </c>
      <c r="N9" s="8" t="s">
        <v>16</v>
      </c>
    </row>
    <row r="11" spans="1:14" x14ac:dyDescent="0.25">
      <c r="A11" t="s">
        <v>8</v>
      </c>
      <c r="B11" s="3" t="str">
        <f>IF(SUM(B3:B9)=0,"OK","ERROR")</f>
        <v>OK</v>
      </c>
      <c r="C11" s="3" t="str">
        <f>IF(SUM(C6:C8)-(SUM(C19:C20)+IF(B16&gt;B17,B16-B17,0)-IF(B17&gt;B16,B17-B16,0))=0,"OK","ERROR")</f>
        <v>OK</v>
      </c>
      <c r="D11" s="11" t="str">
        <f>IF(SUM(D6:D8)-(SUM(D19:D20)+IF(B17&gt;B16,B17-B16,0)-IF(B16&gt;B17,B16-B17,0))=0,"OK","ERROR")</f>
        <v>OK</v>
      </c>
      <c r="E11" s="3"/>
      <c r="F11" s="3" t="str">
        <f>IF(SUM(F3:F9)=0,"OK","ERROR")</f>
        <v>OK</v>
      </c>
      <c r="G11" s="3" t="str">
        <f>IF(SUM(G6:G8)-G20=0,"OK","ERROR")</f>
        <v>OK</v>
      </c>
      <c r="H11" s="11" t="str">
        <f>IF(SUM(H6:H8)-H20=0,"OK","ERROR")</f>
        <v>OK</v>
      </c>
      <c r="I11" s="3"/>
      <c r="J11" s="3" t="str">
        <f>IF(SUM(J3:J9)=0,"OK","ERROR")</f>
        <v>OK</v>
      </c>
      <c r="K11" s="3" t="str">
        <f>IF(SUM(K6:K8)-K21=0,"OK","ERROR")</f>
        <v>OK</v>
      </c>
      <c r="L11" s="11" t="str">
        <f>IF(SUM(L6:L8)-L21=0,"OK","ERROR")</f>
        <v>OK</v>
      </c>
      <c r="N11" s="15" t="str">
        <f>IF(N3+SUM(N6:N8)=0,"OK","ERROR")</f>
        <v>OK</v>
      </c>
    </row>
    <row r="13" spans="1:14" x14ac:dyDescent="0.25">
      <c r="A13" t="s">
        <v>6</v>
      </c>
      <c r="B13" s="6">
        <v>30</v>
      </c>
      <c r="C13" s="6">
        <v>4</v>
      </c>
      <c r="D13" s="6">
        <v>-2</v>
      </c>
      <c r="E13" s="5"/>
      <c r="F13" s="6">
        <v>35</v>
      </c>
      <c r="G13" s="6">
        <v>2</v>
      </c>
      <c r="H13" s="6">
        <v>-1</v>
      </c>
      <c r="I13" s="5"/>
      <c r="J13" s="6">
        <v>40</v>
      </c>
      <c r="K13" s="6">
        <v>1</v>
      </c>
      <c r="L13" s="6">
        <v>-0.5</v>
      </c>
    </row>
    <row r="14" spans="1:14" x14ac:dyDescent="0.25">
      <c r="A14" t="s">
        <v>34</v>
      </c>
      <c r="B14" s="14">
        <f>+B13/4</f>
        <v>7.5</v>
      </c>
      <c r="C14" s="14">
        <f t="shared" ref="C14:D14" si="0">+C13/4</f>
        <v>1</v>
      </c>
      <c r="D14" s="14">
        <f t="shared" si="0"/>
        <v>-0.5</v>
      </c>
      <c r="E14" s="14"/>
      <c r="F14" s="14">
        <f>+F13/4</f>
        <v>8.75</v>
      </c>
      <c r="G14" s="14">
        <f t="shared" ref="G14" si="1">+G13/4</f>
        <v>0.5</v>
      </c>
      <c r="H14" s="14">
        <f t="shared" ref="H14" si="2">+H13/4</f>
        <v>-0.25</v>
      </c>
      <c r="I14" s="14"/>
      <c r="J14" s="14">
        <f>+J13/4</f>
        <v>10</v>
      </c>
      <c r="K14" s="14">
        <f t="shared" ref="K14:L14" si="3">+K13/4</f>
        <v>0.25</v>
      </c>
      <c r="L14" s="14">
        <f t="shared" si="3"/>
        <v>-0.125</v>
      </c>
    </row>
    <row r="16" spans="1:14" x14ac:dyDescent="0.25">
      <c r="A16" t="s">
        <v>17</v>
      </c>
      <c r="B16" s="7">
        <v>1100</v>
      </c>
    </row>
    <row r="17" spans="1:24" x14ac:dyDescent="0.25">
      <c r="A17" t="s">
        <v>18</v>
      </c>
      <c r="B17" s="13">
        <f>+B6+B7+B8</f>
        <v>800</v>
      </c>
    </row>
    <row r="18" spans="1:24" x14ac:dyDescent="0.25">
      <c r="B18" s="13"/>
    </row>
    <row r="19" spans="1:24" x14ac:dyDescent="0.25">
      <c r="A19" t="s">
        <v>24</v>
      </c>
      <c r="B19" s="13"/>
      <c r="C19" s="7">
        <v>300</v>
      </c>
      <c r="D19" s="7">
        <v>300</v>
      </c>
      <c r="G19" s="11" t="s">
        <v>16</v>
      </c>
      <c r="H19" s="11" t="s">
        <v>16</v>
      </c>
      <c r="K19" s="11" t="s">
        <v>16</v>
      </c>
      <c r="L19" s="11" t="s">
        <v>16</v>
      </c>
    </row>
    <row r="20" spans="1:24" x14ac:dyDescent="0.25">
      <c r="A20" t="s">
        <v>25</v>
      </c>
      <c r="B20" s="13"/>
      <c r="C20" s="11">
        <f>G20</f>
        <v>100</v>
      </c>
      <c r="D20" s="11">
        <f>H20</f>
        <v>100</v>
      </c>
      <c r="G20" s="7">
        <v>100</v>
      </c>
      <c r="H20" s="7">
        <v>100</v>
      </c>
      <c r="K20" s="11" t="s">
        <v>16</v>
      </c>
      <c r="L20" s="11" t="s">
        <v>16</v>
      </c>
    </row>
    <row r="21" spans="1:24" x14ac:dyDescent="0.25">
      <c r="A21" t="s">
        <v>26</v>
      </c>
      <c r="B21" s="13"/>
      <c r="C21" s="11" t="s">
        <v>16</v>
      </c>
      <c r="D21" s="11" t="s">
        <v>16</v>
      </c>
      <c r="G21" s="11" t="s">
        <v>16</v>
      </c>
      <c r="H21" s="11" t="s">
        <v>16</v>
      </c>
      <c r="K21" s="7">
        <v>80</v>
      </c>
      <c r="L21" s="7">
        <v>80</v>
      </c>
    </row>
    <row r="22" spans="1:24" x14ac:dyDescent="0.25">
      <c r="B22" s="13"/>
      <c r="C22" s="12"/>
      <c r="D22" s="12"/>
      <c r="G22" s="12"/>
      <c r="H22" s="12"/>
      <c r="K22" s="13"/>
      <c r="L22" s="13"/>
    </row>
    <row r="23" spans="1:24" x14ac:dyDescent="0.25">
      <c r="B23" s="13"/>
      <c r="C23" s="12"/>
      <c r="D23" s="12"/>
      <c r="G23" s="12"/>
      <c r="H23" s="12"/>
      <c r="K23" s="13"/>
      <c r="L23" s="13"/>
    </row>
    <row r="24" spans="1:24" x14ac:dyDescent="0.25">
      <c r="B24" s="13"/>
      <c r="C24" s="12"/>
      <c r="D24" s="12"/>
      <c r="G24" s="12"/>
      <c r="H24" s="12"/>
      <c r="K24" s="13"/>
      <c r="L24" s="13"/>
    </row>
    <row r="25" spans="1:24" x14ac:dyDescent="0.25">
      <c r="B25" s="18" t="s">
        <v>12</v>
      </c>
      <c r="C25" s="18"/>
      <c r="D25" s="18"/>
      <c r="E25" s="18"/>
      <c r="F25" s="18"/>
      <c r="H25" s="18" t="s">
        <v>13</v>
      </c>
      <c r="I25" s="18"/>
      <c r="J25" s="18"/>
      <c r="K25" s="18"/>
      <c r="L25" s="18"/>
      <c r="N25" s="18" t="s">
        <v>14</v>
      </c>
      <c r="O25" s="18"/>
      <c r="P25" s="18"/>
      <c r="Q25" s="18"/>
      <c r="R25" s="18"/>
      <c r="T25" s="18" t="s">
        <v>46</v>
      </c>
      <c r="U25" s="18"/>
      <c r="V25" s="18"/>
      <c r="W25" s="18"/>
      <c r="X25" s="18"/>
    </row>
    <row r="26" spans="1:24" ht="90" x14ac:dyDescent="0.25">
      <c r="A26" s="1" t="s">
        <v>15</v>
      </c>
      <c r="B26" s="2" t="s">
        <v>9</v>
      </c>
      <c r="C26" s="2" t="s">
        <v>27</v>
      </c>
      <c r="D26" s="2" t="s">
        <v>28</v>
      </c>
      <c r="E26" s="2" t="s">
        <v>19</v>
      </c>
      <c r="F26" s="2" t="s">
        <v>20</v>
      </c>
      <c r="G26" s="1"/>
      <c r="H26" s="4" t="s">
        <v>9</v>
      </c>
      <c r="I26" s="4" t="s">
        <v>32</v>
      </c>
      <c r="J26" s="4" t="s">
        <v>33</v>
      </c>
      <c r="K26" s="4" t="s">
        <v>29</v>
      </c>
      <c r="L26" s="4" t="s">
        <v>30</v>
      </c>
      <c r="M26" s="1"/>
      <c r="N26" s="4" t="s">
        <v>9</v>
      </c>
      <c r="O26" s="4" t="s">
        <v>32</v>
      </c>
      <c r="P26" s="4" t="s">
        <v>33</v>
      </c>
      <c r="Q26" s="4" t="s">
        <v>10</v>
      </c>
      <c r="R26" s="4" t="s">
        <v>11</v>
      </c>
      <c r="T26" s="4" t="s">
        <v>9</v>
      </c>
      <c r="U26" s="4" t="s">
        <v>32</v>
      </c>
      <c r="V26" s="4" t="s">
        <v>33</v>
      </c>
      <c r="W26" s="4" t="s">
        <v>22</v>
      </c>
      <c r="X26" s="4" t="s">
        <v>23</v>
      </c>
    </row>
    <row r="27" spans="1:24" x14ac:dyDescent="0.25">
      <c r="A27" t="s">
        <v>0</v>
      </c>
      <c r="B27" s="8">
        <f>-B3*B$14</f>
        <v>7500</v>
      </c>
      <c r="C27" s="8" t="s">
        <v>16</v>
      </c>
      <c r="D27" s="8" t="s">
        <v>16</v>
      </c>
      <c r="E27" s="8" t="s">
        <v>16</v>
      </c>
      <c r="F27" s="8" t="s">
        <v>16</v>
      </c>
      <c r="G27" s="8"/>
      <c r="H27" s="8">
        <f>-1*IF(ISERROR((F3-B3)*F$14),0,(F3-B3)*F$14)</f>
        <v>3500</v>
      </c>
      <c r="I27" s="8" t="s">
        <v>16</v>
      </c>
      <c r="J27" s="8" t="s">
        <v>16</v>
      </c>
      <c r="K27" s="8" t="s">
        <v>16</v>
      </c>
      <c r="L27" s="8" t="s">
        <v>16</v>
      </c>
      <c r="M27" s="8"/>
      <c r="N27" s="8">
        <f>-1*IF(ISERROR((J3-F3)*J$14),0,(J3-F3)*J$14)</f>
        <v>500</v>
      </c>
      <c r="O27" s="8" t="s">
        <v>16</v>
      </c>
      <c r="P27" s="8" t="s">
        <v>16</v>
      </c>
      <c r="Q27" s="8" t="s">
        <v>16</v>
      </c>
      <c r="R27" s="8" t="s">
        <v>16</v>
      </c>
      <c r="T27" s="9">
        <f>-(N3-J3)*J$14</f>
        <v>-50</v>
      </c>
      <c r="U27" s="8" t="s">
        <v>16</v>
      </c>
      <c r="V27" s="8" t="s">
        <v>16</v>
      </c>
      <c r="W27" s="8" t="s">
        <v>16</v>
      </c>
      <c r="X27" s="8" t="s">
        <v>16</v>
      </c>
    </row>
    <row r="28" spans="1:24" x14ac:dyDescent="0.25">
      <c r="A28" t="s">
        <v>1</v>
      </c>
      <c r="B28" s="8">
        <f>-B4*B$14</f>
        <v>750</v>
      </c>
      <c r="C28" s="8" t="s">
        <v>16</v>
      </c>
      <c r="D28" s="8" t="s">
        <v>16</v>
      </c>
      <c r="E28" s="8" t="s">
        <v>16</v>
      </c>
      <c r="F28" s="8" t="s">
        <v>16</v>
      </c>
      <c r="G28" s="8"/>
      <c r="H28" s="8">
        <f>-1*IF(ISERROR((F4-B4)*F$14),0,(F4-B4)*F$14)</f>
        <v>-875</v>
      </c>
      <c r="I28" s="8" t="s">
        <v>16</v>
      </c>
      <c r="J28" s="8" t="s">
        <v>16</v>
      </c>
      <c r="K28" s="8" t="s">
        <v>16</v>
      </c>
      <c r="L28" s="8" t="s">
        <v>16</v>
      </c>
      <c r="M28" s="8"/>
      <c r="N28" s="8">
        <f>-1*IF(ISERROR((J4-F4)*J$14),0,(J4-F4)*J$14)</f>
        <v>0</v>
      </c>
      <c r="O28" s="8" t="s">
        <v>16</v>
      </c>
      <c r="P28" s="8" t="s">
        <v>16</v>
      </c>
      <c r="Q28" s="8" t="s">
        <v>16</v>
      </c>
      <c r="R28" s="8" t="s">
        <v>16</v>
      </c>
      <c r="T28" s="8" t="s">
        <v>16</v>
      </c>
      <c r="U28" s="8" t="s">
        <v>16</v>
      </c>
      <c r="V28" s="8" t="s">
        <v>16</v>
      </c>
      <c r="W28" s="8" t="s">
        <v>16</v>
      </c>
      <c r="X28" s="8" t="s">
        <v>16</v>
      </c>
    </row>
    <row r="29" spans="1:24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U29" s="8"/>
      <c r="V29" s="8"/>
    </row>
    <row r="30" spans="1:24" x14ac:dyDescent="0.25">
      <c r="A30" t="s">
        <v>2</v>
      </c>
      <c r="B30" s="8">
        <f>-B6*B$14</f>
        <v>-1500</v>
      </c>
      <c r="C30" s="8">
        <f>-1*B6*C$14</f>
        <v>-200</v>
      </c>
      <c r="D30" s="8">
        <f>-1*B6*D$14</f>
        <v>100</v>
      </c>
      <c r="E30" s="8">
        <f>-1*(C6)*C$14</f>
        <v>-400</v>
      </c>
      <c r="F30" s="8">
        <f>-1*(-D6)*D$14</f>
        <v>0</v>
      </c>
      <c r="G30" s="8"/>
      <c r="H30" s="8">
        <f>-1*IF(ISERROR((F6-B6)*F$14),0,(F6-B6)*F$14)</f>
        <v>-3500</v>
      </c>
      <c r="I30" s="8">
        <f>-1*(F6-B6)*G$14</f>
        <v>-200</v>
      </c>
      <c r="J30" s="8">
        <f>-1*(F6-B6)*H14</f>
        <v>100</v>
      </c>
      <c r="K30" s="8">
        <f>-1*(G6-C6)*G$14</f>
        <v>150</v>
      </c>
      <c r="L30" s="8">
        <f>+(H6-D6)*H$14</f>
        <v>0</v>
      </c>
      <c r="M30" s="8"/>
      <c r="N30" s="8">
        <f>-1*IF(ISERROR((J6-F6)*J$14),0,(J6-F6)*J$14)</f>
        <v>-500</v>
      </c>
      <c r="O30" s="8">
        <f>-1*(J6-F6)*K$14</f>
        <v>-12.5</v>
      </c>
      <c r="P30" s="8">
        <f>-1*(J6-F6)*L14</f>
        <v>6.25</v>
      </c>
      <c r="Q30" s="8">
        <f>-1*(K6-G6)*K$14</f>
        <v>5</v>
      </c>
      <c r="R30" s="8">
        <f>+(L6-H6)*L14</f>
        <v>0</v>
      </c>
      <c r="T30" s="9">
        <f>-(N6-J6)*J$14</f>
        <v>-50</v>
      </c>
      <c r="U30" s="17">
        <f>IF(N6&gt;=J6,0,-(N6-J6)*K$14)</f>
        <v>0</v>
      </c>
      <c r="V30" s="17">
        <f>IF(N6&gt;=J6,-(N6-J6)*L$14,0)</f>
        <v>0.625</v>
      </c>
      <c r="W30" s="10">
        <f>IF(K6&gt;0,IF(N6&gt;J6,MIN(N6-J6,K6)*K$14,0),0)</f>
        <v>1.25</v>
      </c>
      <c r="X30" s="10">
        <f>IF(L6&gt;0,IF(N6&lt;J6,MIN(N6-J6,L6)*L$14,0),0)</f>
        <v>0</v>
      </c>
    </row>
    <row r="31" spans="1:24" x14ac:dyDescent="0.25">
      <c r="A31" t="s">
        <v>3</v>
      </c>
      <c r="B31" s="8">
        <f>-B7*B$14</f>
        <v>-1500</v>
      </c>
      <c r="C31" s="8">
        <f>-1*B7*C$14</f>
        <v>-200</v>
      </c>
      <c r="D31" s="8">
        <f>-1*B7*D$14</f>
        <v>100</v>
      </c>
      <c r="E31" s="8">
        <f>-1*(C7)*C$14</f>
        <v>-300</v>
      </c>
      <c r="F31" s="8">
        <f>-1*(-D7)*D$14</f>
        <v>-50</v>
      </c>
      <c r="G31" s="8"/>
      <c r="H31" s="8">
        <f>-1*IF(ISERROR((F7-B7)*F$14),0,(F7-B7)*F$14)</f>
        <v>-1750</v>
      </c>
      <c r="I31" s="8">
        <f>-1*(F7-B7)*G$14</f>
        <v>-100</v>
      </c>
      <c r="J31" s="8">
        <f>-1*(F7-B7)*H14</f>
        <v>50</v>
      </c>
      <c r="K31" s="8">
        <f>-1*(G7-C7)*G$14</f>
        <v>150</v>
      </c>
      <c r="L31" s="8">
        <f>+(H7-D7)*H$14</f>
        <v>0</v>
      </c>
      <c r="M31" s="8"/>
      <c r="N31" s="8">
        <f>-1*IF(ISERROR((J7-F7)*J$14),0,(J7-F7)*J$14)</f>
        <v>0</v>
      </c>
      <c r="O31" s="8">
        <f>-1*(J7-F7)*K$14</f>
        <v>0</v>
      </c>
      <c r="P31" s="8">
        <f>-1*(J7-F7)*L15</f>
        <v>0</v>
      </c>
      <c r="Q31" s="8">
        <f>-1*(K7-G7)*K$14</f>
        <v>0</v>
      </c>
      <c r="R31" s="8">
        <f>+(L7-H7)*L14</f>
        <v>2.5</v>
      </c>
      <c r="T31" s="9">
        <f>-(N7-J7)*J$14</f>
        <v>100</v>
      </c>
      <c r="U31" s="17">
        <f t="shared" ref="U31:U32" si="4">IF(N7&gt;=J7,0,-(N7-J7)*K$13)</f>
        <v>10</v>
      </c>
      <c r="V31" s="17">
        <f t="shared" ref="V31:V32" si="5">IF(N7&gt;=J7,-(N7-J7)*L$13,0)</f>
        <v>0</v>
      </c>
      <c r="W31" s="10">
        <f>IF(K7&gt;0,IF(N7&gt;J7,MIN(N7-J7,K7)*K$14,0),0)</f>
        <v>0</v>
      </c>
      <c r="X31" s="10">
        <f>IF(L7&gt;0,IF(N7&lt;J7,MIN(N7-J7,L7)*L$14,0),0)</f>
        <v>1.25</v>
      </c>
    </row>
    <row r="32" spans="1:24" x14ac:dyDescent="0.25">
      <c r="A32" t="s">
        <v>4</v>
      </c>
      <c r="B32" s="8">
        <f>-B8*B$14</f>
        <v>-3000</v>
      </c>
      <c r="C32" s="8">
        <f>-1*B8*C$14</f>
        <v>-400</v>
      </c>
      <c r="D32" s="8">
        <f>-1*B8*D$14</f>
        <v>200</v>
      </c>
      <c r="E32" s="8">
        <f>-1*(C8)*C$14</f>
        <v>0</v>
      </c>
      <c r="F32" s="8">
        <f>-1*(-D8)*D$14</f>
        <v>0</v>
      </c>
      <c r="G32" s="8"/>
      <c r="H32" s="8">
        <f>-1*IF(ISERROR((F8-B8)*F$14),0,(F8-B8)*F$14)</f>
        <v>0</v>
      </c>
      <c r="I32" s="8">
        <f>-1*(F8-B8)*G$14</f>
        <v>0</v>
      </c>
      <c r="J32" s="8">
        <f>-1*(F8-B8)*H14</f>
        <v>0</v>
      </c>
      <c r="K32" s="8">
        <f>-1*(G8-C8)*G$14</f>
        <v>0</v>
      </c>
      <c r="L32" s="8">
        <f>+(H8-D8)*H$14</f>
        <v>0</v>
      </c>
      <c r="M32" s="8"/>
      <c r="N32" s="8">
        <f>-1*IF(ISERROR((J8-F8)*J$14),0,(J8-F8)*J$14)</f>
        <v>0</v>
      </c>
      <c r="O32" s="8">
        <f>-1*(J8-F8)*K$14</f>
        <v>0</v>
      </c>
      <c r="P32" s="8">
        <f>-1*(J8-F8)*L16</f>
        <v>0</v>
      </c>
      <c r="Q32" s="8">
        <f>-1*(K8-G8)*K$14</f>
        <v>0</v>
      </c>
      <c r="R32" s="8">
        <f>+(L8-H8)*L14</f>
        <v>0</v>
      </c>
      <c r="T32" s="9">
        <f>-(N8-J8)*J$14</f>
        <v>0</v>
      </c>
      <c r="U32" s="17">
        <f t="shared" si="4"/>
        <v>0</v>
      </c>
      <c r="V32" s="17">
        <f t="shared" si="5"/>
        <v>0</v>
      </c>
      <c r="W32" s="10">
        <f>IF(K8&gt;0,IF(N8&gt;J8,MIN(N8-J8,K8)*K$14,0),0)</f>
        <v>0</v>
      </c>
      <c r="X32" s="10">
        <f>IF(L8&gt;0,IF(N8&lt;J8,MIN(N8-J8,L8)*L$14,0),0)</f>
        <v>0</v>
      </c>
    </row>
    <row r="33" spans="1:24" x14ac:dyDescent="0.25">
      <c r="A33" t="s">
        <v>5</v>
      </c>
      <c r="B33" s="8">
        <f>-B9*B$14</f>
        <v>-2250</v>
      </c>
      <c r="C33" s="8" t="s">
        <v>16</v>
      </c>
      <c r="D33" s="8" t="s">
        <v>16</v>
      </c>
      <c r="E33" s="8" t="s">
        <v>16</v>
      </c>
      <c r="F33" s="8" t="s">
        <v>16</v>
      </c>
      <c r="G33" s="8"/>
      <c r="H33" s="8">
        <f>-1*IF(ISERROR((F9-B9)*F$14),0,(F9-B9)*F$14)</f>
        <v>2625</v>
      </c>
      <c r="I33" s="8" t="s">
        <v>16</v>
      </c>
      <c r="J33" s="8" t="s">
        <v>16</v>
      </c>
      <c r="K33" s="8" t="s">
        <v>16</v>
      </c>
      <c r="L33" s="8" t="s">
        <v>16</v>
      </c>
      <c r="M33" s="8"/>
      <c r="N33" s="8">
        <f>-1*IF(ISERROR((J9-F9)*J$14),0,(J9-F9)*J$14)</f>
        <v>0</v>
      </c>
      <c r="O33" s="8" t="s">
        <v>16</v>
      </c>
      <c r="P33" s="8" t="s">
        <v>16</v>
      </c>
      <c r="Q33" s="8" t="s">
        <v>16</v>
      </c>
      <c r="R33" s="8" t="s">
        <v>16</v>
      </c>
      <c r="T33" s="8" t="s">
        <v>16</v>
      </c>
      <c r="U33" s="8" t="s">
        <v>16</v>
      </c>
      <c r="V33" s="8" t="s">
        <v>16</v>
      </c>
      <c r="W33" s="8" t="s">
        <v>16</v>
      </c>
      <c r="X33" s="8" t="s">
        <v>16</v>
      </c>
    </row>
    <row r="34" spans="1:24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T34" s="8"/>
      <c r="U34" s="8"/>
      <c r="V34" s="8"/>
    </row>
    <row r="35" spans="1:24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T35" s="8"/>
      <c r="U35" s="8"/>
      <c r="V35" s="8"/>
    </row>
    <row r="36" spans="1:24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24" x14ac:dyDescent="0.25">
      <c r="A37" t="s">
        <v>41</v>
      </c>
      <c r="B37" s="8">
        <f>IF(B16&gt;=B17,(B16-B17)*C14,0)</f>
        <v>300</v>
      </c>
      <c r="C37" t="s">
        <v>39</v>
      </c>
      <c r="D37" s="8"/>
      <c r="E37" s="8"/>
      <c r="F37" s="8"/>
      <c r="G37" s="8"/>
      <c r="H37" s="8"/>
      <c r="I37" s="8"/>
      <c r="J37" s="8"/>
      <c r="K37" s="8"/>
      <c r="L37" s="8"/>
    </row>
    <row r="38" spans="1:24" x14ac:dyDescent="0.25">
      <c r="A38" t="s">
        <v>42</v>
      </c>
      <c r="B38" s="10">
        <f>IF(B16&lt;=B17,(B16-B17)*D14,0)</f>
        <v>0</v>
      </c>
      <c r="C38" t="s">
        <v>40</v>
      </c>
    </row>
    <row r="39" spans="1:24" x14ac:dyDescent="0.25">
      <c r="A39" t="s">
        <v>43</v>
      </c>
      <c r="B39" s="9">
        <f>-(SUM(E30:E32)+SUM(K30:K32)+SUM(Q30:Q32)+SUM(W30:W32))-B37</f>
        <v>93.75</v>
      </c>
      <c r="C39" t="s">
        <v>47</v>
      </c>
    </row>
    <row r="40" spans="1:24" x14ac:dyDescent="0.25">
      <c r="A40" t="s">
        <v>44</v>
      </c>
      <c r="B40" s="9">
        <f>-(SUM(F30:F32)+SUM(L30:L32)+SUM(R30:R32)+SUM(X30:X32))-B38</f>
        <v>46.25</v>
      </c>
      <c r="C40" t="s">
        <v>47</v>
      </c>
      <c r="D40" s="9"/>
      <c r="G40" s="9"/>
      <c r="H40" s="9"/>
      <c r="K40" s="9"/>
      <c r="L40" s="9"/>
    </row>
    <row r="41" spans="1:24" x14ac:dyDescent="0.25">
      <c r="A41" t="s">
        <v>45</v>
      </c>
      <c r="B41" s="10">
        <f>+B43-SUM(B37:B40)</f>
        <v>545.625</v>
      </c>
      <c r="C41" t="s">
        <v>38</v>
      </c>
    </row>
    <row r="43" spans="1:24" x14ac:dyDescent="0.25">
      <c r="A43" t="s">
        <v>31</v>
      </c>
      <c r="B43" s="9">
        <f>-(SUM(C30:F32)+SUM(I30:L32)+SUM(O30:R32)+SUM(U30:X32))</f>
        <v>985.625</v>
      </c>
    </row>
    <row r="45" spans="1:24" x14ac:dyDescent="0.25">
      <c r="A45" s="16" t="s">
        <v>35</v>
      </c>
    </row>
    <row r="51" spans="1:1" x14ac:dyDescent="0.25">
      <c r="A51" t="s">
        <v>36</v>
      </c>
    </row>
    <row r="52" spans="1:1" x14ac:dyDescent="0.25">
      <c r="A52" t="s">
        <v>37</v>
      </c>
    </row>
    <row r="54" spans="1:1" x14ac:dyDescent="0.25">
      <c r="A54" t="s">
        <v>48</v>
      </c>
    </row>
  </sheetData>
  <mergeCells count="7">
    <mergeCell ref="T25:X25"/>
    <mergeCell ref="N25:R25"/>
    <mergeCell ref="B1:D1"/>
    <mergeCell ref="F1:H1"/>
    <mergeCell ref="J1:L1"/>
    <mergeCell ref="B25:F25"/>
    <mergeCell ref="H25:L25"/>
  </mergeCells>
  <pageMargins left="0.25" right="0.25" top="0.75" bottom="0.75" header="0.3" footer="0.3"/>
  <pageSetup scale="4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2018-06-21T23:05:50+00:00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Osborne, Kristina</DisplayName>
        <AccountId>70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Osborne, Kristina</DisplayName>
        <AccountId>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Settlement Example - Day-Ahead Market Enhancements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Working group Jun 19, 2018|b1e19159-8fc7-4b5c-994d-7e91138d8f04</ParentISOGroups>
    <Orig_x0020_Post_x0020_Date xmlns="5bcbeff6-7c02-4b0f-b125-f1b3d566cc14">2018-06-13T16:11:21+00:00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442d52b9-7d48-4c12-bf71-fc09ddc9fb5b</CrawlableUniqueID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E346A361-0E60-4EF5-AB9E-F45A3EA175EE}"/>
</file>

<file path=customXml/itemProps2.xml><?xml version="1.0" encoding="utf-8"?>
<ds:datastoreItem xmlns:ds="http://schemas.openxmlformats.org/officeDocument/2006/customXml" ds:itemID="{210D3CBF-A3AA-4212-BFF3-0907826C0138}"/>
</file>

<file path=customXml/itemProps3.xml><?xml version="1.0" encoding="utf-8"?>
<ds:datastoreItem xmlns:ds="http://schemas.openxmlformats.org/officeDocument/2006/customXml" ds:itemID="{C7395DB5-0D36-4CD5-9F74-E62DB6ED5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Settlement</vt:lpstr>
    </vt:vector>
  </TitlesOfParts>
  <Company>CAISO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Settlement Example - Day-Ahead Market Enhancements</dc:title>
  <dc:creator>Tretheway, Donald</dc:creator>
  <cp:lastModifiedBy>Tretheway, Donald</cp:lastModifiedBy>
  <cp:lastPrinted>2018-06-18T17:36:07Z</cp:lastPrinted>
  <dcterms:created xsi:type="dcterms:W3CDTF">2018-05-29T19:47:52Z</dcterms:created>
  <dcterms:modified xsi:type="dcterms:W3CDTF">2018-06-21T22:45:25Z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abb7b51d-da94-4f86-b013-1a75a56b28ff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Order">
    <vt:r8>5671300</vt:r8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5;#Stakeholder processes|71659ab1-dac7-419e-9529-abc47c232b66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ISOKeywords">
    <vt:lpwstr/>
  </property>
</Properties>
</file>